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orestiersfransylva.sharepoint.com/sites/FransylvaServices/Shared Documents/Financements innovants/CLIENTS 2023-2024/CRAS - 14710565   CD/"/>
    </mc:Choice>
  </mc:AlternateContent>
  <xr:revisionPtr revIDLastSave="0" documentId="14_{CF7F93D2-0507-4AAD-8594-1F0D28D3640C}" xr6:coauthVersionLast="47" xr6:coauthVersionMax="47" xr10:uidLastSave="{00000000-0000-0000-0000-000000000000}"/>
  <bookViews>
    <workbookView xWindow="-110" yWindow="-110" windowWidth="22780" windowHeight="1454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0" i="6" l="1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EA4" i="2" l="1"/>
  <c r="FR4" i="2"/>
  <c r="GL4" i="2"/>
  <c r="BQ4" i="2"/>
  <c r="BR4" i="2"/>
  <c r="FQ4" i="2"/>
  <c r="EC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FR5" i="2"/>
  <c r="EX5" i="2"/>
  <c r="EA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HH6" i="2" l="1"/>
  <c r="EA6" i="2"/>
  <c r="FR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A7" i="2"/>
  <c r="HI7" i="2"/>
  <c r="EB7" i="2"/>
  <c r="EW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HH10" i="2" s="1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FS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HG11" i="2" l="1"/>
  <c r="EC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HH12" i="2"/>
  <c r="EV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B14" i="2"/>
  <c r="EX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EV18" i="2" s="1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FS18" i="2" l="1"/>
  <c r="HG18" i="2"/>
  <c r="EA18" i="2"/>
  <c r="EX18" i="2"/>
  <c r="EW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HH20" i="2" l="1"/>
  <c r="EV20" i="2"/>
  <c r="HG20" i="2"/>
  <c r="EW20" i="2"/>
  <c r="EC20" i="2"/>
  <c r="FS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H21" i="2" l="1"/>
  <c r="EV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W22" i="2"/>
  <c r="EB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HI27" i="2" l="1"/>
  <c r="FS27" i="2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FS28" i="2" s="1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HI28" i="2" l="1"/>
  <c r="EV28" i="2"/>
  <c r="EC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HI29" i="2" l="1"/>
  <c r="FS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EA33" i="2" s="1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B33" i="2" l="1"/>
  <c r="EV33" i="2"/>
  <c r="HH33" i="2"/>
  <c r="HG33" i="2"/>
  <c r="EW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FQ35" i="2"/>
  <c r="HH35" i="2"/>
  <c r="CM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B37" i="2" l="1"/>
  <c r="HG37" i="2"/>
  <c r="EA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G38" i="2" l="1"/>
  <c r="HH38" i="2"/>
  <c r="HI38" i="2"/>
  <c r="EA38" i="2"/>
  <c r="FS38" i="2"/>
  <c r="EX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HG42" i="2" l="1"/>
  <c r="EA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EA43" i="2"/>
  <c r="DG43" i="2"/>
  <c r="HI43" i="2"/>
  <c r="EX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EW44" i="2" s="1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HG44" i="2"/>
  <c r="FS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G46" i="2" l="1"/>
  <c r="EC46" i="2"/>
  <c r="EW46" i="2"/>
  <c r="HI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HH48" i="2"/>
  <c r="HG48" i="2"/>
  <c r="EC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EB51" i="2" s="1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G57" i="2" l="1"/>
  <c r="HI57" i="2"/>
  <c r="FS57" i="2"/>
  <c r="EV57" i="2"/>
  <c r="HH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HH59" i="2" l="1"/>
  <c r="EB59" i="2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EV60" i="2"/>
  <c r="HI60" i="2"/>
  <c r="HH60" i="2"/>
  <c r="HG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B62" i="2" l="1"/>
  <c r="HI62" i="2"/>
  <c r="HH62" i="2"/>
  <c r="EA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C63" i="2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EA64" i="2" s="1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V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G70" i="2" l="1"/>
  <c r="EB70" i="2"/>
  <c r="EW70" i="2"/>
  <c r="HI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EA71" i="2" s="1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H71" i="2" l="1"/>
  <c r="EW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HH72" i="2"/>
  <c r="EX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HI73" i="2" l="1"/>
  <c r="EW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HG74" i="2" l="1"/>
  <c r="EW74" i="2"/>
  <c r="FS74" i="2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FS75" i="2"/>
  <c r="HH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EA77" i="2"/>
  <c r="HI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EW78" i="2" s="1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B78" i="2" l="1"/>
  <c r="EC78" i="2"/>
  <c r="EV78" i="2"/>
  <c r="HI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FS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HI85" i="2"/>
  <c r="HH85" i="2"/>
  <c r="HG85" i="2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EB86" i="2" s="1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C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EX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HG95" i="2"/>
  <c r="EX95" i="2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X98" i="2" l="1"/>
  <c r="FS98" i="2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EV100" i="2" s="1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HI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FS105" i="2" l="1"/>
  <c r="HH105" i="2"/>
  <c r="EA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EA107" i="2" s="1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C107" i="2" l="1"/>
  <c r="EX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FS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H110" i="2" l="1"/>
  <c r="HG110" i="2"/>
  <c r="EB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C112" i="2" l="1"/>
  <c r="EX112" i="2"/>
  <c r="EB112" i="2"/>
  <c r="FQ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W113" i="2" l="1"/>
  <c r="FS113" i="2"/>
  <c r="HG113" i="2"/>
  <c r="EX113" i="2"/>
  <c r="EB113" i="2"/>
  <c r="EC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EW114" i="2" s="1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HH114" i="2" l="1"/>
  <c r="HG114" i="2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I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HH118" i="2"/>
  <c r="EX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EX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H120" i="2" l="1"/>
  <c r="HI120" i="2"/>
  <c r="EX120" i="2"/>
  <c r="FR120" i="2"/>
  <c r="FQ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HI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C122" i="2" l="1"/>
  <c r="HI122" i="2"/>
  <c r="EW122" i="2"/>
  <c r="FS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HG124" i="2"/>
  <c r="EX124" i="2"/>
  <c r="FS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FS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EB128" i="2"/>
  <c r="EX128" i="2"/>
  <c r="EV128" i="2"/>
  <c r="FS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HI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H130" i="2" l="1"/>
  <c r="EB130" i="2"/>
  <c r="HG130" i="2"/>
  <c r="EX130" i="2"/>
  <c r="HI130" i="2"/>
  <c r="FS130" i="2"/>
  <c r="EW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A135" i="2" l="1"/>
  <c r="EX135" i="2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A139" i="2" l="1"/>
  <c r="HH139" i="2"/>
  <c r="FS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C140" i="2" l="1"/>
  <c r="FR140" i="2"/>
  <c r="HH140" i="2"/>
  <c r="HG140" i="2"/>
  <c r="EX140" i="2"/>
  <c r="EB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B141" i="2" l="1"/>
  <c r="HH141" i="2"/>
  <c r="FS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EC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X144" i="2" l="1"/>
  <c r="EB144" i="2"/>
  <c r="EA144" i="2"/>
  <c r="FR144" i="2"/>
  <c r="HH144" i="2"/>
  <c r="HG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FR145" i="2" l="1"/>
  <c r="HG145" i="2"/>
  <c r="EA145" i="2"/>
  <c r="EB145" i="2"/>
  <c r="HH145" i="2"/>
  <c r="EX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I146" i="2" l="1"/>
  <c r="FR146" i="2"/>
  <c r="FS146" i="2"/>
  <c r="HH146" i="2"/>
  <c r="HG146" i="2"/>
  <c r="EA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X149" i="2"/>
  <c r="EC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G150" i="2"/>
  <c r="EV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V151" i="2" l="1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EB153" i="2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HH154" i="2" l="1"/>
  <c r="EX154" i="2"/>
  <c r="AA154" i="2"/>
  <c r="EV154" i="2"/>
  <c r="EC154" i="2"/>
  <c r="EA154" i="2"/>
  <c r="ED154" i="2" s="1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D194" i="2"/>
  <c r="G194" i="2" s="1"/>
  <c r="DI153" i="2"/>
  <c r="FT153" i="2"/>
  <c r="CN153" i="2"/>
  <c r="HJ153" i="2"/>
  <c r="GO153" i="2"/>
  <c r="EY153" i="2"/>
  <c r="ED153" i="2"/>
  <c r="AC153" i="2"/>
  <c r="AX151" i="2"/>
  <c r="EW155" i="2" l="1"/>
  <c r="AC154" i="2"/>
  <c r="HH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HG156" i="2" l="1"/>
  <c r="AB156" i="2"/>
  <c r="FS156" i="2"/>
  <c r="DH156" i="2"/>
  <c r="EB156" i="2"/>
  <c r="EX156" i="2"/>
  <c r="HH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X157" i="2" l="1"/>
  <c r="EC157" i="2"/>
  <c r="EB157" i="2"/>
  <c r="HH157" i="2"/>
  <c r="EA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W158" i="2" l="1"/>
  <c r="EV158" i="2"/>
  <c r="HH158" i="2"/>
  <c r="HG158" i="2"/>
  <c r="EC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C159" i="2" l="1"/>
  <c r="ED158" i="2"/>
  <c r="EA159" i="2"/>
  <c r="HI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Y159" i="2"/>
  <c r="HI160" i="2"/>
  <c r="H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FS161" i="2" l="1"/>
  <c r="HG161" i="2"/>
  <c r="EX161" i="2"/>
  <c r="EB161" i="2"/>
  <c r="AB161" i="2"/>
  <c r="EA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W162" i="2" l="1"/>
  <c r="HH162" i="2"/>
  <c r="EC162" i="2"/>
  <c r="EB162" i="2"/>
  <c r="FS162" i="2"/>
  <c r="AU162" i="2"/>
  <c r="EX162" i="2"/>
  <c r="EA162" i="2"/>
  <c r="ED162" i="2" s="1"/>
  <c r="EV162" i="2"/>
  <c r="EY162" i="2" s="1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A163" i="2" l="1"/>
  <c r="HI163" i="2"/>
  <c r="EV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X164" i="2" l="1"/>
  <c r="EV164" i="2"/>
  <c r="HG164" i="2"/>
  <c r="EA164" i="2"/>
  <c r="FR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HH165" i="2"/>
  <c r="EA165" i="2"/>
  <c r="ED165" i="2" s="1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FS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B167" i="2" l="1"/>
  <c r="EC167" i="2"/>
  <c r="HI167" i="2"/>
  <c r="FR167" i="2"/>
  <c r="DG167" i="2"/>
  <c r="HH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EB168" i="2" s="1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I167" i="2" l="1"/>
  <c r="DG168" i="2"/>
  <c r="HI168" i="2"/>
  <c r="HH168" i="2"/>
  <c r="EW168" i="2"/>
  <c r="EV168" i="2"/>
  <c r="EC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EX169" i="2"/>
  <c r="FS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A172" i="2" l="1"/>
  <c r="HI172" i="2"/>
  <c r="EW172" i="2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H174" i="2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B175" i="2" l="1"/>
  <c r="EA175" i="2"/>
  <c r="FS175" i="2"/>
  <c r="EW175" i="2"/>
  <c r="HI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W177" i="2" l="1"/>
  <c r="FS177" i="2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HG178" i="2"/>
  <c r="FQ178" i="2"/>
  <c r="EA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G179" i="2" l="1"/>
  <c r="EB179" i="2"/>
  <c r="HH179" i="2"/>
  <c r="HI179" i="2"/>
  <c r="EV179" i="2"/>
  <c r="DF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HG181" i="2" l="1"/>
  <c r="EW181" i="2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B183" i="2" l="1"/>
  <c r="FS183" i="2"/>
  <c r="EA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B185" i="2" l="1"/>
  <c r="EA185" i="2"/>
  <c r="HI185" i="2"/>
  <c r="EV185" i="2"/>
  <c r="HH185" i="2"/>
  <c r="EW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EB186" i="2"/>
  <c r="FS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B187" i="2" l="1"/>
  <c r="HH187" i="2"/>
  <c r="HG187" i="2"/>
  <c r="EC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H188" i="2" l="1"/>
  <c r="HG188" i="2"/>
  <c r="HI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V189" i="2" l="1"/>
  <c r="AA189" i="2"/>
  <c r="EC189" i="2"/>
  <c r="FS189" i="2"/>
  <c r="HI189" i="2"/>
  <c r="EX189" i="2"/>
  <c r="EA189" i="2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W190" i="2"/>
  <c r="HH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EW191" i="2" l="1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EA192" i="2" s="1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B192" i="2" l="1"/>
  <c r="HH192" i="2"/>
  <c r="HI192" i="2"/>
  <c r="EW192" i="2"/>
  <c r="EC192" i="2"/>
  <c r="EV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FQ193" i="2" l="1"/>
  <c r="EA193" i="2"/>
  <c r="EX193" i="2"/>
  <c r="HI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DY195" i="2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DH195" i="2" l="1"/>
  <c r="EA195" i="2"/>
  <c r="EB195" i="2"/>
  <c r="HG195" i="2"/>
  <c r="AA195" i="2"/>
  <c r="FQ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HH196" i="2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HH197" i="2" l="1"/>
  <c r="HG197" i="2"/>
  <c r="EC197" i="2"/>
  <c r="AA197" i="2"/>
  <c r="EW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HI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EV199" i="2"/>
  <c r="EB199" i="2"/>
  <c r="FS199" i="2"/>
  <c r="EW199" i="2"/>
  <c r="EA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D200" i="2"/>
  <c r="DI200" i="2"/>
  <c r="FS201" i="2" l="1"/>
  <c r="EB201" i="2"/>
  <c r="HG201" i="2"/>
  <c r="HH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H202" i="2" l="1"/>
  <c r="FZ6" i="2"/>
  <c r="FS202" i="2"/>
  <c r="EW202" i="2"/>
  <c r="HI202" i="2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50" i="2" a="1"/>
  <c r="FY50" i="2" s="1"/>
  <c r="FY18" i="2" a="1"/>
  <c r="FY18" i="2" s="1"/>
  <c r="FY186" i="2" a="1"/>
  <c r="FY186" i="2" s="1"/>
  <c r="FY55" i="2" a="1"/>
  <c r="FY55" i="2" s="1"/>
  <c r="FY104" i="2" a="1"/>
  <c r="FY104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DN56" i="2" a="1"/>
  <c r="DN56" i="2" s="1"/>
  <c r="GT184" i="2" a="1"/>
  <c r="GT184" i="2" s="1"/>
  <c r="EI145" i="2" a="1"/>
  <c r="EI145" i="2" s="1"/>
  <c r="DN155" i="2" a="1"/>
  <c r="DN155" i="2" s="1"/>
  <c r="DN124" i="2" a="1"/>
  <c r="DN124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DN123" i="2" a="1"/>
  <c r="DN123" i="2" s="1"/>
  <c r="DN103" i="2" a="1"/>
  <c r="DN103" i="2" s="1"/>
  <c r="DN114" i="2" a="1"/>
  <c r="DN114" i="2" s="1"/>
  <c r="CS38" i="2" a="1"/>
  <c r="CS38" i="2" s="1"/>
  <c r="FY182" i="2" a="1"/>
  <c r="FY182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31" i="2" a="1"/>
  <c r="BC31" i="2" s="1"/>
  <c r="BC143" i="2" a="1"/>
  <c r="BC143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4" i="2" a="1"/>
  <c r="EI34" i="2" s="1"/>
  <c r="EI35" i="2" a="1"/>
  <c r="EI35" i="2" s="1"/>
  <c r="DN168" i="2" a="1"/>
  <c r="DN168" i="2" s="1"/>
  <c r="DN80" i="2" a="1"/>
  <c r="DN80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DN45" i="2" a="1"/>
  <c r="DN45" i="2" s="1"/>
  <c r="FD82" i="2" a="1"/>
  <c r="FD82" i="2" s="1"/>
  <c r="DN187" i="2" a="1"/>
  <c r="DN187" i="2" s="1"/>
  <c r="HJ202" i="2"/>
  <c r="EY202" i="2"/>
  <c r="AX200" i="2"/>
  <c r="EI139" i="2" l="1" a="1"/>
  <c r="EI139" i="2" s="1"/>
  <c r="EI165" i="2" a="1"/>
  <c r="EI165" i="2" s="1"/>
  <c r="EI162" i="2" a="1"/>
  <c r="EI162" i="2" s="1"/>
  <c r="EI67" i="2" a="1"/>
  <c r="EI67" i="2" s="1"/>
  <c r="EI71" i="2" a="1"/>
  <c r="EI71" i="2" s="1"/>
  <c r="EI150" i="2" a="1"/>
  <c r="EI150" i="2" s="1"/>
  <c r="FR203" i="2"/>
  <c r="EI170" i="2" a="1"/>
  <c r="EI170" i="2" s="1"/>
  <c r="EI57" i="2" a="1"/>
  <c r="EI57" i="2" s="1"/>
  <c r="EI29" i="2" a="1"/>
  <c r="EI29" i="2" s="1"/>
  <c r="EI16" i="2" a="1"/>
  <c r="EI16" i="2" s="1"/>
  <c r="EI36" i="2" a="1"/>
  <c r="EI36" i="2" s="1"/>
  <c r="EI106" i="2" a="1"/>
  <c r="EI106" i="2" s="1"/>
  <c r="EI113" i="2" a="1"/>
  <c r="EI113" i="2" s="1"/>
  <c r="EI87" i="2" a="1"/>
  <c r="EI87" i="2" s="1"/>
  <c r="EI153" i="2" a="1"/>
  <c r="EI153" i="2" s="1"/>
  <c r="HH203" i="2"/>
  <c r="EI128" i="2" a="1"/>
  <c r="EI128" i="2" s="1"/>
  <c r="EI109" i="2" a="1"/>
  <c r="EI109" i="2" s="1"/>
  <c r="EI142" i="2" a="1"/>
  <c r="EI142" i="2" s="1"/>
  <c r="EI166" i="2" a="1"/>
  <c r="EI166" i="2" s="1"/>
  <c r="EI37" i="2" a="1"/>
  <c r="EI37" i="2" s="1"/>
  <c r="EI20" i="2" a="1"/>
  <c r="EI20" i="2" s="1"/>
  <c r="EI38" i="2" a="1"/>
  <c r="EI38" i="2" s="1"/>
  <c r="EI195" i="2" a="1"/>
  <c r="EI195" i="2" s="1"/>
  <c r="EI178" i="2" a="1"/>
  <c r="EI178" i="2" s="1"/>
  <c r="EI198" i="2" a="1"/>
  <c r="EI198" i="2" s="1"/>
  <c r="HG203" i="2"/>
  <c r="GT152" i="2" a="1"/>
  <c r="GT152" i="2" s="1"/>
  <c r="GT33" i="2" a="1"/>
  <c r="GT33" i="2" s="1"/>
  <c r="GT133" i="2" a="1"/>
  <c r="GT133" i="2" s="1"/>
  <c r="GT121" i="2" a="1"/>
  <c r="GT121" i="2" s="1"/>
  <c r="GT122" i="2" a="1"/>
  <c r="GT122" i="2" s="1"/>
  <c r="GT51" i="2" a="1"/>
  <c r="GT51" i="2" s="1"/>
  <c r="GT68" i="2" a="1"/>
  <c r="GT68" i="2" s="1"/>
  <c r="GT181" i="2" a="1"/>
  <c r="GT181" i="2" s="1"/>
  <c r="GT11" i="2" a="1"/>
  <c r="GT11" i="2" s="1"/>
  <c r="GT115" i="2" a="1"/>
  <c r="GT115" i="2" s="1"/>
  <c r="GT102" i="2" a="1"/>
  <c r="GT102" i="2" s="1"/>
  <c r="GT147" i="2" a="1"/>
  <c r="GT147" i="2" s="1"/>
  <c r="BC185" i="2" a="1"/>
  <c r="BC185" i="2" s="1"/>
  <c r="BC84" i="2" a="1"/>
  <c r="BC84" i="2" s="1"/>
  <c r="BC32" i="2" a="1"/>
  <c r="BC32" i="2" s="1"/>
  <c r="BC164" i="2" a="1"/>
  <c r="BC164" i="2" s="1"/>
  <c r="BC117" i="2" a="1"/>
  <c r="BC117" i="2" s="1"/>
  <c r="BC181" i="2" a="1"/>
  <c r="BC181" i="2" s="1"/>
  <c r="AH90" i="2" a="1"/>
  <c r="AH90" i="2" s="1"/>
  <c r="AH151" i="2" a="1"/>
  <c r="AH151" i="2" s="1"/>
  <c r="CS77" i="2" a="1"/>
  <c r="CS77" i="2" s="1"/>
  <c r="FY34" i="2" a="1"/>
  <c r="FY34" i="2" s="1"/>
  <c r="FY173" i="2" a="1"/>
  <c r="FY173" i="2" s="1"/>
  <c r="FY133" i="2" a="1"/>
  <c r="FY133" i="2" s="1"/>
  <c r="FY109" i="2" a="1"/>
  <c r="FY109" i="2" s="1"/>
  <c r="FY86" i="2" a="1"/>
  <c r="FY86" i="2" s="1"/>
  <c r="FY164" i="2" a="1"/>
  <c r="FY164" i="2" s="1"/>
  <c r="FY188" i="2" a="1"/>
  <c r="FY188" i="2" s="1"/>
  <c r="FY159" i="2" a="1"/>
  <c r="FY159" i="2" s="1"/>
  <c r="FY140" i="2" a="1"/>
  <c r="FY140" i="2" s="1"/>
  <c r="FY79" i="2" a="1"/>
  <c r="FY79" i="2" s="1"/>
  <c r="FY115" i="2" a="1"/>
  <c r="FY115" i="2" s="1"/>
  <c r="FY126" i="2" a="1"/>
  <c r="FY126" i="2" s="1"/>
  <c r="FY58" i="2" a="1"/>
  <c r="FY58" i="2" s="1"/>
  <c r="FY149" i="2" a="1"/>
  <c r="FY149" i="2" s="1"/>
  <c r="FY28" i="2" a="1"/>
  <c r="FY28" i="2" s="1"/>
  <c r="FY143" i="2" a="1"/>
  <c r="FY143" i="2" s="1"/>
  <c r="FY29" i="2" a="1"/>
  <c r="FY29" i="2" s="1"/>
  <c r="FY47" i="2" a="1"/>
  <c r="FY47" i="2" s="1"/>
  <c r="BP203" i="2"/>
  <c r="FY121" i="2" a="1"/>
  <c r="FY121" i="2" s="1"/>
  <c r="FY167" i="2" a="1"/>
  <c r="FY167" i="2" s="1"/>
  <c r="CS129" i="2" a="1"/>
  <c r="CS129" i="2" s="1"/>
  <c r="FY124" i="2" a="1"/>
  <c r="FY124" i="2" s="1"/>
  <c r="CS52" i="2" a="1"/>
  <c r="CS52" i="2" s="1"/>
  <c r="FY146" i="2" a="1"/>
  <c r="FY146" i="2" s="1"/>
  <c r="BX107" i="2" a="1"/>
  <c r="BX107" i="2" s="1"/>
  <c r="CS114" i="2" a="1"/>
  <c r="CS114" i="2" s="1"/>
  <c r="CS120" i="2" a="1"/>
  <c r="CS120" i="2" s="1"/>
  <c r="FY80" i="2" a="1"/>
  <c r="FY80" i="2" s="1"/>
  <c r="AH163" i="2" a="1"/>
  <c r="AH163" i="2" s="1"/>
  <c r="FY62" i="2" a="1"/>
  <c r="FY62" i="2" s="1"/>
  <c r="FY116" i="2" a="1"/>
  <c r="FY116" i="2" s="1"/>
  <c r="FY102" i="2" a="1"/>
  <c r="FY102" i="2" s="1"/>
  <c r="FY32" i="2" a="1"/>
  <c r="FY32" i="2" s="1"/>
  <c r="FS203" i="2"/>
  <c r="FY174" i="2" a="1"/>
  <c r="FY174" i="2" s="1"/>
  <c r="CS161" i="2" a="1"/>
  <c r="CS161" i="2" s="1"/>
  <c r="CS72" i="2" a="1"/>
  <c r="CS72" i="2" s="1"/>
  <c r="FY30" i="2" a="1"/>
  <c r="FY30" i="2" s="1"/>
  <c r="AH62" i="2" a="1"/>
  <c r="AH62" i="2" s="1"/>
  <c r="CS116" i="2" a="1"/>
  <c r="CS116" i="2" s="1"/>
  <c r="CS66" i="2" a="1"/>
  <c r="CS66" i="2" s="1"/>
  <c r="FY190" i="2" a="1"/>
  <c r="FY190" i="2" s="1"/>
  <c r="FY92" i="2" a="1"/>
  <c r="FY92" i="2" s="1"/>
  <c r="FY69" i="2" a="1"/>
  <c r="FY69" i="2" s="1"/>
  <c r="FY22" i="2" a="1"/>
  <c r="FY22" i="2" s="1"/>
  <c r="FY142" i="2" a="1"/>
  <c r="FY142" i="2" s="1"/>
  <c r="FY153" i="2" a="1"/>
  <c r="FY153" i="2" s="1"/>
  <c r="CS56" i="2" a="1"/>
  <c r="CS56" i="2" s="1"/>
  <c r="FY42" i="2" a="1"/>
  <c r="FY42" i="2" s="1"/>
  <c r="AH199" i="2" a="1"/>
  <c r="AH199" i="2" s="1"/>
  <c r="FY72" i="2" a="1"/>
  <c r="FY72" i="2" s="1"/>
  <c r="FY111" i="2" a="1"/>
  <c r="FY111" i="2" s="1"/>
  <c r="FY66" i="2" a="1"/>
  <c r="FY66" i="2" s="1"/>
  <c r="FY90" i="2" a="1"/>
  <c r="FY90" i="2" s="1"/>
  <c r="FY78" i="2" a="1"/>
  <c r="FY78" i="2" s="1"/>
  <c r="FY35" i="2" a="1"/>
  <c r="FY35" i="2" s="1"/>
  <c r="CS137" i="2" a="1"/>
  <c r="CS137" i="2" s="1"/>
  <c r="FY165" i="2" a="1"/>
  <c r="FY165" i="2" s="1"/>
  <c r="FY99" i="2" a="1"/>
  <c r="FY99" i="2" s="1"/>
  <c r="CS134" i="2" a="1"/>
  <c r="CS134" i="2" s="1"/>
  <c r="CS185" i="2" a="1"/>
  <c r="CS185" i="2" s="1"/>
  <c r="FY196" i="2" a="1"/>
  <c r="FY196" i="2" s="1"/>
  <c r="AH166" i="2" a="1"/>
  <c r="AH166" i="2" s="1"/>
  <c r="AH92" i="2" a="1"/>
  <c r="AH92" i="2" s="1"/>
  <c r="FY73" i="2" a="1"/>
  <c r="FY73" i="2" s="1"/>
  <c r="FY120" i="2" a="1"/>
  <c r="FY120" i="2" s="1"/>
  <c r="FY57" i="2" a="1"/>
  <c r="FY57" i="2" s="1"/>
  <c r="FY24" i="2" a="1"/>
  <c r="FY24" i="2" s="1"/>
  <c r="FY191" i="2" a="1"/>
  <c r="FY191" i="2" s="1"/>
  <c r="CS105" i="2" a="1"/>
  <c r="CS105" i="2" s="1"/>
  <c r="FY110" i="2" a="1"/>
  <c r="FY110" i="2" s="1"/>
  <c r="FY169" i="2" a="1"/>
  <c r="FY169" i="2" s="1"/>
  <c r="CS24" i="2" a="1"/>
  <c r="CS24" i="2" s="1"/>
  <c r="FY82" i="2" a="1"/>
  <c r="FY82" i="2" s="1"/>
  <c r="AH19" i="2" a="1"/>
  <c r="AH19" i="2" s="1"/>
  <c r="FY172" i="2" a="1"/>
  <c r="FY172" i="2" s="1"/>
  <c r="FY178" i="2" a="1"/>
  <c r="FY178" i="2" s="1"/>
  <c r="FY152" i="2" a="1"/>
  <c r="FY152" i="2" s="1"/>
  <c r="FY71" i="2" a="1"/>
  <c r="FY71" i="2" s="1"/>
  <c r="FY54" i="2" a="1"/>
  <c r="FY54" i="2" s="1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FT203" i="2" s="1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N203" i="2" s="1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8" i="2" l="1"/>
  <c r="FZ9" i="2" s="1"/>
  <c r="FZ10" i="2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M16" i="4" s="1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<sst xmlns="http://schemas.openxmlformats.org/spreadsheetml/2006/main" count="1172" uniqueCount="325">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</sst>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1.5169790578370435</c:v>
                </c:pt>
                <c:pt idx="2">
                  <c:v>1.8781501756367305</c:v>
                </c:pt>
                <c:pt idx="3">
                  <c:v>2.3256507836964637</c:v>
                </c:pt>
                <c:pt idx="4">
                  <c:v>2.8801928037711861</c:v>
                </c:pt>
                <c:pt idx="5">
                  <c:v>3.5674746285378856</c:v>
                </c:pt>
                <c:pt idx="6">
                  <c:v>4.419385523082803</c:v>
                </c:pt>
                <c:pt idx="7">
                  <c:v>5.475501800590159</c:v>
                </c:pt>
                <c:pt idx="8">
                  <c:v>6.784945650599842</c:v>
                </c:pt>
                <c:pt idx="9">
                  <c:v>8.4086947592856145</c:v>
                </c:pt>
                <c:pt idx="10">
                  <c:v>10.422452335472949</c:v>
                </c:pt>
                <c:pt idx="11">
                  <c:v>12.920213874061965</c:v>
                </c:pt>
                <c:pt idx="12">
                  <c:v>16.018700233156078</c:v>
                </c:pt>
                <c:pt idx="13">
                  <c:v>19.862867970024372</c:v>
                </c:pt>
                <c:pt idx="14">
                  <c:v>24.632759363258756</c:v>
                </c:pt>
                <c:pt idx="15">
                  <c:v>30.552018621247594</c:v>
                </c:pt>
                <c:pt idx="16">
                  <c:v>37.89848052526817</c:v>
                </c:pt>
                <c:pt idx="17">
                  <c:v>47.017337021109604</c:v>
                </c:pt>
                <c:pt idx="18">
                  <c:v>58.337510841395044</c:v>
                </c:pt>
                <c:pt idx="19">
                  <c:v>72.392019072005624</c:v>
                </c:pt>
                <c:pt idx="20">
                  <c:v>89.843301094640552</c:v>
                </c:pt>
                <c:pt idx="21">
                  <c:v>111.51472379224067</c:v>
                </c:pt>
                <c:pt idx="22">
                  <c:v>138.42977381649987</c:v>
                </c:pt>
                <c:pt idx="23">
                  <c:v>171.86081644124263</c:v>
                </c:pt>
                <c:pt idx="24">
                  <c:v>147.70725368638702</c:v>
                </c:pt>
                <c:pt idx="25">
                  <c:v>179.47104913917383</c:v>
                </c:pt>
                <c:pt idx="26">
                  <c:v>211.1027938308097</c:v>
                </c:pt>
                <c:pt idx="27">
                  <c:v>242.62509103866606</c:v>
                </c:pt>
                <c:pt idx="28">
                  <c:v>214.38589248354251</c:v>
                </c:pt>
                <c:pt idx="29">
                  <c:v>250.67926877807722</c:v>
                </c:pt>
                <c:pt idx="30">
                  <c:v>286.85336725699204</c:v>
                </c:pt>
                <c:pt idx="31">
                  <c:v>322.92534379451826</c:v>
                </c:pt>
                <c:pt idx="32">
                  <c:v>303.39817033602765</c:v>
                </c:pt>
                <c:pt idx="33">
                  <c:v>340.92722154371285</c:v>
                </c:pt>
                <c:pt idx="34">
                  <c:v>378.36539662842574</c:v>
                </c:pt>
                <c:pt idx="35">
                  <c:v>415.72294083711455</c:v>
                </c:pt>
                <c:pt idx="36">
                  <c:v>387.58740137132486</c:v>
                </c:pt>
                <c:pt idx="37">
                  <c:v>423.18552880120927</c:v>
                </c:pt>
                <c:pt idx="38">
                  <c:v>458.71921423081375</c:v>
                </c:pt>
                <c:pt idx="39">
                  <c:v>494.19414347908742</c:v>
                </c:pt>
                <c:pt idx="40">
                  <c:v>476.14120509445956</c:v>
                </c:pt>
                <c:pt idx="41">
                  <c:v>507.67509845566065</c:v>
                </c:pt>
                <c:pt idx="42">
                  <c:v>539.16760679331139</c:v>
                </c:pt>
                <c:pt idx="43">
                  <c:v>570.62148354470423</c:v>
                </c:pt>
                <c:pt idx="44">
                  <c:v>602.03915423253159</c:v>
                </c:pt>
                <c:pt idx="45">
                  <c:v>571.74179956676232</c:v>
                </c:pt>
                <c:pt idx="46">
                  <c:v>597.75996975235046</c:v>
                </c:pt>
                <c:pt idx="47">
                  <c:v>623.75460086683643</c:v>
                </c:pt>
                <c:pt idx="48">
                  <c:v>649.72681059203296</c:v>
                </c:pt>
                <c:pt idx="49">
                  <c:v>675.6776200826381</c:v>
                </c:pt>
                <c:pt idx="50">
                  <c:v>701.60796576320615</c:v>
                </c:pt>
                <c:pt idx="51">
                  <c:v>657.61281934757983</c:v>
                </c:pt>
                <c:pt idx="52">
                  <c:v>679.61770277833341</c:v>
                </c:pt>
                <c:pt idx="53">
                  <c:v>701.60796576320615</c:v>
                </c:pt>
                <c:pt idx="54">
                  <c:v>2.9494845662396269E-12</c:v>
                </c:pt>
                <c:pt idx="55">
                  <c:v>2.9494845662396269E-12</c:v>
                </c:pt>
                <c:pt idx="56">
                  <c:v>2.9494845662396269E-12</c:v>
                </c:pt>
                <c:pt idx="57">
                  <c:v>2.9494845662396269E-12</c:v>
                </c:pt>
                <c:pt idx="58">
                  <c:v>2.9494845662396269E-12</c:v>
                </c:pt>
                <c:pt idx="59">
                  <c:v>2.9494845662396269E-12</c:v>
                </c:pt>
                <c:pt idx="60">
                  <c:v>2.9494845662396269E-12</c:v>
                </c:pt>
                <c:pt idx="61">
                  <c:v>2.9494845662396269E-12</c:v>
                </c:pt>
                <c:pt idx="62">
                  <c:v>2.9494845662396269E-12</c:v>
                </c:pt>
                <c:pt idx="63">
                  <c:v>2.9494845662396269E-12</c:v>
                </c:pt>
                <c:pt idx="64">
                  <c:v>2.9494845662396269E-12</c:v>
                </c:pt>
                <c:pt idx="65">
                  <c:v>2.9494845662396269E-12</c:v>
                </c:pt>
                <c:pt idx="66">
                  <c:v>2.9494845662396269E-12</c:v>
                </c:pt>
                <c:pt idx="67">
                  <c:v>2.9494845662396269E-12</c:v>
                </c:pt>
                <c:pt idx="68">
                  <c:v>2.9494845662396269E-12</c:v>
                </c:pt>
                <c:pt idx="69">
                  <c:v>2.9494845662396269E-12</c:v>
                </c:pt>
                <c:pt idx="70">
                  <c:v>2.9494845662396269E-12</c:v>
                </c:pt>
                <c:pt idx="71">
                  <c:v>2.9494845662396269E-12</c:v>
                </c:pt>
                <c:pt idx="72">
                  <c:v>2.9494845662396269E-12</c:v>
                </c:pt>
                <c:pt idx="73">
                  <c:v>2.9494845662396269E-12</c:v>
                </c:pt>
                <c:pt idx="74">
                  <c:v>2.9494845662396269E-12</c:v>
                </c:pt>
                <c:pt idx="75">
                  <c:v>2.9494845662396269E-12</c:v>
                </c:pt>
                <c:pt idx="76">
                  <c:v>2.9494845662396269E-12</c:v>
                </c:pt>
                <c:pt idx="77">
                  <c:v>2.9494845662396269E-12</c:v>
                </c:pt>
                <c:pt idx="78">
                  <c:v>2.9494845662396269E-12</c:v>
                </c:pt>
                <c:pt idx="79">
                  <c:v>2.9494845662396269E-12</c:v>
                </c:pt>
                <c:pt idx="80">
                  <c:v>2.9494845662396269E-12</c:v>
                </c:pt>
                <c:pt idx="81">
                  <c:v>2.9494845662396269E-12</c:v>
                </c:pt>
                <c:pt idx="82">
                  <c:v>2.9494845662396269E-12</c:v>
                </c:pt>
                <c:pt idx="83">
                  <c:v>2.9494845662396269E-12</c:v>
                </c:pt>
                <c:pt idx="84">
                  <c:v>2.9494845662396269E-12</c:v>
                </c:pt>
                <c:pt idx="85">
                  <c:v>2.9494845662396269E-12</c:v>
                </c:pt>
                <c:pt idx="86">
                  <c:v>2.9494845662396269E-12</c:v>
                </c:pt>
                <c:pt idx="87">
                  <c:v>2.9494845662396269E-12</c:v>
                </c:pt>
                <c:pt idx="88">
                  <c:v>2.9494845662396269E-12</c:v>
                </c:pt>
                <c:pt idx="89">
                  <c:v>2.9494845662396269E-12</c:v>
                </c:pt>
                <c:pt idx="90">
                  <c:v>2.9494845662396269E-12</c:v>
                </c:pt>
                <c:pt idx="91">
                  <c:v>2.9494845662396269E-12</c:v>
                </c:pt>
                <c:pt idx="92">
                  <c:v>2.9494845662396269E-12</c:v>
                </c:pt>
                <c:pt idx="93">
                  <c:v>2.9494845662396269E-12</c:v>
                </c:pt>
                <c:pt idx="94">
                  <c:v>2.9494845662396269E-12</c:v>
                </c:pt>
                <c:pt idx="95">
                  <c:v>2.9494845662396269E-12</c:v>
                </c:pt>
                <c:pt idx="96">
                  <c:v>2.9494845662396269E-12</c:v>
                </c:pt>
                <c:pt idx="97">
                  <c:v>2.9494845662396269E-12</c:v>
                </c:pt>
                <c:pt idx="98">
                  <c:v>2.9494845662396269E-12</c:v>
                </c:pt>
                <c:pt idx="99">
                  <c:v>2.9494845662396269E-12</c:v>
                </c:pt>
                <c:pt idx="100">
                  <c:v>2.9494845662396269E-12</c:v>
                </c:pt>
                <c:pt idx="101">
                  <c:v>2.9494845662396269E-12</c:v>
                </c:pt>
                <c:pt idx="102">
                  <c:v>2.9494845662396269E-12</c:v>
                </c:pt>
                <c:pt idx="103">
                  <c:v>2.9494845662396269E-12</c:v>
                </c:pt>
                <c:pt idx="104">
                  <c:v>2.9494845662396269E-12</c:v>
                </c:pt>
                <c:pt idx="105">
                  <c:v>2.9494845662396269E-12</c:v>
                </c:pt>
                <c:pt idx="106">
                  <c:v>2.9494845662396269E-12</c:v>
                </c:pt>
                <c:pt idx="107">
                  <c:v>2.9494845662396269E-12</c:v>
                </c:pt>
                <c:pt idx="108">
                  <c:v>2.9494845662396269E-12</c:v>
                </c:pt>
                <c:pt idx="109">
                  <c:v>2.9494845662396269E-12</c:v>
                </c:pt>
                <c:pt idx="110">
                  <c:v>2.9494845662396269E-12</c:v>
                </c:pt>
                <c:pt idx="111">
                  <c:v>2.9494845662396269E-12</c:v>
                </c:pt>
                <c:pt idx="112">
                  <c:v>2.9494845662396269E-12</c:v>
                </c:pt>
                <c:pt idx="113">
                  <c:v>2.9494845662396269E-12</c:v>
                </c:pt>
                <c:pt idx="114">
                  <c:v>2.9494845662396269E-12</c:v>
                </c:pt>
                <c:pt idx="115">
                  <c:v>2.9494845662396269E-12</c:v>
                </c:pt>
                <c:pt idx="116">
                  <c:v>2.9494845662396269E-12</c:v>
                </c:pt>
                <c:pt idx="117">
                  <c:v>2.9494845662396269E-12</c:v>
                </c:pt>
                <c:pt idx="118">
                  <c:v>2.9494845662396269E-12</c:v>
                </c:pt>
                <c:pt idx="119">
                  <c:v>2.9494845662396269E-12</c:v>
                </c:pt>
                <c:pt idx="120">
                  <c:v>2.9494845662396269E-12</c:v>
                </c:pt>
                <c:pt idx="121">
                  <c:v>2.9494845662396269E-12</c:v>
                </c:pt>
                <c:pt idx="122">
                  <c:v>2.9494845662396269E-12</c:v>
                </c:pt>
                <c:pt idx="123">
                  <c:v>2.9494845662396269E-12</c:v>
                </c:pt>
                <c:pt idx="124">
                  <c:v>2.9494845662396269E-12</c:v>
                </c:pt>
                <c:pt idx="125">
                  <c:v>2.9494845662396269E-12</c:v>
                </c:pt>
                <c:pt idx="126">
                  <c:v>2.9494845662396269E-12</c:v>
                </c:pt>
                <c:pt idx="127">
                  <c:v>2.9494845662396269E-12</c:v>
                </c:pt>
                <c:pt idx="128">
                  <c:v>2.9494845662396269E-12</c:v>
                </c:pt>
                <c:pt idx="129">
                  <c:v>2.9494845662396269E-12</c:v>
                </c:pt>
                <c:pt idx="130">
                  <c:v>2.9494845662396269E-12</c:v>
                </c:pt>
                <c:pt idx="131">
                  <c:v>2.9494845662396269E-12</c:v>
                </c:pt>
                <c:pt idx="132">
                  <c:v>2.9494845662396269E-12</c:v>
                </c:pt>
                <c:pt idx="133">
                  <c:v>2.9494845662396269E-12</c:v>
                </c:pt>
                <c:pt idx="134">
                  <c:v>2.9494845662396269E-12</c:v>
                </c:pt>
                <c:pt idx="135">
                  <c:v>2.9494845662396269E-12</c:v>
                </c:pt>
                <c:pt idx="136">
                  <c:v>2.9494845662396269E-12</c:v>
                </c:pt>
                <c:pt idx="137">
                  <c:v>2.9494845662396269E-12</c:v>
                </c:pt>
                <c:pt idx="138">
                  <c:v>2.9494845662396269E-12</c:v>
                </c:pt>
                <c:pt idx="139">
                  <c:v>2.9494845662396269E-12</c:v>
                </c:pt>
                <c:pt idx="140">
                  <c:v>2.9494845662396269E-12</c:v>
                </c:pt>
                <c:pt idx="141">
                  <c:v>2.9494845662396269E-12</c:v>
                </c:pt>
                <c:pt idx="142">
                  <c:v>2.9494845662396269E-12</c:v>
                </c:pt>
                <c:pt idx="143">
                  <c:v>2.9494845662396269E-12</c:v>
                </c:pt>
                <c:pt idx="144">
                  <c:v>2.9494845662396269E-12</c:v>
                </c:pt>
                <c:pt idx="145">
                  <c:v>2.9494845662396269E-12</c:v>
                </c:pt>
                <c:pt idx="146">
                  <c:v>2.9494845662396269E-12</c:v>
                </c:pt>
                <c:pt idx="147">
                  <c:v>2.9494845662396269E-12</c:v>
                </c:pt>
                <c:pt idx="148">
                  <c:v>2.9494845662396269E-12</c:v>
                </c:pt>
                <c:pt idx="149">
                  <c:v>2.9494845662396269E-12</c:v>
                </c:pt>
                <c:pt idx="150">
                  <c:v>2.9494845662396269E-12</c:v>
                </c:pt>
                <c:pt idx="151">
                  <c:v>2.9494845662396269E-12</c:v>
                </c:pt>
                <c:pt idx="152">
                  <c:v>2.9494845662396269E-12</c:v>
                </c:pt>
                <c:pt idx="153">
                  <c:v>2.9494845662396269E-12</c:v>
                </c:pt>
                <c:pt idx="154">
                  <c:v>2.9494845662396269E-12</c:v>
                </c:pt>
                <c:pt idx="155">
                  <c:v>2.9494845662396269E-12</c:v>
                </c:pt>
                <c:pt idx="156">
                  <c:v>2.9494845662396269E-12</c:v>
                </c:pt>
                <c:pt idx="157">
                  <c:v>2.9494845662396269E-12</c:v>
                </c:pt>
                <c:pt idx="158">
                  <c:v>2.9494845662396269E-12</c:v>
                </c:pt>
                <c:pt idx="159">
                  <c:v>2.9494845662396269E-12</c:v>
                </c:pt>
                <c:pt idx="160">
                  <c:v>2.9494845662396269E-12</c:v>
                </c:pt>
                <c:pt idx="161">
                  <c:v>2.9494845662396269E-12</c:v>
                </c:pt>
                <c:pt idx="162">
                  <c:v>2.9494845662396269E-12</c:v>
                </c:pt>
                <c:pt idx="163">
                  <c:v>2.9494845662396269E-12</c:v>
                </c:pt>
                <c:pt idx="164">
                  <c:v>2.9494845662396269E-12</c:v>
                </c:pt>
                <c:pt idx="165">
                  <c:v>2.9494845662396269E-12</c:v>
                </c:pt>
                <c:pt idx="166">
                  <c:v>2.9494845662396269E-12</c:v>
                </c:pt>
                <c:pt idx="167">
                  <c:v>2.9494845662396269E-12</c:v>
                </c:pt>
                <c:pt idx="168">
                  <c:v>2.9494845662396269E-12</c:v>
                </c:pt>
                <c:pt idx="169">
                  <c:v>2.9494845662396269E-12</c:v>
                </c:pt>
                <c:pt idx="170">
                  <c:v>2.9494845662396269E-12</c:v>
                </c:pt>
                <c:pt idx="171">
                  <c:v>2.9494845662396269E-12</c:v>
                </c:pt>
                <c:pt idx="172">
                  <c:v>2.9494845662396269E-12</c:v>
                </c:pt>
                <c:pt idx="173">
                  <c:v>2.9494845662396269E-12</c:v>
                </c:pt>
                <c:pt idx="174">
                  <c:v>2.9494845662396269E-12</c:v>
                </c:pt>
                <c:pt idx="175">
                  <c:v>2.9494845662396269E-12</c:v>
                </c:pt>
                <c:pt idx="176">
                  <c:v>2.9494845662396269E-12</c:v>
                </c:pt>
                <c:pt idx="177">
                  <c:v>2.9494845662396269E-12</c:v>
                </c:pt>
                <c:pt idx="178">
                  <c:v>2.9494845662396269E-12</c:v>
                </c:pt>
                <c:pt idx="179">
                  <c:v>2.9494845662396269E-12</c:v>
                </c:pt>
                <c:pt idx="180">
                  <c:v>2.9494845662396269E-12</c:v>
                </c:pt>
                <c:pt idx="181">
                  <c:v>2.9494845662396269E-12</c:v>
                </c:pt>
                <c:pt idx="182">
                  <c:v>2.9494845662396269E-12</c:v>
                </c:pt>
                <c:pt idx="183">
                  <c:v>2.9494845662396269E-12</c:v>
                </c:pt>
                <c:pt idx="184">
                  <c:v>2.9494845662396269E-12</c:v>
                </c:pt>
                <c:pt idx="185">
                  <c:v>2.9494845662396269E-12</c:v>
                </c:pt>
                <c:pt idx="186">
                  <c:v>2.9494845662396269E-12</c:v>
                </c:pt>
                <c:pt idx="187">
                  <c:v>2.9494845662396269E-12</c:v>
                </c:pt>
                <c:pt idx="188">
                  <c:v>2.9494845662396269E-12</c:v>
                </c:pt>
                <c:pt idx="189">
                  <c:v>2.9494845662396269E-12</c:v>
                </c:pt>
                <c:pt idx="190">
                  <c:v>2.9494845662396269E-12</c:v>
                </c:pt>
                <c:pt idx="191">
                  <c:v>2.9494845662396269E-12</c:v>
                </c:pt>
                <c:pt idx="192">
                  <c:v>2.9494845662396269E-12</c:v>
                </c:pt>
                <c:pt idx="193">
                  <c:v>2.9494845662396269E-12</c:v>
                </c:pt>
                <c:pt idx="194">
                  <c:v>2.9494845662396269E-12</c:v>
                </c:pt>
                <c:pt idx="195">
                  <c:v>2.9494845662396269E-12</c:v>
                </c:pt>
                <c:pt idx="196">
                  <c:v>2.9494845662396269E-12</c:v>
                </c:pt>
                <c:pt idx="197">
                  <c:v>2.9494845662396269E-12</c:v>
                </c:pt>
                <c:pt idx="198">
                  <c:v>2.9494845662396269E-12</c:v>
                </c:pt>
                <c:pt idx="199">
                  <c:v>2.9494845662396269E-12</c:v>
                </c:pt>
                <c:pt idx="200">
                  <c:v>2.9494845662396269E-12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1.3561769419318546</c:v>
                </c:pt>
                <c:pt idx="2">
                  <c:v>1.7330840842119228</c:v>
                </c:pt>
                <c:pt idx="3">
                  <c:v>2.2151692793963105</c:v>
                </c:pt>
                <c:pt idx="4">
                  <c:v>2.8318962121092195</c:v>
                </c:pt>
                <c:pt idx="5">
                  <c:v>3.6210120375758632</c:v>
                </c:pt>
                <c:pt idx="6">
                  <c:v>4.6308840097940926</c:v>
                </c:pt>
                <c:pt idx="7">
                  <c:v>5.9234972695526364</c:v>
                </c:pt>
                <c:pt idx="8">
                  <c:v>7.5783014004081757</c:v>
                </c:pt>
                <c:pt idx="9">
                  <c:v>9.6971467331201548</c:v>
                </c:pt>
                <c:pt idx="10">
                  <c:v>12.41061997082412</c:v>
                </c:pt>
                <c:pt idx="11">
                  <c:v>15.886176867459865</c:v>
                </c:pt>
                <c:pt idx="12">
                  <c:v>20.3385830148551</c:v>
                </c:pt>
                <c:pt idx="13">
                  <c:v>26.043319475823299</c:v>
                </c:pt>
                <c:pt idx="14">
                  <c:v>33.353797299971738</c:v>
                </c:pt>
                <c:pt idx="15">
                  <c:v>42.723465787541265</c:v>
                </c:pt>
                <c:pt idx="16">
                  <c:v>54.734209051794572</c:v>
                </c:pt>
                <c:pt idx="17">
                  <c:v>70.132823695662495</c:v>
                </c:pt>
                <c:pt idx="18">
                  <c:v>89.877882645906425</c:v>
                </c:pt>
                <c:pt idx="19">
                  <c:v>115.19994904527674</c:v>
                </c:pt>
                <c:pt idx="20">
                  <c:v>147.67895163614867</c:v>
                </c:pt>
                <c:pt idx="21">
                  <c:v>148.02988790809084</c:v>
                </c:pt>
                <c:pt idx="22">
                  <c:v>171.15012895269396</c:v>
                </c:pt>
                <c:pt idx="23">
                  <c:v>194.19678470867362</c:v>
                </c:pt>
                <c:pt idx="24">
                  <c:v>217.17982241103539</c:v>
                </c:pt>
                <c:pt idx="25">
                  <c:v>240.10692263363936</c:v>
                </c:pt>
                <c:pt idx="26">
                  <c:v>204.12858984745026</c:v>
                </c:pt>
                <c:pt idx="27">
                  <c:v>228.99732327354886</c:v>
                </c:pt>
                <c:pt idx="28">
                  <c:v>253.80426351839253</c:v>
                </c:pt>
                <c:pt idx="29">
                  <c:v>278.55629815945161</c:v>
                </c:pt>
                <c:pt idx="30">
                  <c:v>303.25898981443851</c:v>
                </c:pt>
                <c:pt idx="31">
                  <c:v>267.8310064273773</c:v>
                </c:pt>
                <c:pt idx="32">
                  <c:v>292.8999193112889</c:v>
                </c:pt>
                <c:pt idx="33">
                  <c:v>317.9209370595305</c:v>
                </c:pt>
                <c:pt idx="34">
                  <c:v>342.8983565333736</c:v>
                </c:pt>
                <c:pt idx="35">
                  <c:v>367.83579757961144</c:v>
                </c:pt>
                <c:pt idx="36">
                  <c:v>331.53448530045102</c:v>
                </c:pt>
                <c:pt idx="37">
                  <c:v>355.45786076838431</c:v>
                </c:pt>
                <c:pt idx="38">
                  <c:v>379.34598410424059</c:v>
                </c:pt>
                <c:pt idx="39">
                  <c:v>403.20138555466451</c:v>
                </c:pt>
                <c:pt idx="40">
                  <c:v>427.02627169348148</c:v>
                </c:pt>
                <c:pt idx="41">
                  <c:v>389.47552031491313</c:v>
                </c:pt>
                <c:pt idx="42">
                  <c:v>411.94632675360344</c:v>
                </c:pt>
                <c:pt idx="43">
                  <c:v>434.39068890365473</c:v>
                </c:pt>
                <c:pt idx="44">
                  <c:v>456.81016416917691</c:v>
                </c:pt>
                <c:pt idx="45">
                  <c:v>479.20614472262179</c:v>
                </c:pt>
                <c:pt idx="46">
                  <c:v>440.38300107166737</c:v>
                </c:pt>
                <c:pt idx="47">
                  <c:v>461.42800871186984</c:v>
                </c:pt>
                <c:pt idx="48">
                  <c:v>482.45254170032075</c:v>
                </c:pt>
                <c:pt idx="49">
                  <c:v>503.45761712226249</c:v>
                </c:pt>
                <c:pt idx="50">
                  <c:v>524.44416033681125</c:v>
                </c:pt>
                <c:pt idx="51">
                  <c:v>484.33182233185659</c:v>
                </c:pt>
                <c:pt idx="52">
                  <c:v>503.96970093403905</c:v>
                </c:pt>
                <c:pt idx="53">
                  <c:v>523.59139917298637</c:v>
                </c:pt>
                <c:pt idx="54">
                  <c:v>543.19760829489394</c:v>
                </c:pt>
                <c:pt idx="55">
                  <c:v>562.7889656149265</c:v>
                </c:pt>
                <c:pt idx="56">
                  <c:v>527.34333007320492</c:v>
                </c:pt>
                <c:pt idx="57">
                  <c:v>545.58342485784067</c:v>
                </c:pt>
                <c:pt idx="58">
                  <c:v>563.81072700027312</c:v>
                </c:pt>
                <c:pt idx="59">
                  <c:v>582.02570799931368</c:v>
                </c:pt>
                <c:pt idx="60">
                  <c:v>600.22880745733255</c:v>
                </c:pt>
                <c:pt idx="61">
                  <c:v>569.59997888388273</c:v>
                </c:pt>
                <c:pt idx="62">
                  <c:v>586.62011762259851</c:v>
                </c:pt>
                <c:pt idx="63">
                  <c:v>603.62997163521914</c:v>
                </c:pt>
                <c:pt idx="64">
                  <c:v>620.62987134965522</c:v>
                </c:pt>
                <c:pt idx="65">
                  <c:v>637.62012762925121</c:v>
                </c:pt>
                <c:pt idx="66">
                  <c:v>608.90099027098961</c:v>
                </c:pt>
                <c:pt idx="67">
                  <c:v>624.3685446486968</c:v>
                </c:pt>
                <c:pt idx="68">
                  <c:v>639.82816810516192</c:v>
                </c:pt>
                <c:pt idx="69">
                  <c:v>655.28007913873296</c:v>
                </c:pt>
                <c:pt idx="70">
                  <c:v>670.72448510987044</c:v>
                </c:pt>
                <c:pt idx="71">
                  <c:v>643.56449378897264</c:v>
                </c:pt>
                <c:pt idx="72">
                  <c:v>657.9961171442834</c:v>
                </c:pt>
                <c:pt idx="73">
                  <c:v>672.42122344302209</c:v>
                </c:pt>
                <c:pt idx="74">
                  <c:v>686.83997210216774</c:v>
                </c:pt>
                <c:pt idx="75">
                  <c:v>701.25251530411163</c:v>
                </c:pt>
                <c:pt idx="76">
                  <c:v>674.62685177369838</c:v>
                </c:pt>
                <c:pt idx="77">
                  <c:v>687.8575299096342</c:v>
                </c:pt>
                <c:pt idx="78">
                  <c:v>701.0829914789864</c:v>
                </c:pt>
                <c:pt idx="79">
                  <c:v>714.30334869779642</c:v>
                </c:pt>
                <c:pt idx="80">
                  <c:v>727.51870929218364</c:v>
                </c:pt>
                <c:pt idx="81">
                  <c:v>5.8414995537945398E-12</c:v>
                </c:pt>
                <c:pt idx="82">
                  <c:v>5.8414995537945398E-12</c:v>
                </c:pt>
                <c:pt idx="83">
                  <c:v>5.8414995537945398E-12</c:v>
                </c:pt>
                <c:pt idx="84">
                  <c:v>5.8414995537945398E-12</c:v>
                </c:pt>
                <c:pt idx="85">
                  <c:v>5.8414995537945398E-12</c:v>
                </c:pt>
                <c:pt idx="86">
                  <c:v>5.8414995537945398E-12</c:v>
                </c:pt>
                <c:pt idx="87">
                  <c:v>5.8414995537945398E-12</c:v>
                </c:pt>
                <c:pt idx="88">
                  <c:v>5.8414995537945398E-12</c:v>
                </c:pt>
                <c:pt idx="89">
                  <c:v>5.8414995537945398E-12</c:v>
                </c:pt>
                <c:pt idx="90">
                  <c:v>5.8414995537945398E-12</c:v>
                </c:pt>
                <c:pt idx="91">
                  <c:v>5.8414995537945398E-12</c:v>
                </c:pt>
                <c:pt idx="92">
                  <c:v>5.8414995537945398E-12</c:v>
                </c:pt>
                <c:pt idx="93">
                  <c:v>5.8414995537945398E-12</c:v>
                </c:pt>
                <c:pt idx="94">
                  <c:v>5.8414995537945398E-12</c:v>
                </c:pt>
                <c:pt idx="95">
                  <c:v>5.8414995537945398E-12</c:v>
                </c:pt>
                <c:pt idx="96">
                  <c:v>5.8414995537945398E-12</c:v>
                </c:pt>
                <c:pt idx="97">
                  <c:v>5.8414995537945398E-12</c:v>
                </c:pt>
                <c:pt idx="98">
                  <c:v>5.8414995537945398E-12</c:v>
                </c:pt>
                <c:pt idx="99">
                  <c:v>5.8414995537945398E-12</c:v>
                </c:pt>
                <c:pt idx="100">
                  <c:v>5.8414995537945398E-12</c:v>
                </c:pt>
                <c:pt idx="101">
                  <c:v>5.8414995537945398E-12</c:v>
                </c:pt>
                <c:pt idx="102">
                  <c:v>5.8414995537945398E-12</c:v>
                </c:pt>
                <c:pt idx="103">
                  <c:v>5.8414995537945398E-12</c:v>
                </c:pt>
                <c:pt idx="104">
                  <c:v>5.8414995537945398E-12</c:v>
                </c:pt>
                <c:pt idx="105">
                  <c:v>5.8414995537945398E-12</c:v>
                </c:pt>
                <c:pt idx="106">
                  <c:v>5.8414995537945398E-12</c:v>
                </c:pt>
                <c:pt idx="107">
                  <c:v>5.8414995537945398E-12</c:v>
                </c:pt>
                <c:pt idx="108">
                  <c:v>5.8414995537945398E-12</c:v>
                </c:pt>
                <c:pt idx="109">
                  <c:v>5.8414995537945398E-12</c:v>
                </c:pt>
                <c:pt idx="110">
                  <c:v>5.8414995537945398E-12</c:v>
                </c:pt>
                <c:pt idx="111">
                  <c:v>5.8414995537945398E-12</c:v>
                </c:pt>
                <c:pt idx="112">
                  <c:v>5.8414995537945398E-12</c:v>
                </c:pt>
                <c:pt idx="113">
                  <c:v>5.8414995537945398E-12</c:v>
                </c:pt>
                <c:pt idx="114">
                  <c:v>5.8414995537945398E-12</c:v>
                </c:pt>
                <c:pt idx="115">
                  <c:v>5.8414995537945398E-12</c:v>
                </c:pt>
                <c:pt idx="116">
                  <c:v>5.8414995537945398E-12</c:v>
                </c:pt>
                <c:pt idx="117">
                  <c:v>5.8414995537945398E-12</c:v>
                </c:pt>
                <c:pt idx="118">
                  <c:v>5.8414995537945398E-12</c:v>
                </c:pt>
                <c:pt idx="119">
                  <c:v>5.8414995537945398E-12</c:v>
                </c:pt>
                <c:pt idx="120">
                  <c:v>5.8414995537945398E-12</c:v>
                </c:pt>
                <c:pt idx="121">
                  <c:v>5.8414995537945398E-12</c:v>
                </c:pt>
                <c:pt idx="122">
                  <c:v>5.8414995537945398E-12</c:v>
                </c:pt>
                <c:pt idx="123">
                  <c:v>5.8414995537945398E-12</c:v>
                </c:pt>
                <c:pt idx="124">
                  <c:v>5.8414995537945398E-12</c:v>
                </c:pt>
                <c:pt idx="125">
                  <c:v>5.8414995537945398E-12</c:v>
                </c:pt>
                <c:pt idx="126">
                  <c:v>5.8414995537945398E-12</c:v>
                </c:pt>
                <c:pt idx="127">
                  <c:v>5.8414995537945398E-12</c:v>
                </c:pt>
                <c:pt idx="128">
                  <c:v>5.8414995537945398E-12</c:v>
                </c:pt>
                <c:pt idx="129">
                  <c:v>5.8414995537945398E-12</c:v>
                </c:pt>
                <c:pt idx="130">
                  <c:v>5.8414995537945398E-12</c:v>
                </c:pt>
                <c:pt idx="131">
                  <c:v>5.8414995537945398E-12</c:v>
                </c:pt>
                <c:pt idx="132">
                  <c:v>5.8414995537945398E-12</c:v>
                </c:pt>
                <c:pt idx="133">
                  <c:v>5.8414995537945398E-12</c:v>
                </c:pt>
                <c:pt idx="134">
                  <c:v>5.8414995537945398E-12</c:v>
                </c:pt>
                <c:pt idx="135">
                  <c:v>5.8414995537945398E-12</c:v>
                </c:pt>
                <c:pt idx="136">
                  <c:v>5.8414995537945398E-12</c:v>
                </c:pt>
                <c:pt idx="137">
                  <c:v>5.8414995537945398E-12</c:v>
                </c:pt>
                <c:pt idx="138">
                  <c:v>5.8414995537945398E-12</c:v>
                </c:pt>
                <c:pt idx="139">
                  <c:v>5.8414995537945398E-12</c:v>
                </c:pt>
                <c:pt idx="140">
                  <c:v>5.8414995537945398E-12</c:v>
                </c:pt>
                <c:pt idx="141">
                  <c:v>5.8414995537945398E-12</c:v>
                </c:pt>
                <c:pt idx="142">
                  <c:v>5.8414995537945398E-12</c:v>
                </c:pt>
                <c:pt idx="143">
                  <c:v>5.8414995537945398E-12</c:v>
                </c:pt>
                <c:pt idx="144">
                  <c:v>5.8414995537945398E-12</c:v>
                </c:pt>
                <c:pt idx="145">
                  <c:v>5.8414995537945398E-12</c:v>
                </c:pt>
                <c:pt idx="146">
                  <c:v>5.8414995537945398E-12</c:v>
                </c:pt>
                <c:pt idx="147">
                  <c:v>5.8414995537945398E-12</c:v>
                </c:pt>
                <c:pt idx="148">
                  <c:v>5.8414995537945398E-12</c:v>
                </c:pt>
                <c:pt idx="149">
                  <c:v>5.8414995537945398E-12</c:v>
                </c:pt>
                <c:pt idx="150">
                  <c:v>5.8414995537945398E-12</c:v>
                </c:pt>
                <c:pt idx="151">
                  <c:v>5.8414995537945398E-12</c:v>
                </c:pt>
                <c:pt idx="152">
                  <c:v>5.8414995537945398E-12</c:v>
                </c:pt>
                <c:pt idx="153">
                  <c:v>5.8414995537945398E-12</c:v>
                </c:pt>
                <c:pt idx="154">
                  <c:v>5.8414995537945398E-12</c:v>
                </c:pt>
                <c:pt idx="155">
                  <c:v>5.8414995537945398E-12</c:v>
                </c:pt>
                <c:pt idx="156">
                  <c:v>5.8414995537945398E-12</c:v>
                </c:pt>
                <c:pt idx="157">
                  <c:v>5.8414995537945398E-12</c:v>
                </c:pt>
                <c:pt idx="158">
                  <c:v>5.8414995537945398E-12</c:v>
                </c:pt>
                <c:pt idx="159">
                  <c:v>5.8414995537945398E-12</c:v>
                </c:pt>
                <c:pt idx="160">
                  <c:v>5.8414995537945398E-12</c:v>
                </c:pt>
                <c:pt idx="161">
                  <c:v>5.8414995537945398E-12</c:v>
                </c:pt>
                <c:pt idx="162">
                  <c:v>5.8414995537945398E-12</c:v>
                </c:pt>
                <c:pt idx="163">
                  <c:v>5.8414995537945398E-12</c:v>
                </c:pt>
                <c:pt idx="164">
                  <c:v>5.8414995537945398E-12</c:v>
                </c:pt>
                <c:pt idx="165">
                  <c:v>5.8414995537945398E-12</c:v>
                </c:pt>
                <c:pt idx="166">
                  <c:v>5.8414995537945398E-12</c:v>
                </c:pt>
                <c:pt idx="167">
                  <c:v>5.8414995537945398E-12</c:v>
                </c:pt>
                <c:pt idx="168">
                  <c:v>5.8414995537945398E-12</c:v>
                </c:pt>
                <c:pt idx="169">
                  <c:v>5.8414995537945398E-12</c:v>
                </c:pt>
                <c:pt idx="170">
                  <c:v>5.8414995537945398E-12</c:v>
                </c:pt>
                <c:pt idx="171">
                  <c:v>5.8414995537945398E-12</c:v>
                </c:pt>
                <c:pt idx="172">
                  <c:v>5.8414995537945398E-12</c:v>
                </c:pt>
                <c:pt idx="173">
                  <c:v>5.8414995537945398E-12</c:v>
                </c:pt>
                <c:pt idx="174">
                  <c:v>5.8414995537945398E-12</c:v>
                </c:pt>
                <c:pt idx="175">
                  <c:v>5.8414995537945398E-12</c:v>
                </c:pt>
                <c:pt idx="176">
                  <c:v>5.8414995537945398E-12</c:v>
                </c:pt>
                <c:pt idx="177">
                  <c:v>5.8414995537945398E-12</c:v>
                </c:pt>
                <c:pt idx="178">
                  <c:v>5.8414995537945398E-12</c:v>
                </c:pt>
                <c:pt idx="179">
                  <c:v>5.8414995537945398E-12</c:v>
                </c:pt>
                <c:pt idx="180">
                  <c:v>5.8414995537945398E-12</c:v>
                </c:pt>
                <c:pt idx="181">
                  <c:v>5.8414995537945398E-12</c:v>
                </c:pt>
                <c:pt idx="182">
                  <c:v>5.8414995537945398E-12</c:v>
                </c:pt>
                <c:pt idx="183">
                  <c:v>5.8414995537945398E-12</c:v>
                </c:pt>
                <c:pt idx="184">
                  <c:v>5.8414995537945398E-12</c:v>
                </c:pt>
                <c:pt idx="185">
                  <c:v>5.8414995537945398E-12</c:v>
                </c:pt>
                <c:pt idx="186">
                  <c:v>5.8414995537945398E-12</c:v>
                </c:pt>
                <c:pt idx="187">
                  <c:v>5.8414995537945398E-12</c:v>
                </c:pt>
                <c:pt idx="188">
                  <c:v>5.8414995537945398E-12</c:v>
                </c:pt>
                <c:pt idx="189">
                  <c:v>5.8414995537945398E-12</c:v>
                </c:pt>
                <c:pt idx="190">
                  <c:v>5.8414995537945398E-12</c:v>
                </c:pt>
                <c:pt idx="191">
                  <c:v>5.8414995537945398E-12</c:v>
                </c:pt>
                <c:pt idx="192">
                  <c:v>5.8414995537945398E-12</c:v>
                </c:pt>
                <c:pt idx="193">
                  <c:v>5.8414995537945398E-12</c:v>
                </c:pt>
                <c:pt idx="194">
                  <c:v>5.8414995537945398E-12</c:v>
                </c:pt>
                <c:pt idx="195">
                  <c:v>5.8414995537945398E-12</c:v>
                </c:pt>
                <c:pt idx="196">
                  <c:v>5.8414995537945398E-12</c:v>
                </c:pt>
                <c:pt idx="197">
                  <c:v>5.8414995537945398E-12</c:v>
                </c:pt>
                <c:pt idx="198">
                  <c:v>5.8414995537945398E-12</c:v>
                </c:pt>
                <c:pt idx="199">
                  <c:v>5.8414995537945398E-12</c:v>
                </c:pt>
                <c:pt idx="200">
                  <c:v>5.8414995537945398E-12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4.5" x14ac:dyDescent="0.35"/>
  <cols>
    <col min="1" max="1" width="6.81640625" customWidth="1"/>
    <col min="2" max="13" width="15.81640625" customWidth="1"/>
  </cols>
  <sheetData>
    <row r="12" spans="2:13" ht="15" customHeight="1" x14ac:dyDescent="0.3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3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3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3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3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3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3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3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3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3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3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3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3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3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3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3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3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3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3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38" zoomScale="80" zoomScaleNormal="80" workbookViewId="0">
      <selection activeCell="E78" sqref="E78"/>
    </sheetView>
  </sheetViews>
  <sheetFormatPr baseColWidth="10" defaultColWidth="11.453125" defaultRowHeight="14.5" x14ac:dyDescent="0.35"/>
  <cols>
    <col min="1" max="1" width="13.81640625" style="23" customWidth="1"/>
    <col min="2" max="2" width="36.1796875" style="23" customWidth="1"/>
    <col min="3" max="3" width="14.81640625" style="23" bestFit="1" customWidth="1"/>
    <col min="4" max="4" width="16.453125" style="23" customWidth="1"/>
    <col min="5" max="5" width="23.1796875" style="23" customWidth="1"/>
    <col min="6" max="6" width="28.81640625" style="23" bestFit="1" customWidth="1"/>
    <col min="7" max="8" width="14.816406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62" t="s">
        <v>190</v>
      </c>
      <c r="D1" s="262"/>
      <c r="E1" s="262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68" t="s">
        <v>231</v>
      </c>
      <c r="B5" s="268"/>
      <c r="C5" s="24">
        <v>8.4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31" t="s">
        <v>20</v>
      </c>
      <c r="C9" s="32">
        <v>0.8</v>
      </c>
      <c r="D9" s="33">
        <f t="shared" ref="D9:D18" si="0">C9*$C$5</f>
        <v>6.7200000000000006</v>
      </c>
      <c r="E9" s="34">
        <v>53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31" t="s">
        <v>92</v>
      </c>
      <c r="C10" s="32">
        <v>0.2</v>
      </c>
      <c r="D10" s="33">
        <f t="shared" si="0"/>
        <v>1.6800000000000002</v>
      </c>
      <c r="E10" s="34">
        <v>80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8"/>
      <c r="B19" s="36" t="s">
        <v>175</v>
      </c>
      <c r="C19" s="37">
        <f>SUM(C9:C18)</f>
        <v>1</v>
      </c>
      <c r="D19" s="38">
        <f>SUM(D9:D18)</f>
        <v>8.4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Epicéa de Sitka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5" t="s">
        <v>185</v>
      </c>
      <c r="C34" s="258" t="s">
        <v>186</v>
      </c>
      <c r="D34" s="258"/>
      <c r="E34" s="259" t="s">
        <v>187</v>
      </c>
      <c r="F34" s="260"/>
      <c r="G34" s="260"/>
      <c r="H34" s="261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50">
        <v>23</v>
      </c>
      <c r="B36" s="60">
        <v>165</v>
      </c>
      <c r="C36" s="60">
        <v>1</v>
      </c>
      <c r="D36" s="60">
        <v>55</v>
      </c>
      <c r="E36" s="51">
        <v>0</v>
      </c>
      <c r="F36" s="51">
        <v>0.4</v>
      </c>
      <c r="G36" s="51">
        <v>0.6</v>
      </c>
      <c r="H36" s="51">
        <v>0</v>
      </c>
      <c r="I36" s="49">
        <f>IFERROR(B36/A36,"")</f>
        <v>7.1739130434782608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50">
        <v>27</v>
      </c>
      <c r="B37" s="60">
        <v>235</v>
      </c>
      <c r="C37" s="60">
        <v>2</v>
      </c>
      <c r="D37" s="60">
        <v>64</v>
      </c>
      <c r="E37" s="51">
        <v>0.2</v>
      </c>
      <c r="F37" s="51">
        <v>0.5</v>
      </c>
      <c r="G37" s="51">
        <v>0.3</v>
      </c>
      <c r="H37" s="51">
        <v>0</v>
      </c>
      <c r="I37" s="53">
        <f t="shared" ref="I37:I55" si="1">IF(A37&lt;&gt;0,(B37-(B36-D36))/(A37-A36),"")</f>
        <v>31.25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50">
        <v>31</v>
      </c>
      <c r="B38" s="60">
        <v>315</v>
      </c>
      <c r="C38" s="60">
        <v>3</v>
      </c>
      <c r="D38" s="60">
        <v>57</v>
      </c>
      <c r="E38" s="51">
        <v>0.5</v>
      </c>
      <c r="F38" s="51">
        <v>0.4</v>
      </c>
      <c r="G38" s="51">
        <v>0.1</v>
      </c>
      <c r="H38" s="51">
        <v>0</v>
      </c>
      <c r="I38" s="53">
        <f t="shared" si="1"/>
        <v>36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50">
        <v>35</v>
      </c>
      <c r="B39" s="60">
        <v>408</v>
      </c>
      <c r="C39" s="60">
        <v>4</v>
      </c>
      <c r="D39" s="60">
        <v>64</v>
      </c>
      <c r="E39" s="51">
        <v>0.5</v>
      </c>
      <c r="F39" s="51">
        <v>0.4</v>
      </c>
      <c r="G39" s="51">
        <v>0.1</v>
      </c>
      <c r="H39" s="51">
        <v>0</v>
      </c>
      <c r="I39" s="49">
        <f t="shared" si="1"/>
        <v>37.5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50">
        <v>39</v>
      </c>
      <c r="B40" s="60">
        <v>487</v>
      </c>
      <c r="C40" s="60">
        <v>5</v>
      </c>
      <c r="D40" s="60">
        <v>50</v>
      </c>
      <c r="E40" s="51">
        <v>0.5</v>
      </c>
      <c r="F40" s="51">
        <v>0.4</v>
      </c>
      <c r="G40" s="51">
        <v>0.1</v>
      </c>
      <c r="H40" s="51">
        <v>0</v>
      </c>
      <c r="I40" s="49">
        <f t="shared" si="1"/>
        <v>35.75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50">
        <v>44</v>
      </c>
      <c r="B41" s="60">
        <v>596</v>
      </c>
      <c r="C41" s="60">
        <v>6</v>
      </c>
      <c r="D41" s="60">
        <v>57</v>
      </c>
      <c r="E41" s="51">
        <v>0.5</v>
      </c>
      <c r="F41" s="51">
        <v>0.4</v>
      </c>
      <c r="G41" s="51">
        <v>0.1</v>
      </c>
      <c r="H41" s="51">
        <v>0</v>
      </c>
      <c r="I41" s="53">
        <f t="shared" si="1"/>
        <v>31.8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50">
        <v>50</v>
      </c>
      <c r="B42" s="60">
        <v>697</v>
      </c>
      <c r="C42" s="60">
        <v>7</v>
      </c>
      <c r="D42" s="60">
        <v>67</v>
      </c>
      <c r="E42" s="51">
        <v>0.5</v>
      </c>
      <c r="F42" s="51">
        <v>0.4</v>
      </c>
      <c r="G42" s="51">
        <v>0.1</v>
      </c>
      <c r="H42" s="51">
        <v>0</v>
      </c>
      <c r="I42" s="53">
        <f t="shared" si="1"/>
        <v>26.333333333333332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50">
        <v>53</v>
      </c>
      <c r="B43" s="60">
        <v>697</v>
      </c>
      <c r="C43" s="60" t="s">
        <v>324</v>
      </c>
      <c r="D43" s="60">
        <v>697</v>
      </c>
      <c r="E43" s="51">
        <v>0.8</v>
      </c>
      <c r="F43" s="51">
        <v>0.1</v>
      </c>
      <c r="G43" s="51">
        <v>0.1</v>
      </c>
      <c r="H43" s="51">
        <v>0</v>
      </c>
      <c r="I43" s="49">
        <f t="shared" si="1"/>
        <v>22.333333333333332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>Thuya géant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5" t="s">
        <v>185</v>
      </c>
      <c r="C60" s="258" t="s">
        <v>186</v>
      </c>
      <c r="D60" s="258"/>
      <c r="E60" s="259" t="s">
        <v>187</v>
      </c>
      <c r="F60" s="260"/>
      <c r="G60" s="260"/>
      <c r="H60" s="261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50">
        <v>20</v>
      </c>
      <c r="B62" s="60">
        <v>164</v>
      </c>
      <c r="C62" s="60">
        <v>1</v>
      </c>
      <c r="D62" s="60">
        <v>26</v>
      </c>
      <c r="E62" s="51">
        <v>0.25</v>
      </c>
      <c r="F62" s="51">
        <v>0.37</v>
      </c>
      <c r="G62" s="51">
        <v>0.38</v>
      </c>
      <c r="H62" s="51">
        <v>0</v>
      </c>
      <c r="I62" s="53">
        <f>IFERROR(B62/A62,"")</f>
        <v>8.1999999999999993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50">
        <v>25</v>
      </c>
      <c r="B63" s="60">
        <v>270</v>
      </c>
      <c r="C63" s="60">
        <v>2</v>
      </c>
      <c r="D63" s="60">
        <v>70</v>
      </c>
      <c r="E63" s="51">
        <v>0.25</v>
      </c>
      <c r="F63" s="51">
        <v>0.37</v>
      </c>
      <c r="G63" s="51">
        <v>0.38</v>
      </c>
      <c r="H63" s="51">
        <v>0</v>
      </c>
      <c r="I63" s="49">
        <f t="shared" ref="I63:I75" si="2">IF(A63&lt;&gt;0,(B63-(B62-D62))/(A63-A62),"")</f>
        <v>26.4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50">
        <v>30</v>
      </c>
      <c r="B64" s="60">
        <v>343</v>
      </c>
      <c r="C64" s="60">
        <v>3</v>
      </c>
      <c r="D64" s="60">
        <v>70</v>
      </c>
      <c r="E64" s="51">
        <v>0.25</v>
      </c>
      <c r="F64" s="51">
        <v>0.37</v>
      </c>
      <c r="G64" s="51">
        <v>0.38</v>
      </c>
      <c r="H64" s="51">
        <v>0</v>
      </c>
      <c r="I64" s="49">
        <f t="shared" si="2"/>
        <v>28.6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50">
        <v>35</v>
      </c>
      <c r="B65" s="60">
        <v>418</v>
      </c>
      <c r="C65" s="60">
        <v>4</v>
      </c>
      <c r="D65" s="60">
        <v>70</v>
      </c>
      <c r="E65" s="51">
        <v>0.25</v>
      </c>
      <c r="F65" s="51">
        <v>0.37</v>
      </c>
      <c r="G65" s="51">
        <v>0.38</v>
      </c>
      <c r="H65" s="51">
        <v>0</v>
      </c>
      <c r="I65" s="49">
        <f t="shared" si="2"/>
        <v>29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50">
        <v>40</v>
      </c>
      <c r="B66" s="60">
        <v>487</v>
      </c>
      <c r="C66" s="60">
        <v>5</v>
      </c>
      <c r="D66" s="60">
        <v>70</v>
      </c>
      <c r="E66" s="51">
        <v>0.25</v>
      </c>
      <c r="F66" s="51">
        <v>0.37</v>
      </c>
      <c r="G66" s="51">
        <v>0.38</v>
      </c>
      <c r="H66" s="51">
        <v>0</v>
      </c>
      <c r="I66" s="49">
        <f t="shared" si="2"/>
        <v>27.8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50">
        <v>45</v>
      </c>
      <c r="B67" s="60">
        <v>548</v>
      </c>
      <c r="C67" s="60">
        <v>6</v>
      </c>
      <c r="D67" s="60">
        <v>70</v>
      </c>
      <c r="E67" s="51">
        <v>0.6</v>
      </c>
      <c r="F67" s="51">
        <v>0.2</v>
      </c>
      <c r="G67" s="51">
        <v>0.2</v>
      </c>
      <c r="H67" s="51">
        <v>0</v>
      </c>
      <c r="I67" s="49">
        <f t="shared" si="2"/>
        <v>26.2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50">
        <v>50</v>
      </c>
      <c r="B68" s="60">
        <v>601</v>
      </c>
      <c r="C68" s="60">
        <v>7</v>
      </c>
      <c r="D68" s="60">
        <v>70</v>
      </c>
      <c r="E68" s="51">
        <v>0.6</v>
      </c>
      <c r="F68" s="51">
        <v>0.2</v>
      </c>
      <c r="G68" s="51">
        <v>0.2</v>
      </c>
      <c r="H68" s="51">
        <v>0</v>
      </c>
      <c r="I68" s="49">
        <f t="shared" si="2"/>
        <v>24.6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50">
        <v>55</v>
      </c>
      <c r="B69" s="50">
        <v>646</v>
      </c>
      <c r="C69" s="50">
        <v>8</v>
      </c>
      <c r="D69" s="50">
        <v>63</v>
      </c>
      <c r="E69" s="51">
        <v>0.6</v>
      </c>
      <c r="F69" s="51">
        <v>0.2</v>
      </c>
      <c r="G69" s="51">
        <v>0.2</v>
      </c>
      <c r="H69" s="51">
        <v>0</v>
      </c>
      <c r="I69" s="49">
        <f t="shared" si="2"/>
        <v>23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50">
        <v>60</v>
      </c>
      <c r="B70" s="50">
        <v>690</v>
      </c>
      <c r="C70" s="50">
        <v>9</v>
      </c>
      <c r="D70" s="50">
        <v>56</v>
      </c>
      <c r="E70" s="51">
        <v>0.6</v>
      </c>
      <c r="F70" s="51">
        <v>0.2</v>
      </c>
      <c r="G70" s="51">
        <v>0.2</v>
      </c>
      <c r="H70" s="51">
        <v>0</v>
      </c>
      <c r="I70" s="49">
        <f t="shared" si="2"/>
        <v>21.4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>
        <v>65</v>
      </c>
      <c r="B71" s="50">
        <v>734</v>
      </c>
      <c r="C71" s="50">
        <v>10</v>
      </c>
      <c r="D71" s="50">
        <v>52</v>
      </c>
      <c r="E71" s="51">
        <v>0.6</v>
      </c>
      <c r="F71" s="51">
        <v>0.2</v>
      </c>
      <c r="G71" s="51">
        <v>0.2</v>
      </c>
      <c r="H71" s="51">
        <v>0</v>
      </c>
      <c r="I71" s="49">
        <f t="shared" si="2"/>
        <v>20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>
        <v>70</v>
      </c>
      <c r="B72" s="50">
        <v>773</v>
      </c>
      <c r="C72" s="50">
        <v>11</v>
      </c>
      <c r="D72" s="50">
        <v>49</v>
      </c>
      <c r="E72" s="51">
        <v>0.6</v>
      </c>
      <c r="F72" s="51">
        <v>0.2</v>
      </c>
      <c r="G72" s="51">
        <v>0.2</v>
      </c>
      <c r="H72" s="51">
        <v>0</v>
      </c>
      <c r="I72" s="49">
        <f t="shared" si="2"/>
        <v>18.2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50">
        <v>75</v>
      </c>
      <c r="B73" s="50">
        <v>809</v>
      </c>
      <c r="C73" s="50">
        <v>12</v>
      </c>
      <c r="D73" s="50">
        <v>47</v>
      </c>
      <c r="E73" s="51">
        <v>0.6</v>
      </c>
      <c r="F73" s="51">
        <v>0.2</v>
      </c>
      <c r="G73" s="51">
        <v>0.2</v>
      </c>
      <c r="H73" s="51">
        <v>0</v>
      </c>
      <c r="I73" s="49">
        <f t="shared" si="2"/>
        <v>17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50">
        <v>80</v>
      </c>
      <c r="B74" s="50">
        <v>840</v>
      </c>
      <c r="C74" s="50">
        <v>13</v>
      </c>
      <c r="D74" s="50">
        <v>840</v>
      </c>
      <c r="E74" s="51">
        <v>0.6</v>
      </c>
      <c r="F74" s="51">
        <v>0.2</v>
      </c>
      <c r="G74" s="51">
        <v>0.2</v>
      </c>
      <c r="H74" s="51">
        <v>0</v>
      </c>
      <c r="I74" s="49">
        <f t="shared" si="2"/>
        <v>15.6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50"/>
      <c r="B76" s="50"/>
      <c r="C76" s="50"/>
      <c r="D76" s="50"/>
      <c r="E76" s="51"/>
      <c r="F76" s="51"/>
      <c r="G76" s="51"/>
      <c r="H76" s="51"/>
      <c r="I76" s="49" t="str">
        <f t="shared" ref="I76:I81" si="3">IF(A76&lt;&gt;0,(B76-(B75-D75))/(A76-A75),"")</f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50"/>
      <c r="B77" s="50"/>
      <c r="C77" s="50"/>
      <c r="D77" s="50"/>
      <c r="E77" s="51"/>
      <c r="F77" s="51"/>
      <c r="G77" s="51"/>
      <c r="H77" s="51"/>
      <c r="I77" s="49" t="str">
        <f t="shared" si="3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50"/>
      <c r="B78" s="50"/>
      <c r="C78" s="50"/>
      <c r="D78" s="50"/>
      <c r="E78" s="51"/>
      <c r="F78" s="51"/>
      <c r="G78" s="51"/>
      <c r="H78" s="51"/>
      <c r="I78" s="49" t="str">
        <f t="shared" si="3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50"/>
      <c r="B79" s="50"/>
      <c r="C79" s="50"/>
      <c r="D79" s="50"/>
      <c r="E79" s="51"/>
      <c r="F79" s="51"/>
      <c r="G79" s="51"/>
      <c r="H79" s="51"/>
      <c r="I79" s="49" t="str">
        <f t="shared" si="3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50"/>
      <c r="B80" s="50"/>
      <c r="C80" s="50"/>
      <c r="D80" s="50"/>
      <c r="E80" s="51"/>
      <c r="F80" s="51"/>
      <c r="G80" s="51"/>
      <c r="H80" s="51"/>
      <c r="I80" s="49" t="str">
        <f t="shared" si="3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50"/>
      <c r="B81" s="50"/>
      <c r="C81" s="50"/>
      <c r="D81" s="50"/>
      <c r="E81" s="51"/>
      <c r="F81" s="51"/>
      <c r="G81" s="51"/>
      <c r="H81" s="51"/>
      <c r="I81" s="49" t="str">
        <f t="shared" si="3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5" t="s">
        <v>185</v>
      </c>
      <c r="C86" s="258" t="s">
        <v>186</v>
      </c>
      <c r="D86" s="258"/>
      <c r="E86" s="259" t="s">
        <v>187</v>
      </c>
      <c r="F86" s="260"/>
      <c r="G86" s="260"/>
      <c r="H86" s="261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50"/>
      <c r="B89" s="60"/>
      <c r="C89" s="60"/>
      <c r="D89" s="60"/>
      <c r="E89" s="51"/>
      <c r="F89" s="51"/>
      <c r="G89" s="51"/>
      <c r="H89" s="87"/>
      <c r="I89" s="53" t="str">
        <f t="shared" ref="I89:I101" si="4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50"/>
      <c r="B90" s="60"/>
      <c r="C90" s="60"/>
      <c r="D90" s="60"/>
      <c r="E90" s="87"/>
      <c r="F90" s="87"/>
      <c r="G90" s="87"/>
      <c r="H90" s="87"/>
      <c r="I90" s="53" t="str">
        <f t="shared" si="4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50"/>
      <c r="B91" s="60"/>
      <c r="C91" s="60"/>
      <c r="D91" s="60"/>
      <c r="E91" s="87"/>
      <c r="F91" s="87"/>
      <c r="G91" s="87"/>
      <c r="H91" s="87"/>
      <c r="I91" s="53" t="str">
        <f t="shared" si="4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50"/>
      <c r="B92" s="60"/>
      <c r="C92" s="60"/>
      <c r="D92" s="60"/>
      <c r="E92" s="87"/>
      <c r="F92" s="87"/>
      <c r="G92" s="87"/>
      <c r="H92" s="87"/>
      <c r="I92" s="53" t="str">
        <f t="shared" si="4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50"/>
      <c r="B93" s="60"/>
      <c r="C93" s="60"/>
      <c r="D93" s="60"/>
      <c r="E93" s="87"/>
      <c r="F93" s="87"/>
      <c r="G93" s="87"/>
      <c r="H93" s="87"/>
      <c r="I93" s="53" t="str">
        <f t="shared" si="4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50"/>
      <c r="B94" s="60"/>
      <c r="C94" s="60"/>
      <c r="D94" s="60"/>
      <c r="E94" s="87"/>
      <c r="F94" s="87"/>
      <c r="G94" s="87"/>
      <c r="H94" s="87"/>
      <c r="I94" s="53" t="str">
        <f t="shared" si="4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60"/>
      <c r="B95" s="60"/>
      <c r="C95" s="60"/>
      <c r="D95" s="60"/>
      <c r="E95" s="87"/>
      <c r="F95" s="87"/>
      <c r="G95" s="87"/>
      <c r="H95" s="87"/>
      <c r="I95" s="53" t="str">
        <f t="shared" si="4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60"/>
      <c r="B96" s="60"/>
      <c r="C96" s="60"/>
      <c r="D96" s="60"/>
      <c r="E96" s="87"/>
      <c r="F96" s="87"/>
      <c r="G96" s="87"/>
      <c r="H96" s="87"/>
      <c r="I96" s="53" t="str">
        <f t="shared" si="4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60"/>
      <c r="B97" s="60"/>
      <c r="C97" s="60"/>
      <c r="D97" s="60"/>
      <c r="E97" s="87"/>
      <c r="F97" s="87"/>
      <c r="G97" s="87"/>
      <c r="H97" s="87"/>
      <c r="I97" s="53" t="str">
        <f t="shared" si="4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60"/>
      <c r="B98" s="60"/>
      <c r="C98" s="60"/>
      <c r="D98" s="60"/>
      <c r="E98" s="87"/>
      <c r="F98" s="87"/>
      <c r="G98" s="87"/>
      <c r="H98" s="87"/>
      <c r="I98" s="53" t="str">
        <f t="shared" si="4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60"/>
      <c r="B99" s="60"/>
      <c r="C99" s="60"/>
      <c r="D99" s="60"/>
      <c r="E99" s="87"/>
      <c r="F99" s="87"/>
      <c r="G99" s="87"/>
      <c r="H99" s="87"/>
      <c r="I99" s="53" t="str">
        <f t="shared" si="4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4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4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60"/>
      <c r="B102" s="50"/>
      <c r="C102" s="60"/>
      <c r="D102" s="50"/>
      <c r="E102" s="54"/>
      <c r="F102" s="54"/>
      <c r="G102" s="54"/>
      <c r="H102" s="54"/>
      <c r="I102" s="53" t="str">
        <f t="shared" ref="I102:I107" si="5">IF(A102&lt;&gt;0,(B102-(B101-D101))/(A102-A101),"")</f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5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5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5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5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5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5" t="s">
        <v>185</v>
      </c>
      <c r="C112" s="258" t="s">
        <v>186</v>
      </c>
      <c r="D112" s="258"/>
      <c r="E112" s="259" t="s">
        <v>187</v>
      </c>
      <c r="F112" s="260"/>
      <c r="G112" s="260"/>
      <c r="H112" s="261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6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6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6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6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6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60"/>
      <c r="B120" s="60"/>
      <c r="C120" s="60"/>
      <c r="D120" s="60"/>
      <c r="E120" s="87"/>
      <c r="F120" s="87"/>
      <c r="G120" s="87"/>
      <c r="H120" s="87"/>
      <c r="I120" s="53" t="str">
        <f t="shared" si="6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6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6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6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6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6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6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6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6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6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6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6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6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6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5" t="s">
        <v>185</v>
      </c>
      <c r="C138" s="258" t="s">
        <v>186</v>
      </c>
      <c r="D138" s="258"/>
      <c r="E138" s="259" t="s">
        <v>187</v>
      </c>
      <c r="F138" s="260"/>
      <c r="G138" s="260"/>
      <c r="H138" s="261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7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7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7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7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7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7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7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7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7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7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7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7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7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7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7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7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7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7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5" t="s">
        <v>185</v>
      </c>
      <c r="C164" s="258" t="s">
        <v>186</v>
      </c>
      <c r="D164" s="258"/>
      <c r="E164" s="259" t="s">
        <v>187</v>
      </c>
      <c r="F164" s="260"/>
      <c r="G164" s="260"/>
      <c r="H164" s="261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8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8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8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8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8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8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8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8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8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8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8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8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8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8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8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8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8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8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8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5" t="s">
        <v>185</v>
      </c>
      <c r="C190" s="258" t="s">
        <v>186</v>
      </c>
      <c r="D190" s="258"/>
      <c r="E190" s="259" t="s">
        <v>187</v>
      </c>
      <c r="F190" s="260"/>
      <c r="G190" s="260"/>
      <c r="H190" s="261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9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9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9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9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9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9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9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9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9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9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9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9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9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9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9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9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9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9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9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5" t="s">
        <v>185</v>
      </c>
      <c r="C216" s="258" t="s">
        <v>186</v>
      </c>
      <c r="D216" s="258"/>
      <c r="E216" s="259" t="s">
        <v>187</v>
      </c>
      <c r="F216" s="260"/>
      <c r="G216" s="260"/>
      <c r="H216" s="261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10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10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10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10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10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10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10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10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10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10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10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10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10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10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10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10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10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10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10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5" t="s">
        <v>185</v>
      </c>
      <c r="C242" s="258" t="s">
        <v>186</v>
      </c>
      <c r="D242" s="258"/>
      <c r="E242" s="259" t="s">
        <v>187</v>
      </c>
      <c r="F242" s="260"/>
      <c r="G242" s="260"/>
      <c r="H242" s="261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11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11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11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11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11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11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11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11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11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11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11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11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11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11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11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11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11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5" t="s">
        <v>185</v>
      </c>
      <c r="C268" s="258" t="s">
        <v>186</v>
      </c>
      <c r="D268" s="258"/>
      <c r="E268" s="259" t="s">
        <v>187</v>
      </c>
      <c r="F268" s="260"/>
      <c r="G268" s="260"/>
      <c r="H268" s="261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2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2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2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2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2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2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2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2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2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2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2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2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2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2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2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2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2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2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F11" sqref="F11"/>
    </sheetView>
  </sheetViews>
  <sheetFormatPr baseColWidth="10" defaultColWidth="11.453125" defaultRowHeight="14.5" x14ac:dyDescent="0.35"/>
  <cols>
    <col min="1" max="1" width="5.81640625" style="1" customWidth="1"/>
    <col min="2" max="2" width="14.1796875" style="1" customWidth="1"/>
    <col min="3" max="3" width="62.1796875" style="1" customWidth="1"/>
    <col min="4" max="5" width="4.1796875" style="1" customWidth="1"/>
    <col min="6" max="6" width="14.1796875" style="1" customWidth="1"/>
    <col min="7" max="7" width="73.1796875" style="1" bestFit="1" customWidth="1"/>
    <col min="8" max="10" width="11.453125" style="1"/>
    <col min="11" max="11" width="12.5429687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5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54296875" style="4" customWidth="1"/>
    <col min="6" max="7" width="11.453125" style="4"/>
    <col min="8" max="8" width="10.81640625" style="4" customWidth="1"/>
    <col min="9" max="9" width="9.453125" style="4" customWidth="1"/>
    <col min="10" max="11" width="10.5429687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81640625" style="4" bestFit="1" customWidth="1"/>
    <col min="25" max="25" width="14.54296875" style="4" bestFit="1" customWidth="1"/>
    <col min="26" max="26" width="12.453125" style="4" bestFit="1" customWidth="1"/>
    <col min="27" max="27" width="9.816406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54296875" style="4" bestFit="1" customWidth="1"/>
    <col min="36" max="36" width="9.453125" style="4" bestFit="1" customWidth="1"/>
    <col min="37" max="38" width="10.54296875" style="4" bestFit="1" customWidth="1"/>
    <col min="39" max="41" width="10.54296875" style="4" customWidth="1"/>
    <col min="42" max="42" width="9" style="4" bestFit="1" customWidth="1"/>
    <col min="43" max="43" width="10.54296875" style="4" bestFit="1" customWidth="1"/>
    <col min="44" max="44" width="9.1796875" style="4" bestFit="1" customWidth="1"/>
    <col min="45" max="45" width="11.81640625" style="4" bestFit="1" customWidth="1"/>
    <col min="46" max="46" width="8.453125" style="4" bestFit="1" customWidth="1"/>
    <col min="47" max="47" width="9.453125" style="4" bestFit="1" customWidth="1"/>
    <col min="48" max="48" width="9.816406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54296875" style="4" bestFit="1" customWidth="1"/>
    <col min="54" max="54" width="14.1796875" style="4" customWidth="1"/>
    <col min="55" max="55" width="14" style="4" customWidth="1"/>
    <col min="56" max="56" width="10.54296875" style="4" bestFit="1" customWidth="1"/>
    <col min="57" max="57" width="9.453125" style="4" bestFit="1" customWidth="1"/>
    <col min="58" max="59" width="10.54296875" style="4" bestFit="1" customWidth="1"/>
    <col min="60" max="62" width="10.54296875" style="4" customWidth="1"/>
    <col min="63" max="63" width="9" style="4" bestFit="1" customWidth="1"/>
    <col min="64" max="64" width="10.54296875" style="4" bestFit="1" customWidth="1"/>
    <col min="65" max="65" width="9.1796875" style="4" bestFit="1" customWidth="1"/>
    <col min="66" max="66" width="11.81640625" style="4" bestFit="1" customWidth="1"/>
    <col min="67" max="67" width="8.453125" style="4" bestFit="1" customWidth="1"/>
    <col min="68" max="68" width="9.453125" style="4" bestFit="1" customWidth="1"/>
    <col min="69" max="69" width="9.816406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54296875" style="4" bestFit="1" customWidth="1"/>
    <col min="75" max="75" width="14" style="4" bestFit="1" customWidth="1"/>
    <col min="76" max="76" width="13.81640625" style="4" customWidth="1"/>
    <col min="77" max="77" width="10.54296875" style="4" bestFit="1" customWidth="1"/>
    <col min="78" max="78" width="9.453125" style="4" bestFit="1" customWidth="1"/>
    <col min="79" max="80" width="10.54296875" style="4" bestFit="1" customWidth="1"/>
    <col min="81" max="83" width="10.54296875" style="4" customWidth="1"/>
    <col min="84" max="84" width="11.453125" style="4"/>
    <col min="85" max="85" width="10.54296875" style="4" bestFit="1" customWidth="1"/>
    <col min="86" max="86" width="9.1796875" style="4" bestFit="1" customWidth="1"/>
    <col min="87" max="87" width="11.81640625" style="4" bestFit="1" customWidth="1"/>
    <col min="88" max="88" width="8.453125" style="4" bestFit="1" customWidth="1"/>
    <col min="89" max="89" width="9.453125" style="4" bestFit="1" customWidth="1"/>
    <col min="90" max="90" width="9.816406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54296875" style="4" bestFit="1" customWidth="1"/>
    <col min="99" max="99" width="9.453125" style="4" bestFit="1" customWidth="1"/>
    <col min="100" max="101" width="10.54296875" style="4" bestFit="1" customWidth="1"/>
    <col min="102" max="104" width="10.54296875" style="4" customWidth="1"/>
    <col min="105" max="105" width="9" style="4" bestFit="1" customWidth="1"/>
    <col min="106" max="106" width="10.54296875" style="4" bestFit="1" customWidth="1"/>
    <col min="107" max="107" width="9.1796875" style="4" bestFit="1" customWidth="1"/>
    <col min="108" max="108" width="11.81640625" style="4" bestFit="1" customWidth="1"/>
    <col min="109" max="109" width="8.453125" style="4" bestFit="1" customWidth="1"/>
    <col min="110" max="110" width="9.453125" style="4" bestFit="1" customWidth="1"/>
    <col min="111" max="111" width="9.816406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54296875" style="4" bestFit="1" customWidth="1"/>
    <col min="117" max="117" width="14.1796875" style="4" customWidth="1"/>
    <col min="118" max="118" width="14" style="4" bestFit="1" customWidth="1"/>
    <col min="119" max="119" width="10.54296875" style="4" bestFit="1" customWidth="1"/>
    <col min="120" max="120" width="9.453125" style="4" bestFit="1" customWidth="1"/>
    <col min="121" max="122" width="10.54296875" style="4" bestFit="1" customWidth="1"/>
    <col min="123" max="125" width="10.54296875" style="4" customWidth="1"/>
    <col min="126" max="126" width="9" style="4" bestFit="1" customWidth="1"/>
    <col min="127" max="127" width="10.54296875" style="4" bestFit="1" customWidth="1"/>
    <col min="128" max="128" width="9.1796875" style="4" bestFit="1" customWidth="1"/>
    <col min="129" max="129" width="11.81640625" style="4" bestFit="1" customWidth="1"/>
    <col min="130" max="130" width="8.453125" style="4" bestFit="1" customWidth="1"/>
    <col min="131" max="131" width="9.453125" style="4" bestFit="1" customWidth="1"/>
    <col min="132" max="132" width="9.816406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54296875" style="4" bestFit="1" customWidth="1"/>
    <col min="138" max="139" width="14" style="4" customWidth="1"/>
    <col min="140" max="140" width="10.54296875" style="4" bestFit="1" customWidth="1"/>
    <col min="141" max="141" width="9.453125" style="4" bestFit="1" customWidth="1"/>
    <col min="142" max="143" width="10.54296875" style="4" bestFit="1" customWidth="1"/>
    <col min="144" max="146" width="10.54296875" style="4" customWidth="1"/>
    <col min="147" max="147" width="9" style="4" bestFit="1" customWidth="1"/>
    <col min="148" max="148" width="10.54296875" style="4" bestFit="1" customWidth="1"/>
    <col min="149" max="149" width="9.1796875" style="4" bestFit="1" customWidth="1"/>
    <col min="150" max="150" width="11.81640625" style="4" bestFit="1" customWidth="1"/>
    <col min="151" max="151" width="8.453125" style="4" bestFit="1" customWidth="1"/>
    <col min="152" max="152" width="9.453125" style="4" bestFit="1" customWidth="1"/>
    <col min="153" max="153" width="9.816406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54296875" style="4" bestFit="1" customWidth="1"/>
    <col min="162" max="162" width="9.453125" style="4" bestFit="1" customWidth="1"/>
    <col min="163" max="164" width="10.54296875" style="4" bestFit="1" customWidth="1"/>
    <col min="165" max="167" width="10.54296875" style="4" customWidth="1"/>
    <col min="168" max="168" width="9" style="4" bestFit="1" customWidth="1"/>
    <col min="169" max="169" width="10.54296875" style="4" bestFit="1" customWidth="1"/>
    <col min="170" max="170" width="9.1796875" style="4" bestFit="1" customWidth="1"/>
    <col min="171" max="171" width="11.81640625" style="4" bestFit="1" customWidth="1"/>
    <col min="172" max="172" width="8.1796875" style="4" bestFit="1" customWidth="1"/>
    <col min="173" max="173" width="9.453125" style="4" bestFit="1" customWidth="1"/>
    <col min="174" max="174" width="9.816406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54296875" style="4" bestFit="1" customWidth="1"/>
    <col min="180" max="181" width="14" style="4" bestFit="1" customWidth="1"/>
    <col min="182" max="182" width="10.54296875" style="4" bestFit="1" customWidth="1"/>
    <col min="183" max="183" width="9.453125" style="4" bestFit="1" customWidth="1"/>
    <col min="184" max="185" width="10.54296875" style="4" bestFit="1" customWidth="1"/>
    <col min="186" max="188" width="10.54296875" style="4" customWidth="1"/>
    <col min="189" max="189" width="9" style="4" bestFit="1" customWidth="1"/>
    <col min="190" max="190" width="10.54296875" style="4" bestFit="1" customWidth="1"/>
    <col min="191" max="191" width="9.179687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816406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54296875" style="4" bestFit="1" customWidth="1"/>
    <col min="201" max="201" width="14" style="4" customWidth="1"/>
    <col min="202" max="202" width="14.1796875" style="4" customWidth="1"/>
    <col min="203" max="203" width="10.54296875" style="4" bestFit="1" customWidth="1"/>
    <col min="204" max="204" width="9.453125" style="4" bestFit="1" customWidth="1"/>
    <col min="205" max="206" width="10.54296875" style="4" bestFit="1" customWidth="1"/>
    <col min="207" max="209" width="10.54296875" style="4" customWidth="1"/>
    <col min="210" max="210" width="9" style="4" bestFit="1" customWidth="1"/>
    <col min="211" max="211" width="10.54296875" style="4" bestFit="1" customWidth="1"/>
    <col min="212" max="212" width="9.1796875" style="4" bestFit="1" customWidth="1"/>
    <col min="213" max="213" width="11.81640625" style="4" bestFit="1" customWidth="1"/>
    <col min="214" max="214" width="8.453125" style="4" bestFit="1" customWidth="1"/>
    <col min="215" max="215" width="9.453125" style="4" bestFit="1" customWidth="1"/>
    <col min="216" max="216" width="9.816406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Epicéa de Sitka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Thuya géant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/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/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58.5" thickBot="1" x14ac:dyDescent="0.4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234.83702199169585</v>
      </c>
      <c r="T3" s="59">
        <f>IF('Données projet'!E9&gt;30,$R$33-$H$33,LOOKUP('Données projet'!$E$9,$A$3:$A$203,R3:R203)-LOOKUP('Données projet'!$E$9,$A$3:$A$203,$H$3:$H$203))</f>
        <v>248.83008816685089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314.16268026911069</v>
      </c>
      <c r="AO3" s="59">
        <f>IF('Données projet'!E10&gt;30,$AM$33-$H$33,LOOKUP('Données projet'!$E$10,$A$3:$A$203,AM3:AM203)-LOOKUP('Données projet'!$E$10,$A$3:$A$203,$H$3:$H$203))</f>
        <v>265.23571072429735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294.75450271279925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7.1739130434782608</v>
      </c>
      <c r="N4" s="13">
        <f>IF('Données projet'!$A$36&gt;35,N3+M4-V3,IF(A4&lt;'Données projet'!$A$36,$K$205^A4,IF(A4='Données projet'!$A$36,'Données projet'!$B$36,N3+M4-V3)))</f>
        <v>1.2485684178796581</v>
      </c>
      <c r="O4" s="13">
        <f>N4*VLOOKUP('Données projet'!$B$9,Paramètres!$A$1:$I$89,3,0)*VLOOKUP('Données projet'!$B$9,Paramètres!$A$1:$I$89,5,0)</f>
        <v>0.58433001956768005</v>
      </c>
      <c r="P4" s="13">
        <f>EXP(-1.0587+0.8836*LN(O4)+0.284)</f>
        <v>0.28666274091291899</v>
      </c>
      <c r="Q4" s="20">
        <f t="shared" ref="Q4:Q34" si="2">(O4+P4)*0.475*44/12</f>
        <v>1.5169790578370435</v>
      </c>
      <c r="R4" s="59">
        <f t="shared" si="0"/>
        <v>294.85031239117035</v>
      </c>
      <c r="S4" s="59">
        <f ca="1">AVERAGE(OFFSET($R$3,0,0,'Données projet'!$E$9+1,1))-AVERAGE(OFFSET($H$3,0,0,'Données projet'!$E$9+1,1))</f>
        <v>234.83702199169585</v>
      </c>
      <c r="T4" s="59">
        <f>$T$3</f>
        <v>248.83008816685089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8.1999999999999993</v>
      </c>
      <c r="AI4" s="13">
        <f>IF('Données projet'!$A$62&gt;35,AI3+AH4-AQ3,IF(A4&lt;'Données projet'!$A$62,$AF$205^A4,IF(A4='Données projet'!$A$62,'Données projet'!$B$62,AI3+AH4-AQ3)))</f>
        <v>1.2904530024133452</v>
      </c>
      <c r="AJ4" s="13">
        <f>AI4*VLOOKUP('Données projet'!$B$10,Paramètres!$A$1:$I$89,3,0)*VLOOKUP('Données projet'!$B$10,Paramètres!$A$1:$I$89,5,0)</f>
        <v>0.52005255997257815</v>
      </c>
      <c r="AK4" s="13">
        <f>EXP(-1.0587+0.8836*LN(AJ4)+0.284)</f>
        <v>0.25861362678255362</v>
      </c>
      <c r="AL4" s="20">
        <f t="shared" ref="AL4:AL67" si="4">(AJ4+AK4)*0.475*44/12</f>
        <v>1.3561769419318546</v>
      </c>
      <c r="AM4" s="59">
        <f t="shared" ref="AM4:AM67" si="5">AL4+(AD4+AE4)*44/12</f>
        <v>294.68951027526515</v>
      </c>
      <c r="AN4" s="59">
        <f ca="1">AVERAGE(OFFSET($AM$3,0,0,'Données projet'!$E$10+1,1))-AVERAGE(OFFSET($H$3,0,0,'Données projet'!$E$10+1,1))</f>
        <v>314.16268026911069</v>
      </c>
      <c r="AO4" s="59">
        <f>$AO$3</f>
        <v>265.23571072429735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296.10277557080786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7.1739130434782608</v>
      </c>
      <c r="N5" s="13">
        <f>IF('Données projet'!$A$36&gt;35,N4+M5-V4,IF(A5&lt;'Données projet'!$A$36,$K$205^A5,IF(A5='Données projet'!$A$36,'Données projet'!$B$36,N4+M5-V4)))</f>
        <v>1.5589230941265126</v>
      </c>
      <c r="O5" s="13">
        <f>N5*VLOOKUP('Données projet'!$B$9,Paramètres!$A$1:$I$89,3,0)*VLOOKUP('Données projet'!$B$9,Paramètres!$A$1:$I$89,5,0)</f>
        <v>0.72957600805120781</v>
      </c>
      <c r="P5" s="13">
        <f t="shared" ref="P5:P68" si="33">EXP(-1.0587+0.8836*LN(O5)+0.284)</f>
        <v>0.34878772915648432</v>
      </c>
      <c r="Q5" s="20">
        <f t="shared" si="2"/>
        <v>1.8781501756367305</v>
      </c>
      <c r="R5" s="59">
        <f t="shared" si="0"/>
        <v>295.21148350897005</v>
      </c>
      <c r="S5" s="59">
        <f ca="1">AVERAGE(OFFSET($R$3,0,0,'Données projet'!$E$9+1,1))-AVERAGE(OFFSET($H$3,0,0,'Données projet'!$E$9+1,1))</f>
        <v>234.83702199169585</v>
      </c>
      <c r="T5" s="59">
        <f t="shared" ref="T5:T68" si="34">$T$3</f>
        <v>248.83008816685089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8.1999999999999993</v>
      </c>
      <c r="AI5" s="13">
        <f>IF('Données projet'!$A$62&gt;35,AI4+AH5-AQ4,IF(A5&lt;'Données projet'!$A$62,$AF$205^A5,IF(A5='Données projet'!$A$62,'Données projet'!$B$62,AI4+AH5-AQ4)))</f>
        <v>1.6652689514376169</v>
      </c>
      <c r="AJ5" s="13">
        <f>AI5*VLOOKUP('Données projet'!$B$10,Paramètres!$A$1:$I$89,3,0)*VLOOKUP('Données projet'!$B$10,Paramètres!$A$1:$I$89,5,0)</f>
        <v>0.6711033874293596</v>
      </c>
      <c r="AK5" s="13">
        <f t="shared" ref="AK5:AK68" si="35">EXP(-1.0587+0.8836*LN(AJ5)+0.284)</f>
        <v>0.32396881403203143</v>
      </c>
      <c r="AL5" s="20">
        <f t="shared" si="4"/>
        <v>1.7330840842119228</v>
      </c>
      <c r="AM5" s="59">
        <f t="shared" si="5"/>
        <v>295.06641741754521</v>
      </c>
      <c r="AN5" s="59">
        <f ca="1">AVERAGE(OFFSET($AM$3,0,0,'Données projet'!$E$10+1,1))-AVERAGE(OFFSET($H$3,0,0,'Données projet'!$E$10+1,1))</f>
        <v>314.16268026911069</v>
      </c>
      <c r="AO5" s="59">
        <f t="shared" ref="AO5:AO68" si="36">$AO$3</f>
        <v>265.23571072429735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297.42750651156223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7.1739130434782608</v>
      </c>
      <c r="N6" s="13">
        <f>IF('Données projet'!$A$36&gt;35,N5+M6-V5,IF(A6&lt;'Données projet'!$A$36,$K$205^A6,IF(A6='Données projet'!$A$36,'Données projet'!$B$36,N5+M6-V5)))</f>
        <v>1.9464221412296012</v>
      </c>
      <c r="O6" s="13">
        <f>N6*VLOOKUP('Données projet'!$B$9,Paramètres!$A$1:$I$89,3,0)*VLOOKUP('Données projet'!$B$9,Paramètres!$A$1:$I$89,5,0)</f>
        <v>0.91092556209545339</v>
      </c>
      <c r="P6" s="13">
        <f t="shared" si="33"/>
        <v>0.42437632328050684</v>
      </c>
      <c r="Q6" s="20">
        <f t="shared" si="2"/>
        <v>2.3256507836964637</v>
      </c>
      <c r="R6" s="59">
        <f t="shared" si="0"/>
        <v>295.65898411702977</v>
      </c>
      <c r="S6" s="59">
        <f ca="1">AVERAGE(OFFSET($R$3,0,0,'Données projet'!$E$9+1,1))-AVERAGE(OFFSET($H$3,0,0,'Données projet'!$E$9+1,1))</f>
        <v>234.83702199169585</v>
      </c>
      <c r="T6" s="59">
        <f t="shared" si="34"/>
        <v>248.83008816685089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8.1999999999999993</v>
      </c>
      <c r="AI6" s="13">
        <f>IF('Données projet'!$A$62&gt;35,AI5+AH6-AQ5,IF(A6&lt;'Données projet'!$A$62,$AF$205^A6,IF(A6='Données projet'!$A$62,'Données projet'!$B$62,AI5+AH6-AQ5)))</f>
        <v>2.1489513182083959</v>
      </c>
      <c r="AJ6" s="13">
        <f>AI6*VLOOKUP('Données projet'!$B$10,Paramètres!$A$1:$I$89,3,0)*VLOOKUP('Données projet'!$B$10,Paramètres!$A$1:$I$89,5,0)</f>
        <v>0.86602738123798351</v>
      </c>
      <c r="AK6" s="13">
        <f t="shared" si="35"/>
        <v>0.40584014760200343</v>
      </c>
      <c r="AL6" s="20">
        <f t="shared" si="4"/>
        <v>2.2151692793963105</v>
      </c>
      <c r="AM6" s="59">
        <f t="shared" si="5"/>
        <v>295.54850261272964</v>
      </c>
      <c r="AN6" s="59">
        <f ca="1">AVERAGE(OFFSET($AM$3,0,0,'Données projet'!$E$10+1,1))-AVERAGE(OFFSET($H$3,0,0,'Données projet'!$E$10+1,1))</f>
        <v>314.16268026911069</v>
      </c>
      <c r="AO6" s="59">
        <f t="shared" si="36"/>
        <v>265.23571072429735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298.73772566676109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7.1739130434782608</v>
      </c>
      <c r="N7" s="13">
        <f>IF('Données projet'!$A$36&gt;35,N6+M7-V6,IF(A7&lt;'Données projet'!$A$36,$K$205^A7,IF(A7='Données projet'!$A$36,'Données projet'!$B$36,N6+M7-V6)))</f>
        <v>2.4302412134009796</v>
      </c>
      <c r="O7" s="13">
        <f>N7*VLOOKUP('Données projet'!$B$9,Paramètres!$A$1:$I$89,3,0)*VLOOKUP('Données projet'!$B$9,Paramètres!$A$1:$I$89,5,0)</f>
        <v>1.1373528878716586</v>
      </c>
      <c r="P7" s="13">
        <f t="shared" si="33"/>
        <v>0.51634632960462079</v>
      </c>
      <c r="Q7" s="20">
        <f t="shared" si="2"/>
        <v>2.8801928037711861</v>
      </c>
      <c r="R7" s="59">
        <f t="shared" si="0"/>
        <v>296.21352613710451</v>
      </c>
      <c r="S7" s="59">
        <f ca="1">AVERAGE(OFFSET($R$3,0,0,'Données projet'!$E$9+1,1))-AVERAGE(OFFSET($H$3,0,0,'Données projet'!$E$9+1,1))</f>
        <v>234.83702199169585</v>
      </c>
      <c r="T7" s="59">
        <f t="shared" si="34"/>
        <v>248.83008816685089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8.1999999999999993</v>
      </c>
      <c r="AI7" s="13">
        <f>IF('Données projet'!$A$62&gt;35,AI6+AH7-AQ6,IF(A7&lt;'Données projet'!$A$62,$AF$205^A7,IF(A7='Données projet'!$A$62,'Données projet'!$B$62,AI6+AH7-AQ6)))</f>
        <v>2.77312068062214</v>
      </c>
      <c r="AJ7" s="13">
        <f>AI7*VLOOKUP('Données projet'!$B$10,Paramètres!$A$1:$I$89,3,0)*VLOOKUP('Données projet'!$B$10,Paramètres!$A$1:$I$89,5,0)</f>
        <v>1.1175676342907224</v>
      </c>
      <c r="AK7" s="13">
        <f t="shared" si="35"/>
        <v>0.50840148270978658</v>
      </c>
      <c r="AL7" s="20">
        <f t="shared" si="4"/>
        <v>2.8318962121092195</v>
      </c>
      <c r="AM7" s="59">
        <f t="shared" si="5"/>
        <v>296.16522954544251</v>
      </c>
      <c r="AN7" s="59">
        <f ca="1">AVERAGE(OFFSET($AM$3,0,0,'Données projet'!$E$10+1,1))-AVERAGE(OFFSET($H$3,0,0,'Données projet'!$E$10+1,1))</f>
        <v>314.16268026911069</v>
      </c>
      <c r="AO7" s="59">
        <f t="shared" si="36"/>
        <v>265.23571072429735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300.03752578811759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7.1739130434782608</v>
      </c>
      <c r="N8" s="13">
        <f>IF('Données projet'!$A$36&gt;35,N7+M8-V7,IF(A8&lt;'Données projet'!$A$36,$K$205^A8,IF(A8='Données projet'!$A$36,'Données projet'!$B$36,N7+M8-V7)))</f>
        <v>3.0343224268820017</v>
      </c>
      <c r="O8" s="13">
        <f>N8*VLOOKUP('Données projet'!$B$9,Paramètres!$A$1:$I$89,3,0)*VLOOKUP('Données projet'!$B$9,Paramètres!$A$1:$I$89,5,0)</f>
        <v>1.4200628957807768</v>
      </c>
      <c r="P8" s="13">
        <f t="shared" si="33"/>
        <v>0.62824789572422923</v>
      </c>
      <c r="Q8" s="20">
        <f t="shared" si="2"/>
        <v>3.5674746285378856</v>
      </c>
      <c r="R8" s="59">
        <f t="shared" si="0"/>
        <v>296.90080796187118</v>
      </c>
      <c r="S8" s="59">
        <f ca="1">AVERAGE(OFFSET($R$3,0,0,'Données projet'!$E$9+1,1))-AVERAGE(OFFSET($H$3,0,0,'Données projet'!$E$9+1,1))</f>
        <v>234.83702199169585</v>
      </c>
      <c r="T8" s="59">
        <f t="shared" si="34"/>
        <v>248.83008816685089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8.1999999999999993</v>
      </c>
      <c r="AI8" s="13">
        <f>IF('Données projet'!$A$62&gt;35,AI7+AH8-AQ7,IF(A8&lt;'Données projet'!$A$62,$AF$205^A8,IF(A8='Données projet'!$A$62,'Données projet'!$B$62,AI7+AH8-AQ7)))</f>
        <v>3.5785819083633799</v>
      </c>
      <c r="AJ8" s="13">
        <f>AI8*VLOOKUP('Données projet'!$B$10,Paramètres!$A$1:$I$89,3,0)*VLOOKUP('Données projet'!$B$10,Paramètres!$A$1:$I$89,5,0)</f>
        <v>1.4421685090704421</v>
      </c>
      <c r="AK8" s="13">
        <f t="shared" si="35"/>
        <v>0.63688146465732642</v>
      </c>
      <c r="AL8" s="20">
        <f t="shared" si="4"/>
        <v>3.6210120375758632</v>
      </c>
      <c r="AM8" s="59">
        <f t="shared" si="5"/>
        <v>296.95434537090915</v>
      </c>
      <c r="AN8" s="59">
        <f ca="1">AVERAGE(OFFSET($AM$3,0,0,'Données projet'!$E$10+1,1))-AVERAGE(OFFSET($H$3,0,0,'Données projet'!$E$10+1,1))</f>
        <v>314.16268026911069</v>
      </c>
      <c r="AO8" s="59">
        <f t="shared" si="36"/>
        <v>265.23571072429735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301.3292415520861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7.1739130434782608</v>
      </c>
      <c r="N9" s="13">
        <f>IF('Données projet'!$A$36&gt;35,N8+M9-V8,IF(A9&lt;'Données projet'!$A$36,$K$205^A9,IF(A9='Données projet'!$A$36,'Données projet'!$B$36,N8+M9-V8)))</f>
        <v>3.7885591518688257</v>
      </c>
      <c r="O9" s="13">
        <f>N9*VLOOKUP('Données projet'!$B$9,Paramètres!$A$1:$I$89,3,0)*VLOOKUP('Données projet'!$B$9,Paramètres!$A$1:$I$89,5,0)</f>
        <v>1.7730456830746104</v>
      </c>
      <c r="P9" s="13">
        <f t="shared" si="33"/>
        <v>0.7644005502743676</v>
      </c>
      <c r="Q9" s="20">
        <f t="shared" si="2"/>
        <v>4.419385523082803</v>
      </c>
      <c r="R9" s="59">
        <f t="shared" si="0"/>
        <v>297.7527188564161</v>
      </c>
      <c r="S9" s="59">
        <f ca="1">AVERAGE(OFFSET($R$3,0,0,'Données projet'!$E$9+1,1))-AVERAGE(OFFSET($H$3,0,0,'Données projet'!$E$9+1,1))</f>
        <v>234.83702199169585</v>
      </c>
      <c r="T9" s="59">
        <f t="shared" si="34"/>
        <v>248.83008816685089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8.1999999999999993</v>
      </c>
      <c r="AI9" s="13">
        <f>IF('Données projet'!$A$62&gt;35,AI8+AH9-AQ8,IF(A9&lt;'Données projet'!$A$62,$AF$205^A9,IF(A9='Données projet'!$A$62,'Données projet'!$B$62,AI8+AH9-AQ8)))</f>
        <v>4.6179917680296017</v>
      </c>
      <c r="AJ9" s="13">
        <f>AI9*VLOOKUP('Données projet'!$B$10,Paramètres!$A$1:$I$89,3,0)*VLOOKUP('Données projet'!$B$10,Paramètres!$A$1:$I$89,5,0)</f>
        <v>1.8610506825159296</v>
      </c>
      <c r="AK9" s="13">
        <f t="shared" si="35"/>
        <v>0.79783008865771199</v>
      </c>
      <c r="AL9" s="20">
        <f t="shared" si="4"/>
        <v>4.6308840097940926</v>
      </c>
      <c r="AM9" s="59">
        <f t="shared" si="5"/>
        <v>297.96421734312742</v>
      </c>
      <c r="AN9" s="59">
        <f ca="1">AVERAGE(OFFSET($AM$3,0,0,'Données projet'!$E$10+1,1))-AVERAGE(OFFSET($H$3,0,0,'Données projet'!$E$10+1,1))</f>
        <v>314.16268026911069</v>
      </c>
      <c r="AO9" s="59">
        <f t="shared" si="36"/>
        <v>265.23571072429735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302.6143780343051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7.1739130434782608</v>
      </c>
      <c r="N10" s="13">
        <f>IF('Données projet'!$A$36&gt;35,N9+M10-V9,IF(A10&lt;'Données projet'!$A$36,$K$205^A10,IF(A10='Données projet'!$A$36,'Données projet'!$B$36,N9+M10-V9)))</f>
        <v>4.7302753062923593</v>
      </c>
      <c r="O10" s="13">
        <f>N10*VLOOKUP('Données projet'!$B$9,Paramètres!$A$1:$I$89,3,0)*VLOOKUP('Données projet'!$B$9,Paramètres!$A$1:$I$89,5,0)</f>
        <v>2.2137688433448242</v>
      </c>
      <c r="P10" s="13">
        <f t="shared" si="33"/>
        <v>0.93005994168301886</v>
      </c>
      <c r="Q10" s="20">
        <f t="shared" si="2"/>
        <v>5.475501800590159</v>
      </c>
      <c r="R10" s="59">
        <f t="shared" si="0"/>
        <v>298.80883513392348</v>
      </c>
      <c r="S10" s="59">
        <f ca="1">AVERAGE(OFFSET($R$3,0,0,'Données projet'!$E$9+1,1))-AVERAGE(OFFSET($H$3,0,0,'Données projet'!$E$9+1,1))</f>
        <v>234.83702199169585</v>
      </c>
      <c r="T10" s="59">
        <f t="shared" si="34"/>
        <v>248.83008816685089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8.1999999999999993</v>
      </c>
      <c r="AI10" s="13">
        <f>IF('Données projet'!$A$62&gt;35,AI9+AH10-AQ9,IF(A10&lt;'Données projet'!$A$62,$AF$205^A10,IF(A10='Données projet'!$A$62,'Données projet'!$B$62,AI9+AH10-AQ9)))</f>
        <v>5.9593013421739123</v>
      </c>
      <c r="AJ10" s="13">
        <f>AI10*VLOOKUP('Données projet'!$B$10,Paramètres!$A$1:$I$89,3,0)*VLOOKUP('Données projet'!$B$10,Paramètres!$A$1:$I$89,5,0)</f>
        <v>2.4015984408960867</v>
      </c>
      <c r="AK10" s="13">
        <f t="shared" si="35"/>
        <v>0.99945262296188631</v>
      </c>
      <c r="AL10" s="20">
        <f t="shared" si="4"/>
        <v>5.9234972695526364</v>
      </c>
      <c r="AM10" s="59">
        <f t="shared" si="5"/>
        <v>299.25683060288594</v>
      </c>
      <c r="AN10" s="59">
        <f ca="1">AVERAGE(OFFSET($AM$3,0,0,'Données projet'!$E$10+1,1))-AVERAGE(OFFSET($H$3,0,0,'Données projet'!$E$10+1,1))</f>
        <v>314.16268026911069</v>
      </c>
      <c r="AO10" s="59">
        <f t="shared" si="36"/>
        <v>265.23571072429735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303.89398357937728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7.1739130434782608</v>
      </c>
      <c r="N11" s="13">
        <f>IF('Données projet'!$A$36&gt;35,N10+M11-V10,IF(A11&lt;'Données projet'!$A$36,$K$205^A11,IF(A11='Données projet'!$A$36,'Données projet'!$B$36,N10+M11-V10)))</f>
        <v>5.9060723553126655</v>
      </c>
      <c r="O11" s="13">
        <f>N11*VLOOKUP('Données projet'!$B$9,Paramètres!$A$1:$I$89,3,0)*VLOOKUP('Données projet'!$B$9,Paramètres!$A$1:$I$89,5,0)</f>
        <v>2.7640418622863274</v>
      </c>
      <c r="P11" s="13">
        <f t="shared" si="33"/>
        <v>1.1316207122207593</v>
      </c>
      <c r="Q11" s="20">
        <f t="shared" si="2"/>
        <v>6.784945650599842</v>
      </c>
      <c r="R11" s="59">
        <f t="shared" si="0"/>
        <v>300.11827898393318</v>
      </c>
      <c r="S11" s="59">
        <f ca="1">AVERAGE(OFFSET($R$3,0,0,'Données projet'!$E$9+1,1))-AVERAGE(OFFSET($H$3,0,0,'Données projet'!$E$9+1,1))</f>
        <v>234.83702199169585</v>
      </c>
      <c r="T11" s="59">
        <f t="shared" si="34"/>
        <v>248.83008816685089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8.1999999999999993</v>
      </c>
      <c r="AI11" s="13">
        <f>IF('Données projet'!$A$62&gt;35,AI10+AH11-AQ10,IF(A11&lt;'Données projet'!$A$62,$AF$205^A11,IF(A11='Données projet'!$A$62,'Données projet'!$B$62,AI10+AH11-AQ10)))</f>
        <v>7.6901983092942015</v>
      </c>
      <c r="AJ11" s="13">
        <f>AI11*VLOOKUP('Données projet'!$B$10,Paramètres!$A$1:$I$89,3,0)*VLOOKUP('Données projet'!$B$10,Paramètres!$A$1:$I$89,5,0)</f>
        <v>3.0991499186455629</v>
      </c>
      <c r="AK11" s="13">
        <f t="shared" si="35"/>
        <v>1.2520279189093708</v>
      </c>
      <c r="AL11" s="20">
        <f t="shared" si="4"/>
        <v>7.5783014004081757</v>
      </c>
      <c r="AM11" s="59">
        <f t="shared" si="5"/>
        <v>300.91163473374149</v>
      </c>
      <c r="AN11" s="59">
        <f ca="1">AVERAGE(OFFSET($AM$3,0,0,'Données projet'!$E$10+1,1))-AVERAGE(OFFSET($H$3,0,0,'Données projet'!$E$10+1,1))</f>
        <v>314.16268026911069</v>
      </c>
      <c r="AO11" s="59">
        <f t="shared" si="36"/>
        <v>265.23571072429735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305.16882873392143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7.1739130434782608</v>
      </c>
      <c r="N12" s="13">
        <f>IF('Données projet'!$A$36&gt;35,N11+M12-V11,IF(A12&lt;'Données projet'!$A$36,$K$205^A12,IF(A12='Données projet'!$A$36,'Données projet'!$B$36,N11+M12-V11)))</f>
        <v>7.3741354165555206</v>
      </c>
      <c r="O12" s="13">
        <f>N12*VLOOKUP('Données projet'!$B$9,Paramètres!$A$1:$I$89,3,0)*VLOOKUP('Données projet'!$B$9,Paramètres!$A$1:$I$89,5,0)</f>
        <v>3.4510953749479834</v>
      </c>
      <c r="P12" s="13">
        <f t="shared" si="33"/>
        <v>1.376863338517442</v>
      </c>
      <c r="Q12" s="20">
        <f t="shared" si="2"/>
        <v>8.4086947592856145</v>
      </c>
      <c r="R12" s="59">
        <f t="shared" si="0"/>
        <v>301.74202809261891</v>
      </c>
      <c r="S12" s="59">
        <f ca="1">AVERAGE(OFFSET($R$3,0,0,'Données projet'!$E$9+1,1))-AVERAGE(OFFSET($H$3,0,0,'Données projet'!$E$9+1,1))</f>
        <v>234.83702199169585</v>
      </c>
      <c r="T12" s="59">
        <f t="shared" si="34"/>
        <v>248.83008816685089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8.1999999999999993</v>
      </c>
      <c r="AI12" s="13">
        <f>IF('Données projet'!$A$62&gt;35,AI11+AH12-AQ11,IF(A12&lt;'Données projet'!$A$62,$AF$205^A12,IF(A12='Données projet'!$A$62,'Données projet'!$B$62,AI11+AH12-AQ11)))</f>
        <v>9.9238394973827333</v>
      </c>
      <c r="AJ12" s="13">
        <f>AI12*VLOOKUP('Données projet'!$B$10,Paramètres!$A$1:$I$89,3,0)*VLOOKUP('Données projet'!$B$10,Paramètres!$A$1:$I$89,5,0)</f>
        <v>3.999307317445242</v>
      </c>
      <c r="AK12" s="13">
        <f t="shared" si="35"/>
        <v>1.5684324336285318</v>
      </c>
      <c r="AL12" s="20">
        <f t="shared" si="4"/>
        <v>9.6971467331201548</v>
      </c>
      <c r="AM12" s="59">
        <f t="shared" si="5"/>
        <v>303.03048006645349</v>
      </c>
      <c r="AN12" s="59">
        <f ca="1">AVERAGE(OFFSET($AM$3,0,0,'Données projet'!$E$10+1,1))-AVERAGE(OFFSET($H$3,0,0,'Données projet'!$E$10+1,1))</f>
        <v>314.16268026911069</v>
      </c>
      <c r="AO12" s="59">
        <f t="shared" si="36"/>
        <v>265.23571072429735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306.43950276659285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7.1739130434782608</v>
      </c>
      <c r="N13" s="13">
        <f>IF('Données projet'!$A$36&gt;35,N12+M13-V12,IF(A13&lt;'Données projet'!$A$36,$K$205^A13,IF(A13='Données projet'!$A$36,'Données projet'!$B$36,N12+M13-V12)))</f>
        <v>9.2071125902790811</v>
      </c>
      <c r="O13" s="13">
        <f>N13*VLOOKUP('Données projet'!$B$9,Paramètres!$A$1:$I$89,3,0)*VLOOKUP('Données projet'!$B$9,Paramètres!$A$1:$I$89,5,0)</f>
        <v>4.3089286922506105</v>
      </c>
      <c r="P13" s="13">
        <f t="shared" si="33"/>
        <v>1.6752544668726144</v>
      </c>
      <c r="Q13" s="20">
        <f t="shared" si="2"/>
        <v>10.422452335472949</v>
      </c>
      <c r="R13" s="59">
        <f t="shared" si="0"/>
        <v>303.75578566880625</v>
      </c>
      <c r="S13" s="59">
        <f ca="1">AVERAGE(OFFSET($R$3,0,0,'Données projet'!$E$9+1,1))-AVERAGE(OFFSET($H$3,0,0,'Données projet'!$E$9+1,1))</f>
        <v>234.83702199169585</v>
      </c>
      <c r="T13" s="59">
        <f t="shared" si="34"/>
        <v>248.83008816685089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8.1999999999999993</v>
      </c>
      <c r="AI13" s="13">
        <f>IF('Données projet'!$A$62&gt;35,AI12+AH13-AQ12,IF(A13&lt;'Données projet'!$A$62,$AF$205^A13,IF(A13='Données projet'!$A$62,'Données projet'!$B$62,AI12+AH13-AQ12)))</f>
        <v>12.806248474865688</v>
      </c>
      <c r="AJ13" s="13">
        <f>AI13*VLOOKUP('Données projet'!$B$10,Paramètres!$A$1:$I$89,3,0)*VLOOKUP('Données projet'!$B$10,Paramètres!$A$1:$I$89,5,0)</f>
        <v>5.1609181353708724</v>
      </c>
      <c r="AK13" s="13">
        <f t="shared" si="35"/>
        <v>1.9647966804133112</v>
      </c>
      <c r="AL13" s="20">
        <f t="shared" si="4"/>
        <v>12.41061997082412</v>
      </c>
      <c r="AM13" s="59">
        <f t="shared" si="5"/>
        <v>305.74395330415746</v>
      </c>
      <c r="AN13" s="59">
        <f ca="1">AVERAGE(OFFSET($AM$3,0,0,'Données projet'!$E$10+1,1))-AVERAGE(OFFSET($H$3,0,0,'Données projet'!$E$10+1,1))</f>
        <v>314.16268026911069</v>
      </c>
      <c r="AO13" s="59">
        <f t="shared" si="36"/>
        <v>265.23571072429735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307.70647027243518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7.1739130434782608</v>
      </c>
      <c r="N14" s="13">
        <f>IF('Données projet'!$A$36&gt;35,N13+M14-V13,IF(A14&lt;'Données projet'!$A$36,$K$205^A14,IF(A14='Données projet'!$A$36,'Données projet'!$B$36,N13+M14-V13)))</f>
        <v>11.495710000084632</v>
      </c>
      <c r="O14" s="13">
        <f>N14*VLOOKUP('Données projet'!$B$9,Paramètres!$A$1:$I$89,3,0)*VLOOKUP('Données projet'!$B$9,Paramètres!$A$1:$I$89,5,0)</f>
        <v>5.3799922800396081</v>
      </c>
      <c r="P14" s="13">
        <f t="shared" si="33"/>
        <v>2.0383123366466882</v>
      </c>
      <c r="Q14" s="20">
        <f t="shared" si="2"/>
        <v>12.920213874061965</v>
      </c>
      <c r="R14" s="59">
        <f t="shared" si="0"/>
        <v>306.25354720739529</v>
      </c>
      <c r="S14" s="59">
        <f ca="1">AVERAGE(OFFSET($R$3,0,0,'Données projet'!$E$9+1,1))-AVERAGE(OFFSET($H$3,0,0,'Données projet'!$E$9+1,1))</f>
        <v>234.83702199169585</v>
      </c>
      <c r="T14" s="59">
        <f t="shared" si="34"/>
        <v>248.83008816685089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8.1999999999999993</v>
      </c>
      <c r="AI14" s="13">
        <f>IF('Données projet'!$A$62&gt;35,AI13+AH14-AQ13,IF(A14&lt;'Données projet'!$A$62,$AF$205^A14,IF(A14='Données projet'!$A$62,'Données projet'!$B$62,AI13+AH14-AQ13)))</f>
        <v>16.525861794041752</v>
      </c>
      <c r="AJ14" s="13">
        <f>AI14*VLOOKUP('Données projet'!$B$10,Paramètres!$A$1:$I$89,3,0)*VLOOKUP('Données projet'!$B$10,Paramètres!$A$1:$I$89,5,0)</f>
        <v>6.6599223029988259</v>
      </c>
      <c r="AK14" s="13">
        <f t="shared" si="35"/>
        <v>2.4613275730546853</v>
      </c>
      <c r="AL14" s="20">
        <f t="shared" si="4"/>
        <v>15.886176867459865</v>
      </c>
      <c r="AM14" s="59">
        <f t="shared" si="5"/>
        <v>309.2195102007932</v>
      </c>
      <c r="AN14" s="59">
        <f ca="1">AVERAGE(OFFSET($AM$3,0,0,'Données projet'!$E$10+1,1))-AVERAGE(OFFSET($H$3,0,0,'Données projet'!$E$10+1,1))</f>
        <v>314.16268026911069</v>
      </c>
      <c r="AO14" s="59">
        <f t="shared" si="36"/>
        <v>265.23571072429735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308.97010652964002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7.1739130434782608</v>
      </c>
      <c r="N15" s="13">
        <f>IF('Données projet'!$A$36&gt;35,N14+M15-V14,IF(A15&lt;'Données projet'!$A$36,$K$205^A15,IF(A15='Données projet'!$A$36,'Données projet'!$B$36,N14+M15-V14)))</f>
        <v>14.353180447209034</v>
      </c>
      <c r="O15" s="13">
        <f>N15*VLOOKUP('Données projet'!$B$9,Paramètres!$A$1:$I$89,3,0)*VLOOKUP('Données projet'!$B$9,Paramètres!$A$1:$I$89,5,0)</f>
        <v>6.7172884492938278</v>
      </c>
      <c r="P15" s="13">
        <f t="shared" si="33"/>
        <v>2.4800513974943508</v>
      </c>
      <c r="Q15" s="20">
        <f t="shared" si="2"/>
        <v>16.018700233156078</v>
      </c>
      <c r="R15" s="59">
        <f t="shared" si="0"/>
        <v>309.35203356648941</v>
      </c>
      <c r="S15" s="59">
        <f ca="1">AVERAGE(OFFSET($R$3,0,0,'Données projet'!$E$9+1,1))-AVERAGE(OFFSET($H$3,0,0,'Données projet'!$E$9+1,1))</f>
        <v>234.83702199169585</v>
      </c>
      <c r="T15" s="59">
        <f t="shared" si="34"/>
        <v>248.83008816685089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8.1999999999999993</v>
      </c>
      <c r="AI15" s="13">
        <f>IF('Données projet'!$A$62&gt;35,AI14+AH15-AQ14,IF(A15&lt;'Données projet'!$A$62,$AF$205^A15,IF(A15='Données projet'!$A$62,'Données projet'!$B$62,AI14+AH15-AQ14)))</f>
        <v>21.325847969589166</v>
      </c>
      <c r="AJ15" s="13">
        <f>AI15*VLOOKUP('Données projet'!$B$10,Paramètres!$A$1:$I$89,3,0)*VLOOKUP('Données projet'!$B$10,Paramètres!$A$1:$I$89,5,0)</f>
        <v>8.5943167317444331</v>
      </c>
      <c r="AK15" s="13">
        <f t="shared" si="35"/>
        <v>3.083338587789596</v>
      </c>
      <c r="AL15" s="20">
        <f t="shared" si="4"/>
        <v>20.3385830148551</v>
      </c>
      <c r="AM15" s="59">
        <f t="shared" si="5"/>
        <v>313.6719163481884</v>
      </c>
      <c r="AN15" s="59">
        <f ca="1">AVERAGE(OFFSET($AM$3,0,0,'Données projet'!$E$10+1,1))-AVERAGE(OFFSET($H$3,0,0,'Données projet'!$E$10+1,1))</f>
        <v>314.16268026911069</v>
      </c>
      <c r="AO15" s="59">
        <f t="shared" si="36"/>
        <v>265.23571072429735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310.23072070337594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7.1739130434782608</v>
      </c>
      <c r="N16" s="13">
        <f>IF('Données projet'!$A$36&gt;35,N15+M16-V15,IF(A16&lt;'Données projet'!$A$36,$K$205^A16,IF(A16='Données projet'!$A$36,'Données projet'!$B$36,N15+M16-V15)))</f>
        <v>17.920927802513027</v>
      </c>
      <c r="O16" s="13">
        <f>N16*VLOOKUP('Données projet'!$B$9,Paramètres!$A$1:$I$89,3,0)*VLOOKUP('Données projet'!$B$9,Paramètres!$A$1:$I$89,5,0)</f>
        <v>8.3869942115760967</v>
      </c>
      <c r="P16" s="13">
        <f t="shared" si="33"/>
        <v>3.0175232831747367</v>
      </c>
      <c r="Q16" s="20">
        <f t="shared" si="2"/>
        <v>19.862867970024372</v>
      </c>
      <c r="R16" s="59">
        <f t="shared" si="0"/>
        <v>313.19620130335767</v>
      </c>
      <c r="S16" s="59">
        <f ca="1">AVERAGE(OFFSET($R$3,0,0,'Données projet'!$E$9+1,1))-AVERAGE(OFFSET($H$3,0,0,'Données projet'!$E$9+1,1))</f>
        <v>234.83702199169585</v>
      </c>
      <c r="T16" s="59">
        <f t="shared" si="34"/>
        <v>248.83008816685089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8.1999999999999993</v>
      </c>
      <c r="AI16" s="13">
        <f>IF('Données projet'!$A$62&gt;35,AI15+AH16-AQ15,IF(A16&lt;'Données projet'!$A$62,$AF$205^A16,IF(A16='Données projet'!$A$62,'Données projet'!$B$62,AI15+AH16-AQ15)))</f>
        <v>27.52000454136688</v>
      </c>
      <c r="AJ16" s="13">
        <f>AI16*VLOOKUP('Données projet'!$B$10,Paramètres!$A$1:$I$89,3,0)*VLOOKUP('Données projet'!$B$10,Paramètres!$A$1:$I$89,5,0)</f>
        <v>11.090561830170854</v>
      </c>
      <c r="AK16" s="13">
        <f t="shared" si="35"/>
        <v>3.8625402612109454</v>
      </c>
      <c r="AL16" s="20">
        <f t="shared" si="4"/>
        <v>26.043319475823299</v>
      </c>
      <c r="AM16" s="59">
        <f t="shared" si="5"/>
        <v>319.37665280915661</v>
      </c>
      <c r="AN16" s="59">
        <f ca="1">AVERAGE(OFFSET($AM$3,0,0,'Données projet'!$E$10+1,1))-AVERAGE(OFFSET($H$3,0,0,'Données projet'!$E$10+1,1))</f>
        <v>314.16268026911069</v>
      </c>
      <c r="AO16" s="59">
        <f t="shared" si="36"/>
        <v>265.23571072429735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311.4885716930055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7.1739130434782608</v>
      </c>
      <c r="N17" s="13">
        <f>IF('Données projet'!$A$36&gt;35,N16+M17-V16,IF(A17&lt;'Données projet'!$A$36,$K$205^A17,IF(A17='Données projet'!$A$36,'Données projet'!$B$36,N16+M17-V16)))</f>
        <v>22.375504473319271</v>
      </c>
      <c r="O17" s="13">
        <f>N17*VLOOKUP('Données projet'!$B$9,Paramètres!$A$1:$I$89,3,0)*VLOOKUP('Données projet'!$B$9,Paramètres!$A$1:$I$89,5,0)</f>
        <v>10.471736093513419</v>
      </c>
      <c r="P17" s="13">
        <f t="shared" si="33"/>
        <v>3.6714750241471097</v>
      </c>
      <c r="Q17" s="20">
        <f t="shared" si="2"/>
        <v>24.632759363258756</v>
      </c>
      <c r="R17" s="59">
        <f t="shared" si="0"/>
        <v>317.96609269659206</v>
      </c>
      <c r="S17" s="59">
        <f ca="1">AVERAGE(OFFSET($R$3,0,0,'Données projet'!$E$9+1,1))-AVERAGE(OFFSET($H$3,0,0,'Données projet'!$E$9+1,1))</f>
        <v>234.83702199169585</v>
      </c>
      <c r="T17" s="59">
        <f t="shared" si="34"/>
        <v>248.83008816685089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8.1999999999999993</v>
      </c>
      <c r="AI17" s="13">
        <f>IF('Données projet'!$A$62&gt;35,AI16+AH17-AQ16,IF(A17&lt;'Données projet'!$A$62,$AF$205^A17,IF(A17='Données projet'!$A$62,'Données projet'!$B$62,AI16+AH17-AQ16)))</f>
        <v>35.513272486835781</v>
      </c>
      <c r="AJ17" s="13">
        <f>AI17*VLOOKUP('Données projet'!$B$10,Paramètres!$A$1:$I$89,3,0)*VLOOKUP('Données projet'!$B$10,Paramètres!$A$1:$I$89,5,0)</f>
        <v>14.311848812194821</v>
      </c>
      <c r="AK17" s="13">
        <f t="shared" si="35"/>
        <v>4.8386568145832118</v>
      </c>
      <c r="AL17" s="20">
        <f t="shared" si="4"/>
        <v>33.353797299971738</v>
      </c>
      <c r="AM17" s="59">
        <f t="shared" si="5"/>
        <v>326.68713063330506</v>
      </c>
      <c r="AN17" s="59">
        <f ca="1">AVERAGE(OFFSET($AM$3,0,0,'Données projet'!$E$10+1,1))-AVERAGE(OFFSET($H$3,0,0,'Données projet'!$E$10+1,1))</f>
        <v>314.16268026911069</v>
      </c>
      <c r="AO17" s="59">
        <f t="shared" si="36"/>
        <v>265.23571072429735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312.74387931648818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7.1739130434782608</v>
      </c>
      <c r="N18" s="13">
        <f>IF('Données projet'!$A$36&gt;35,N17+M18-V17,IF(A18&lt;'Données projet'!$A$36,$K$205^A18,IF(A18='Données projet'!$A$36,'Données projet'!$B$36,N17+M18-V17)))</f>
        <v>27.937348219511456</v>
      </c>
      <c r="O18" s="13">
        <f>N18*VLOOKUP('Données projet'!$B$9,Paramètres!$A$1:$I$89,3,0)*VLOOKUP('Données projet'!$B$9,Paramètres!$A$1:$I$89,5,0)</f>
        <v>13.074678966731362</v>
      </c>
      <c r="P18" s="13">
        <f t="shared" si="33"/>
        <v>4.4671499067122324</v>
      </c>
      <c r="Q18" s="20">
        <f t="shared" si="2"/>
        <v>30.552018621247594</v>
      </c>
      <c r="R18" s="59">
        <f t="shared" si="0"/>
        <v>323.88535195458093</v>
      </c>
      <c r="S18" s="59">
        <f ca="1">AVERAGE(OFFSET($R$3,0,0,'Données projet'!$E$9+1,1))-AVERAGE(OFFSET($H$3,0,0,'Données projet'!$E$9+1,1))</f>
        <v>234.83702199169585</v>
      </c>
      <c r="T18" s="59">
        <f t="shared" si="34"/>
        <v>248.83008816685089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8.1999999999999993</v>
      </c>
      <c r="AI18" s="13">
        <f>IF('Données projet'!$A$62&gt;35,AI17+AH18-AQ17,IF(A18&lt;'Données projet'!$A$62,$AF$205^A18,IF(A18='Données projet'!$A$62,'Données projet'!$B$62,AI17+AH18-AQ17)))</f>
        <v>45.828209106160486</v>
      </c>
      <c r="AJ18" s="13">
        <f>AI18*VLOOKUP('Données projet'!$B$10,Paramètres!$A$1:$I$89,3,0)*VLOOKUP('Données projet'!$B$10,Paramètres!$A$1:$I$89,5,0)</f>
        <v>18.468768269782675</v>
      </c>
      <c r="AK18" s="13">
        <f t="shared" si="35"/>
        <v>6.0614513211501082</v>
      </c>
      <c r="AL18" s="20">
        <f t="shared" si="4"/>
        <v>42.723465787541265</v>
      </c>
      <c r="AM18" s="59">
        <f t="shared" si="5"/>
        <v>336.05679912087459</v>
      </c>
      <c r="AN18" s="59">
        <f ca="1">AVERAGE(OFFSET($AM$3,0,0,'Données projet'!$E$10+1,1))-AVERAGE(OFFSET($H$3,0,0,'Données projet'!$E$10+1,1))</f>
        <v>314.16268026911069</v>
      </c>
      <c r="AO18" s="59">
        <f t="shared" si="36"/>
        <v>265.23571072429735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313.99683242457326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7.1739130434782608</v>
      </c>
      <c r="N19" s="13">
        <f>IF('Données projet'!$A$36&gt;35,N18+M19-V18,IF(A19&lt;'Données projet'!$A$36,$K$205^A19,IF(A19='Données projet'!$A$36,'Données projet'!$B$36,N18+M19-V18)))</f>
        <v>34.881690666188497</v>
      </c>
      <c r="O19" s="13">
        <f>N19*VLOOKUP('Données projet'!$B$9,Paramètres!$A$1:$I$89,3,0)*VLOOKUP('Données projet'!$B$9,Paramètres!$A$1:$I$89,5,0)</f>
        <v>16.324631231776216</v>
      </c>
      <c r="P19" s="13">
        <f t="shared" si="33"/>
        <v>5.4352618927796694</v>
      </c>
      <c r="Q19" s="20">
        <f t="shared" si="2"/>
        <v>37.89848052526817</v>
      </c>
      <c r="R19" s="59">
        <f t="shared" si="0"/>
        <v>331.23181385860147</v>
      </c>
      <c r="S19" s="59">
        <f ca="1">AVERAGE(OFFSET($R$3,0,0,'Données projet'!$E$9+1,1))-AVERAGE(OFFSET($H$3,0,0,'Données projet'!$E$9+1,1))</f>
        <v>234.83702199169585</v>
      </c>
      <c r="T19" s="59">
        <f t="shared" si="34"/>
        <v>248.83008816685089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8.1999999999999993</v>
      </c>
      <c r="AI19" s="13">
        <f>IF('Données projet'!$A$62&gt;35,AI18+AH19-AQ18,IF(A19&lt;'Données projet'!$A$62,$AF$205^A19,IF(A19='Données projet'!$A$62,'Données projet'!$B$62,AI18+AH19-AQ18)))</f>
        <v>59.139150036271396</v>
      </c>
      <c r="AJ19" s="13">
        <f>AI19*VLOOKUP('Données projet'!$B$10,Paramètres!$A$1:$I$89,3,0)*VLOOKUP('Données projet'!$B$10,Paramètres!$A$1:$I$89,5,0)</f>
        <v>23.833077464617372</v>
      </c>
      <c r="AK19" s="13">
        <f t="shared" si="35"/>
        <v>7.593262660814923</v>
      </c>
      <c r="AL19" s="20">
        <f t="shared" si="4"/>
        <v>54.734209051794572</v>
      </c>
      <c r="AM19" s="59">
        <f t="shared" si="5"/>
        <v>348.06754238512787</v>
      </c>
      <c r="AN19" s="59">
        <f ca="1">AVERAGE(OFFSET($AM$3,0,0,'Données projet'!$E$10+1,1))-AVERAGE(OFFSET($H$3,0,0,'Données projet'!$E$10+1,1))</f>
        <v>314.16268026911069</v>
      </c>
      <c r="AO19" s="59">
        <f t="shared" si="36"/>
        <v>265.23571072429735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315.24759492743152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7.1739130434782608</v>
      </c>
      <c r="N20" s="13">
        <f>IF('Données projet'!$A$36&gt;35,N19+M20-V19,IF(A20&lt;'Données projet'!$A$36,$K$205^A20,IF(A20='Données projet'!$A$36,'Données projet'!$B$36,N19+M20-V19)))</f>
        <v>43.552177328050611</v>
      </c>
      <c r="O20" s="13">
        <f>N20*VLOOKUP('Données projet'!$B$9,Paramètres!$A$1:$I$89,3,0)*VLOOKUP('Données projet'!$B$9,Paramètres!$A$1:$I$89,5,0)</f>
        <v>20.382418989527686</v>
      </c>
      <c r="P20" s="13">
        <f t="shared" si="33"/>
        <v>6.6131812139802273</v>
      </c>
      <c r="Q20" s="20">
        <f t="shared" si="2"/>
        <v>47.017337021109604</v>
      </c>
      <c r="R20" s="59">
        <f t="shared" si="0"/>
        <v>340.35067035444291</v>
      </c>
      <c r="S20" s="59">
        <f ca="1">AVERAGE(OFFSET($R$3,0,0,'Données projet'!$E$9+1,1))-AVERAGE(OFFSET($H$3,0,0,'Données projet'!$E$9+1,1))</f>
        <v>234.83702199169585</v>
      </c>
      <c r="T20" s="59">
        <f t="shared" si="34"/>
        <v>248.83008816685089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8.1999999999999993</v>
      </c>
      <c r="AI20" s="13">
        <f>IF('Données projet'!$A$62&gt;35,AI19+AH20-AQ19,IF(A20&lt;'Données projet'!$A$62,$AF$205^A20,IF(A20='Données projet'!$A$62,'Données projet'!$B$62,AI19+AH20-AQ19)))</f>
        <v>76.316293724479706</v>
      </c>
      <c r="AJ20" s="13">
        <f>AI20*VLOOKUP('Données projet'!$B$10,Paramètres!$A$1:$I$89,3,0)*VLOOKUP('Données projet'!$B$10,Paramètres!$A$1:$I$89,5,0)</f>
        <v>30.755466370965319</v>
      </c>
      <c r="AK20" s="13">
        <f t="shared" si="35"/>
        <v>9.5121835978361204</v>
      </c>
      <c r="AL20" s="20">
        <f t="shared" si="4"/>
        <v>70.132823695662495</v>
      </c>
      <c r="AM20" s="59">
        <f t="shared" si="5"/>
        <v>363.46615702899578</v>
      </c>
      <c r="AN20" s="59">
        <f ca="1">AVERAGE(OFFSET($AM$3,0,0,'Données projet'!$E$10+1,1))-AVERAGE(OFFSET($H$3,0,0,'Données projet'!$E$10+1,1))</f>
        <v>314.16268026911069</v>
      </c>
      <c r="AO20" s="59">
        <f t="shared" si="36"/>
        <v>265.23571072429735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316.49631036234257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7.1739130434782608</v>
      </c>
      <c r="N21" s="13">
        <f>IF('Données projet'!$A$36&gt;35,N20+M21-V20,IF(A21&lt;'Données projet'!$A$36,$K$205^A21,IF(A21='Données projet'!$A$36,'Données projet'!$B$36,N20+M21-V20)))</f>
        <v>54.377873141698466</v>
      </c>
      <c r="O21" s="13">
        <f>N21*VLOOKUP('Données projet'!$B$9,Paramètres!$A$1:$I$89,3,0)*VLOOKUP('Données projet'!$B$9,Paramètres!$A$1:$I$89,5,0)</f>
        <v>25.448844630314881</v>
      </c>
      <c r="P21" s="13">
        <f t="shared" si="33"/>
        <v>8.0463769054143359</v>
      </c>
      <c r="Q21" s="20">
        <f t="shared" si="2"/>
        <v>58.337510841395044</v>
      </c>
      <c r="R21" s="59">
        <f t="shared" si="0"/>
        <v>351.67084417472836</v>
      </c>
      <c r="S21" s="59">
        <f ca="1">AVERAGE(OFFSET($R$3,0,0,'Données projet'!$E$9+1,1))-AVERAGE(OFFSET($H$3,0,0,'Données projet'!$E$9+1,1))</f>
        <v>234.83702199169585</v>
      </c>
      <c r="T21" s="59">
        <f t="shared" si="34"/>
        <v>248.83008816685089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8.1999999999999993</v>
      </c>
      <c r="AI21" s="13">
        <f>IF('Données projet'!$A$62&gt;35,AI20+AH21-AQ20,IF(A21&lt;'Données projet'!$A$62,$AF$205^A21,IF(A21='Données projet'!$A$62,'Données projet'!$B$62,AI20+AH21-AQ20)))</f>
        <v>98.482590369813565</v>
      </c>
      <c r="AJ21" s="13">
        <f>AI21*VLOOKUP('Données projet'!$B$10,Paramètres!$A$1:$I$89,3,0)*VLOOKUP('Données projet'!$B$10,Paramètres!$A$1:$I$89,5,0)</f>
        <v>39.688483919034866</v>
      </c>
      <c r="AK21" s="13">
        <f t="shared" si="35"/>
        <v>11.91604200205974</v>
      </c>
      <c r="AL21" s="20">
        <f t="shared" si="4"/>
        <v>89.877882645906425</v>
      </c>
      <c r="AM21" s="59">
        <f t="shared" si="5"/>
        <v>383.21121597923974</v>
      </c>
      <c r="AN21" s="59">
        <f ca="1">AVERAGE(OFFSET($AM$3,0,0,'Données projet'!$E$10+1,1))-AVERAGE(OFFSET($H$3,0,0,'Données projet'!$E$10+1,1))</f>
        <v>314.16268026911069</v>
      </c>
      <c r="AO21" s="59">
        <f t="shared" si="36"/>
        <v>265.23571072429735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317.74310541723986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7.1739130434782608</v>
      </c>
      <c r="N22" s="13">
        <f>IF('Données projet'!$A$36&gt;35,N21+M22-V21,IF(A22&lt;'Données projet'!$A$36,$K$205^A22,IF(A22='Données projet'!$A$36,'Données projet'!$B$36,N21+M22-V21)))</f>
        <v>67.894495036191216</v>
      </c>
      <c r="O22" s="13">
        <f>N22*VLOOKUP('Données projet'!$B$9,Paramètres!$A$1:$I$89,3,0)*VLOOKUP('Données projet'!$B$9,Paramètres!$A$1:$I$89,5,0)</f>
        <v>31.774623676937491</v>
      </c>
      <c r="P22" s="13">
        <f t="shared" si="33"/>
        <v>9.7901719624915806</v>
      </c>
      <c r="Q22" s="20">
        <f t="shared" si="2"/>
        <v>72.392019072005624</v>
      </c>
      <c r="R22" s="59">
        <f t="shared" si="0"/>
        <v>365.72535240533892</v>
      </c>
      <c r="S22" s="59">
        <f ca="1">AVERAGE(OFFSET($R$3,0,0,'Données projet'!$E$9+1,1))-AVERAGE(OFFSET($H$3,0,0,'Données projet'!$E$9+1,1))</f>
        <v>234.83702199169585</v>
      </c>
      <c r="T22" s="59">
        <f t="shared" si="34"/>
        <v>248.83008816685089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8.1999999999999993</v>
      </c>
      <c r="AI22" s="13">
        <f>IF('Données projet'!$A$62&gt;35,AI21+AH22-AQ21,IF(A22&lt;'Données projet'!$A$62,$AF$205^A22,IF(A22='Données projet'!$A$62,'Données projet'!$B$62,AI21+AH22-AQ21)))</f>
        <v>127.08715442816953</v>
      </c>
      <c r="AJ22" s="13">
        <f>AI22*VLOOKUP('Données projet'!$B$10,Paramètres!$A$1:$I$89,3,0)*VLOOKUP('Données projet'!$B$10,Paramètres!$A$1:$I$89,5,0)</f>
        <v>51.21612323455232</v>
      </c>
      <c r="AK22" s="13">
        <f t="shared" si="35"/>
        <v>14.92738817900371</v>
      </c>
      <c r="AL22" s="20">
        <f t="shared" si="4"/>
        <v>115.19994904527674</v>
      </c>
      <c r="AM22" s="59">
        <f t="shared" si="5"/>
        <v>408.53328237861007</v>
      </c>
      <c r="AN22" s="59">
        <f ca="1">AVERAGE(OFFSET($AM$3,0,0,'Données projet'!$E$10+1,1))-AVERAGE(OFFSET($H$3,0,0,'Données projet'!$E$10+1,1))</f>
        <v>314.16268026911069</v>
      </c>
      <c r="AO22" s="59">
        <f t="shared" si="36"/>
        <v>265.23571072429735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318.98809269129538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7.1739130434782608</v>
      </c>
      <c r="N23" s="13">
        <f>IF('Données projet'!$A$36&gt;35,N22+M23-V22,IF(A23&lt;'Données projet'!$A$36,$K$205^A23,IF(A23='Données projet'!$A$36,'Données projet'!$B$36,N22+M23-V22)))</f>
        <v>84.770922250075557</v>
      </c>
      <c r="O23" s="13">
        <f>N23*VLOOKUP('Données projet'!$B$9,Paramètres!$A$1:$I$89,3,0)*VLOOKUP('Données projet'!$B$9,Paramètres!$A$1:$I$89,5,0)</f>
        <v>39.672791613035358</v>
      </c>
      <c r="P23" s="13">
        <f t="shared" si="33"/>
        <v>11.911878871925735</v>
      </c>
      <c r="Q23" s="20">
        <f t="shared" si="2"/>
        <v>89.843301094640552</v>
      </c>
      <c r="R23" s="59">
        <f t="shared" si="0"/>
        <v>383.17663442797385</v>
      </c>
      <c r="S23" s="59">
        <f ca="1">AVERAGE(OFFSET($R$3,0,0,'Données projet'!$E$9+1,1))-AVERAGE(OFFSET($H$3,0,0,'Données projet'!$E$9+1,1))</f>
        <v>234.83702199169585</v>
      </c>
      <c r="T23" s="59">
        <f t="shared" si="34"/>
        <v>248.83008816685089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164</v>
      </c>
      <c r="AG23" s="12">
        <f>VLOOKUP(A23,'Données projet'!$A$61:$I$81,9,0)</f>
        <v>8.1999999999999993</v>
      </c>
      <c r="AH23" s="12">
        <f t="array" ref="AH23">INDEX(AG:AG,MIN(IF(ISNUMBER(AG23:AG219),ROW(AG23:AG219),"")))</f>
        <v>8.1999999999999993</v>
      </c>
      <c r="AI23" s="13">
        <f>IF('Données projet'!$A$62&gt;35,AI22+AH23-AQ22,IF(A23&lt;'Données projet'!$A$62,$AF$205^A23,IF(A23='Données projet'!$A$62,'Données projet'!$B$62,AI22+AH23-AQ22)))</f>
        <v>164</v>
      </c>
      <c r="AJ23" s="13">
        <f>AI23*VLOOKUP('Données projet'!$B$10,Paramètres!$A$1:$I$89,3,0)*VLOOKUP('Données projet'!$B$10,Paramètres!$A$1:$I$89,5,0)</f>
        <v>66.091999999999999</v>
      </c>
      <c r="AK23" s="13">
        <f t="shared" si="35"/>
        <v>18.69974256620976</v>
      </c>
      <c r="AL23" s="20">
        <f t="shared" si="4"/>
        <v>147.67895163614867</v>
      </c>
      <c r="AM23" s="59">
        <f t="shared" si="5"/>
        <v>441.01228496948198</v>
      </c>
      <c r="AN23" s="59">
        <f ca="1">AVERAGE(OFFSET($AM$3,0,0,'Données projet'!$E$10+1,1))-AVERAGE(OFFSET($H$3,0,0,'Données projet'!$E$10+1,1))</f>
        <v>314.16268026911069</v>
      </c>
      <c r="AO23" s="59">
        <f t="shared" si="36"/>
        <v>265.23571072429735</v>
      </c>
      <c r="AP23" s="15">
        <f>IF(ISNA(VLOOKUP(A23,'Données projet'!$A$61:$I$81,3,0)),0,VLOOKUP(A23,'Données projet'!$A$61:$I$81,3,0))</f>
        <v>1</v>
      </c>
      <c r="AQ23" s="15">
        <f>IF(ISNA(VLOOKUP(A23,'Données projet'!$A$61:$I$81,4,0)),0,VLOOKUP(A23,'Données projet'!$A$61:$I$81,4,0))</f>
        <v>26</v>
      </c>
      <c r="AR23" s="16">
        <f>IF(ISNA(VLOOKUP(A23,'Données projet'!$A$61:$I$81,5,0)),0%,VLOOKUP(A23,'Données projet'!$A$61:$I$81,5,0)*VLOOKUP('Données projet'!$B$10,Paramètres!$A$1:$I$89,7,0))</f>
        <v>0.13750000000000001</v>
      </c>
      <c r="AS23" s="16">
        <f>IF(ISNA(VLOOKUP(A23,'Données projet'!$A$61:$I$81,6,0)),0%,VLOOKUP(A23,'Données projet'!$A$61:$I$81,6,0)*VLOOKUP('Données projet'!$B$10,Paramètres!$A$1:$I$89,7,0))</f>
        <v>0.20350000000000001</v>
      </c>
      <c r="AT23" s="16">
        <f>IF(ISNA(VLOOKUP(A23,'Données projet'!$A$61:$I$81,7,0)),0%,VLOOKUP(A23,'Données projet'!$A$61:$I$81,7,0))</f>
        <v>0.38</v>
      </c>
      <c r="AU23" s="21">
        <f>EXP(-LN(2)/35)*AU22+(1-EXP(-LN(2)/35))/(LN(2)/35)*AQ23*AR23*VLOOKUP('Données projet'!$B$10,Paramètres!$A$1:$I$89,3,0)*0.475*44/12</f>
        <v>1.9112145750631315</v>
      </c>
      <c r="AV23" s="21">
        <f>EXP(-LN(2)/25)*AV22+(1-EXP(-LN(2)/25))/(LN(2)/25)*Calculateur!AQ23*Calculateur!AS23*VLOOKUP('Données projet'!$B$10,Paramètres!$A$1:$I$89,3,0)*0.475*44/12</f>
        <v>2.8174603046758691</v>
      </c>
      <c r="AW23" s="21">
        <f>EXP(-LN(2)/2)*AW22+(1-EXP(-LN(2)/2))/(LN(2)/2)*AQ23*AT23*VLOOKUP('Données projet'!$B$10,Paramètres!$A$1:$I$89,3,0)*0.475*44/12</f>
        <v>4.5081414051232773</v>
      </c>
      <c r="AX23" s="21">
        <f t="shared" si="6"/>
        <v>9.2368162848622788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320.23137288769698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7.1739130434782608</v>
      </c>
      <c r="N24" s="13">
        <f>IF('Données projet'!$A$36&gt;35,N23+M24-V23,IF(A24&lt;'Données projet'!$A$36,$K$205^A24,IF(A24='Données projet'!$A$36,'Données projet'!$B$36,N23+M24-V23)))</f>
        <v>105.84229627597635</v>
      </c>
      <c r="O24" s="13">
        <f>N24*VLOOKUP('Données projet'!$B$9,Paramètres!$A$1:$I$89,3,0)*VLOOKUP('Données projet'!$B$9,Paramètres!$A$1:$I$89,5,0)</f>
        <v>49.534194657156931</v>
      </c>
      <c r="P24" s="13">
        <f t="shared" si="33"/>
        <v>14.493397950828152</v>
      </c>
      <c r="Q24" s="20">
        <f t="shared" si="2"/>
        <v>111.51472379224067</v>
      </c>
      <c r="R24" s="59">
        <f t="shared" si="0"/>
        <v>404.84805712557397</v>
      </c>
      <c r="S24" s="59">
        <f ca="1">AVERAGE(OFFSET($R$3,0,0,'Données projet'!$E$9+1,1))-AVERAGE(OFFSET($H$3,0,0,'Données projet'!$E$9+1,1))</f>
        <v>234.83702199169585</v>
      </c>
      <c r="T24" s="59">
        <f t="shared" si="34"/>
        <v>248.83008816685089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0</v>
      </c>
      <c r="AC24" s="22">
        <f t="shared" si="3"/>
        <v>0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26.4</v>
      </c>
      <c r="AI24" s="13">
        <f>IF('Données projet'!$A$62&gt;35,AI23+AH24-AQ23,IF(A24&lt;'Données projet'!$A$62,$AF$205^A24,IF(A24='Données projet'!$A$62,'Données projet'!$B$62,AI23+AH24-AQ23)))</f>
        <v>164.4</v>
      </c>
      <c r="AJ24" s="13">
        <f>AI24*VLOOKUP('Données projet'!$B$10,Paramètres!$A$1:$I$89,3,0)*VLOOKUP('Données projet'!$B$10,Paramètres!$A$1:$I$89,5,0)</f>
        <v>66.253200000000007</v>
      </c>
      <c r="AK24" s="13">
        <f t="shared" si="35"/>
        <v>18.740037076415806</v>
      </c>
      <c r="AL24" s="20">
        <f t="shared" si="4"/>
        <v>148.02988790809084</v>
      </c>
      <c r="AM24" s="59">
        <f t="shared" si="5"/>
        <v>441.36322124142418</v>
      </c>
      <c r="AN24" s="59">
        <f ca="1">AVERAGE(OFFSET($AM$3,0,0,'Données projet'!$E$10+1,1))-AVERAGE(OFFSET($H$3,0,0,'Données projet'!$E$10+1,1))</f>
        <v>314.16268026911069</v>
      </c>
      <c r="AO24" s="59">
        <f t="shared" si="36"/>
        <v>265.23571072429735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1.8737368229719285</v>
      </c>
      <c r="AV24" s="21">
        <f>EXP(-LN(2)/25)*AV23+(1-EXP(-LN(2)/25))/(LN(2)/25)*Calculateur!AQ24*Calculateur!AS24*VLOOKUP('Données projet'!$B$10,Paramètres!$A$1:$I$89,3,0)*0.475*44/12</f>
        <v>2.7404167044807095</v>
      </c>
      <c r="AW24" s="21">
        <f>EXP(-LN(2)/2)*AW23+(1-EXP(-LN(2)/2))/(LN(2)/2)*AQ24*AT24*VLOOKUP('Données projet'!$B$10,Paramètres!$A$1:$I$89,3,0)*0.475*44/12</f>
        <v>3.1877373581105202</v>
      </c>
      <c r="AX24" s="21">
        <f t="shared" si="6"/>
        <v>7.8018908855631581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321.47303657691953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7.1739130434782608</v>
      </c>
      <c r="N25" s="13">
        <f>IF('Données projet'!$A$36&gt;35,N24+M25-V24,IF(A25&lt;'Données projet'!$A$36,$K$205^A25,IF(A25='Données projet'!$A$36,'Données projet'!$B$36,N24+M25-V24)))</f>
        <v>132.15134840604583</v>
      </c>
      <c r="O25" s="13">
        <f>N25*VLOOKUP('Données projet'!$B$9,Paramètres!$A$1:$I$89,3,0)*VLOOKUP('Données projet'!$B$9,Paramètres!$A$1:$I$89,5,0)</f>
        <v>61.846831054029444</v>
      </c>
      <c r="P25" s="13">
        <f t="shared" si="33"/>
        <v>17.634378792764753</v>
      </c>
      <c r="Q25" s="20">
        <f t="shared" si="2"/>
        <v>138.42977381649987</v>
      </c>
      <c r="R25" s="59">
        <f t="shared" si="0"/>
        <v>431.76310714983322</v>
      </c>
      <c r="S25" s="59">
        <f ca="1">AVERAGE(OFFSET($R$3,0,0,'Données projet'!$E$9+1,1))-AVERAGE(OFFSET($H$3,0,0,'Données projet'!$E$9+1,1))</f>
        <v>234.83702199169585</v>
      </c>
      <c r="T25" s="59">
        <f t="shared" si="34"/>
        <v>248.83008816685089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0</v>
      </c>
      <c r="AC25" s="22">
        <f t="shared" si="3"/>
        <v>0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26.4</v>
      </c>
      <c r="AI25" s="13">
        <f>IF('Données projet'!$A$62&gt;35,AI24+AH25-AQ24,IF(A25&lt;'Données projet'!$A$62,$AF$205^A25,IF(A25='Données projet'!$A$62,'Données projet'!$B$62,AI24+AH25-AQ24)))</f>
        <v>190.8</v>
      </c>
      <c r="AJ25" s="13">
        <f>AI25*VLOOKUP('Données projet'!$B$10,Paramètres!$A$1:$I$89,3,0)*VLOOKUP('Données projet'!$B$10,Paramètres!$A$1:$I$89,5,0)</f>
        <v>76.892400000000009</v>
      </c>
      <c r="AK25" s="13">
        <f t="shared" si="35"/>
        <v>21.375616623556329</v>
      </c>
      <c r="AL25" s="20">
        <f t="shared" si="4"/>
        <v>171.15012895269396</v>
      </c>
      <c r="AM25" s="59">
        <f t="shared" si="5"/>
        <v>464.48346228602725</v>
      </c>
      <c r="AN25" s="59">
        <f ca="1">AVERAGE(OFFSET($AM$3,0,0,'Données projet'!$E$10+1,1))-AVERAGE(OFFSET($H$3,0,0,'Données projet'!$E$10+1,1))</f>
        <v>314.16268026911069</v>
      </c>
      <c r="AO25" s="59">
        <f t="shared" si="36"/>
        <v>265.23571072429735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1.8369939867400622</v>
      </c>
      <c r="AV25" s="21">
        <f>EXP(-LN(2)/25)*AV24+(1-EXP(-LN(2)/25))/(LN(2)/25)*Calculateur!AQ25*Calculateur!AS25*VLOOKUP('Données projet'!$B$10,Paramètres!$A$1:$I$89,3,0)*0.475*44/12</f>
        <v>2.6654798655844334</v>
      </c>
      <c r="AW25" s="21">
        <f>EXP(-LN(2)/2)*AW24+(1-EXP(-LN(2)/2))/(LN(2)/2)*AQ25*AT25*VLOOKUP('Données projet'!$B$10,Paramètres!$A$1:$I$89,3,0)*0.475*44/12</f>
        <v>2.2540707025616387</v>
      </c>
      <c r="AX25" s="21">
        <f t="shared" si="6"/>
        <v>6.7565445548861343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322.71316563033918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165</v>
      </c>
      <c r="L26" s="12">
        <f>VLOOKUP(A26,'Données projet'!$A$35:$I$55,9,0)</f>
        <v>7.1739130434782608</v>
      </c>
      <c r="M26" s="12">
        <f t="array" ref="M26">INDEX(L:L,MIN(IF(ISNUMBER(L26:L222),ROW(L26:L222),"")))</f>
        <v>7.1739130434782608</v>
      </c>
      <c r="N26" s="13">
        <f>IF('Données projet'!$A$36&gt;35,N25+M26-V25,IF(A26&lt;'Données projet'!$A$36,$K$205^A26,IF(A26='Données projet'!$A$36,'Données projet'!$B$36,N25+M26-V25)))</f>
        <v>165</v>
      </c>
      <c r="O26" s="13">
        <f>N26*VLOOKUP('Données projet'!$B$9,Paramètres!$A$1:$I$89,3,0)*VLOOKUP('Données projet'!$B$9,Paramètres!$A$1:$I$89,5,0)</f>
        <v>77.22</v>
      </c>
      <c r="P26" s="13">
        <f t="shared" si="33"/>
        <v>21.456066856215884</v>
      </c>
      <c r="Q26" s="20">
        <f t="shared" si="2"/>
        <v>171.86081644124263</v>
      </c>
      <c r="R26" s="59">
        <f t="shared" si="0"/>
        <v>465.19414977457598</v>
      </c>
      <c r="S26" s="59">
        <f ca="1">AVERAGE(OFFSET($R$3,0,0,'Données projet'!$E$9+1,1))-AVERAGE(OFFSET($H$3,0,0,'Données projet'!$E$9+1,1))</f>
        <v>234.83702199169585</v>
      </c>
      <c r="T26" s="59">
        <f t="shared" si="34"/>
        <v>248.83008816685089</v>
      </c>
      <c r="U26" s="15">
        <f>IF(ISNA(VLOOKUP(A26,'Données projet'!$A$35:$I$55,3,0)),0,VLOOKUP(A26,'Données projet'!$A$35:$I$55,3,0))</f>
        <v>1</v>
      </c>
      <c r="V26" s="15">
        <f>IF(ISNA(VLOOKUP(A26,'Données projet'!$A$35:$I$55,4,0)),0,VLOOKUP(A26,'Données projet'!$A$35:$I$55,4,0))</f>
        <v>55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0.22000000000000003</v>
      </c>
      <c r="Y26" s="16">
        <f>IF(ISNA(VLOOKUP(A26,'Données projet'!$A$35:$I$55,7,0)),0%,VLOOKUP(A26,'Données projet'!$A$35:$I$55,7,0))</f>
        <v>0.6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7.4824913195067007</v>
      </c>
      <c r="AB26" s="21">
        <f>EXP(-LN(2)/2)*AB25+(1-EXP(-LN(2)/2))/(LN(2)/2)*V26*Y26*VLOOKUP('Données projet'!$B$9,Paramètres!$A$1:$I$89,3,0)*0.475*44/12</f>
        <v>17.486195602998738</v>
      </c>
      <c r="AC26" s="22">
        <f t="shared" si="3"/>
        <v>24.968686922505437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26.4</v>
      </c>
      <c r="AI26" s="13">
        <f>IF('Données projet'!$A$62&gt;35,AI25+AH26-AQ25,IF(A26&lt;'Données projet'!$A$62,$AF$205^A26,IF(A26='Données projet'!$A$62,'Données projet'!$B$62,AI25+AH26-AQ25)))</f>
        <v>217.20000000000002</v>
      </c>
      <c r="AJ26" s="13">
        <f>AI26*VLOOKUP('Données projet'!$B$10,Paramètres!$A$1:$I$89,3,0)*VLOOKUP('Données projet'!$B$10,Paramètres!$A$1:$I$89,5,0)</f>
        <v>87.531600000000012</v>
      </c>
      <c r="AK26" s="13">
        <f t="shared" si="35"/>
        <v>23.968946244214525</v>
      </c>
      <c r="AL26" s="20">
        <f t="shared" si="4"/>
        <v>194.19678470867362</v>
      </c>
      <c r="AM26" s="59">
        <f t="shared" si="5"/>
        <v>487.53011804200696</v>
      </c>
      <c r="AN26" s="59">
        <f ca="1">AVERAGE(OFFSET($AM$3,0,0,'Données projet'!$E$10+1,1))-AVERAGE(OFFSET($H$3,0,0,'Données projet'!$E$10+1,1))</f>
        <v>314.16268026911069</v>
      </c>
      <c r="AO26" s="59">
        <f t="shared" si="36"/>
        <v>265.23571072429735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1.8009716551157857</v>
      </c>
      <c r="AV26" s="21">
        <f>EXP(-LN(2)/25)*AV25+(1-EXP(-LN(2)/25))/(LN(2)/25)*Calculateur!AQ26*Calculateur!AS26*VLOOKUP('Données projet'!$B$10,Paramètres!$A$1:$I$89,3,0)*0.475*44/12</f>
        <v>2.5925921784885331</v>
      </c>
      <c r="AW26" s="21">
        <f>EXP(-LN(2)/2)*AW25+(1-EXP(-LN(2)/2))/(LN(2)/2)*AQ26*AT26*VLOOKUP('Données projet'!$B$10,Paramètres!$A$1:$I$89,3,0)*0.475*44/12</f>
        <v>1.5938686790552601</v>
      </c>
      <c r="AX26" s="21">
        <f t="shared" si="6"/>
        <v>5.9874325126595789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323.95183439748814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31.25</v>
      </c>
      <c r="N27" s="13">
        <f>IF('Données projet'!$A$36&gt;35,N26+M27-V26,IF(A27&lt;'Données projet'!$A$36,$K$205^A27,IF(A27='Données projet'!$A$36,'Données projet'!$B$36,N26+M27-V26)))</f>
        <v>141.25</v>
      </c>
      <c r="O27" s="13">
        <f>N27*VLOOKUP('Données projet'!$B$9,Paramètres!$A$1:$I$89,3,0)*VLOOKUP('Données projet'!$B$9,Paramètres!$A$1:$I$89,5,0)</f>
        <v>66.105000000000004</v>
      </c>
      <c r="P27" s="13">
        <f t="shared" si="33"/>
        <v>18.702992547207845</v>
      </c>
      <c r="Q27" s="20">
        <f t="shared" si="2"/>
        <v>147.70725368638702</v>
      </c>
      <c r="R27" s="59">
        <f t="shared" si="0"/>
        <v>441.04058701972031</v>
      </c>
      <c r="S27" s="59">
        <f ca="1">AVERAGE(OFFSET($R$3,0,0,'Données projet'!$E$9+1,1))-AVERAGE(OFFSET($H$3,0,0,'Données projet'!$E$9+1,1))</f>
        <v>234.83702199169585</v>
      </c>
      <c r="T27" s="59">
        <f t="shared" si="34"/>
        <v>248.83008816685089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7.2778822008876727</v>
      </c>
      <c r="AB27" s="21">
        <f>EXP(-LN(2)/2)*AB26+(1-EXP(-LN(2)/2))/(LN(2)/2)*V27*Y27*VLOOKUP('Données projet'!$B$9,Paramètres!$A$1:$I$89,3,0)*0.475*44/12</f>
        <v>12.364607488034798</v>
      </c>
      <c r="AC27" s="22">
        <f t="shared" si="3"/>
        <v>19.64248968892247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26.4</v>
      </c>
      <c r="AI27" s="13">
        <f>IF('Données projet'!$A$62&gt;35,AI26+AH27-AQ26,IF(A27&lt;'Données projet'!$A$62,$AF$205^A27,IF(A27='Données projet'!$A$62,'Données projet'!$B$62,AI26+AH27-AQ26)))</f>
        <v>243.60000000000002</v>
      </c>
      <c r="AJ27" s="13">
        <f>AI27*VLOOKUP('Données projet'!$B$10,Paramètres!$A$1:$I$89,3,0)*VLOOKUP('Données projet'!$B$10,Paramètres!$A$1:$I$89,5,0)</f>
        <v>98.170800000000014</v>
      </c>
      <c r="AK27" s="13">
        <f t="shared" si="35"/>
        <v>26.525748752747578</v>
      </c>
      <c r="AL27" s="20">
        <f t="shared" si="4"/>
        <v>217.17982241103539</v>
      </c>
      <c r="AM27" s="59">
        <f t="shared" si="5"/>
        <v>510.5131557443687</v>
      </c>
      <c r="AN27" s="59">
        <f ca="1">AVERAGE(OFFSET($AM$3,0,0,'Données projet'!$E$10+1,1))-AVERAGE(OFFSET($H$3,0,0,'Données projet'!$E$10+1,1))</f>
        <v>314.16268026911069</v>
      </c>
      <c r="AO27" s="59">
        <f t="shared" si="36"/>
        <v>265.23571072429735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1.7656556994432084</v>
      </c>
      <c r="AV27" s="21">
        <f>EXP(-LN(2)/25)*AV26+(1-EXP(-LN(2)/25))/(LN(2)/25)*Calculateur!AQ27*Calculateur!AS27*VLOOKUP('Données projet'!$B$10,Paramètres!$A$1:$I$89,3,0)*0.475*44/12</f>
        <v>2.5216976090292671</v>
      </c>
      <c r="AW27" s="21">
        <f>EXP(-LN(2)/2)*AW26+(1-EXP(-LN(2)/2))/(LN(2)/2)*AQ27*AT27*VLOOKUP('Données projet'!$B$10,Paramètres!$A$1:$I$89,3,0)*0.475*44/12</f>
        <v>1.1270353512808193</v>
      </c>
      <c r="AX27" s="21">
        <f t="shared" si="6"/>
        <v>5.4143886597532944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325.18911068157126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31.25</v>
      </c>
      <c r="N28" s="13">
        <f>IF('Données projet'!$A$36&gt;35,N27+M28-V27,IF(A28&lt;'Données projet'!$A$36,$K$205^A28,IF(A28='Données projet'!$A$36,'Données projet'!$B$36,N27+M28-V27)))</f>
        <v>172.5</v>
      </c>
      <c r="O28" s="13">
        <f>N28*VLOOKUP('Données projet'!$B$9,Paramètres!$A$1:$I$89,3,0)*VLOOKUP('Données projet'!$B$9,Paramètres!$A$1:$I$89,5,0)</f>
        <v>80.72999999999999</v>
      </c>
      <c r="P28" s="13">
        <f t="shared" si="33"/>
        <v>22.315578453114171</v>
      </c>
      <c r="Q28" s="20">
        <f t="shared" si="2"/>
        <v>179.47104913917383</v>
      </c>
      <c r="R28" s="59">
        <f t="shared" si="0"/>
        <v>472.80438247250714</v>
      </c>
      <c r="S28" s="59">
        <f ca="1">AVERAGE(OFFSET($R$3,0,0,'Données projet'!$E$9+1,1))-AVERAGE(OFFSET($H$3,0,0,'Données projet'!$E$9+1,1))</f>
        <v>234.83702199169585</v>
      </c>
      <c r="T28" s="59">
        <f t="shared" si="34"/>
        <v>248.83008816685089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7.0788681293772084</v>
      </c>
      <c r="AB28" s="21">
        <f>EXP(-LN(2)/2)*AB27+(1-EXP(-LN(2)/2))/(LN(2)/2)*V28*Y28*VLOOKUP('Données projet'!$B$9,Paramètres!$A$1:$I$89,3,0)*0.475*44/12</f>
        <v>8.7430978014993688</v>
      </c>
      <c r="AC28" s="22">
        <f t="shared" si="3"/>
        <v>15.821965930876576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>
        <f>VLOOKUP(A28,'Données projet'!$A$61:$I$81,2,0)</f>
        <v>270</v>
      </c>
      <c r="AG28" s="12">
        <f>VLOOKUP(A28,'Données projet'!$A$61:$I$81,9,0)</f>
        <v>26.4</v>
      </c>
      <c r="AH28" s="12">
        <f t="array" ref="AH28">INDEX(AG:AG,MIN(IF(ISNUMBER(AG28:AG224),ROW(AG28:AG224),"")))</f>
        <v>26.4</v>
      </c>
      <c r="AI28" s="13">
        <f>IF('Données projet'!$A$62&gt;35,AI27+AH28-AQ27,IF(A28&lt;'Données projet'!$A$62,$AF$205^A28,IF(A28='Données projet'!$A$62,'Données projet'!$B$62,AI27+AH28-AQ27)))</f>
        <v>270</v>
      </c>
      <c r="AJ28" s="13">
        <f>AI28*VLOOKUP('Données projet'!$B$10,Paramètres!$A$1:$I$89,3,0)*VLOOKUP('Données projet'!$B$10,Paramètres!$A$1:$I$89,5,0)</f>
        <v>108.81</v>
      </c>
      <c r="AK28" s="13">
        <f t="shared" si="35"/>
        <v>29.05043404802263</v>
      </c>
      <c r="AL28" s="20">
        <f t="shared" si="4"/>
        <v>240.10692263363936</v>
      </c>
      <c r="AM28" s="59">
        <f t="shared" si="5"/>
        <v>533.4402559669727</v>
      </c>
      <c r="AN28" s="59">
        <f ca="1">AVERAGE(OFFSET($AM$3,0,0,'Données projet'!$E$10+1,1))-AVERAGE(OFFSET($H$3,0,0,'Données projet'!$E$10+1,1))</f>
        <v>314.16268026911069</v>
      </c>
      <c r="AO28" s="59">
        <f t="shared" si="36"/>
        <v>265.23571072429735</v>
      </c>
      <c r="AP28" s="15">
        <f>IF(ISNA(VLOOKUP(A28,'Données projet'!$A$61:$I$81,3,0)),0,VLOOKUP(A28,'Données projet'!$A$61:$I$81,3,0))</f>
        <v>2</v>
      </c>
      <c r="AQ28" s="15">
        <f>IF(ISNA(VLOOKUP(A28,'Données projet'!$A$61:$I$81,4,0)),0,VLOOKUP(A28,'Données projet'!$A$61:$I$81,4,0))</f>
        <v>70</v>
      </c>
      <c r="AR28" s="16">
        <f>IF(ISNA(VLOOKUP(A28,'Données projet'!$A$61:$I$81,5,0)),0%,VLOOKUP(A28,'Données projet'!$A$61:$I$81,5,0)*VLOOKUP('Données projet'!$B$10,Paramètres!$A$1:$I$89,7,0))</f>
        <v>0.13750000000000001</v>
      </c>
      <c r="AS28" s="16">
        <f>IF(ISNA(VLOOKUP(A28,'Données projet'!$A$61:$I$81,6,0)),0%,VLOOKUP(A28,'Données projet'!$A$61:$I$81,6,0)*VLOOKUP('Données projet'!$B$10,Paramètres!$A$1:$I$89,7,0))</f>
        <v>0.20350000000000001</v>
      </c>
      <c r="AT28" s="16">
        <f>IF(ISNA(VLOOKUP(A28,'Données projet'!$A$61:$I$81,7,0)),0%,VLOOKUP(A28,'Données projet'!$A$61:$I$81,7,0))</f>
        <v>0.38</v>
      </c>
      <c r="AU28" s="21">
        <f>EXP(-LN(2)/35)*AU27+(1-EXP(-LN(2)/35))/(LN(2)/35)*AQ28*AR28*VLOOKUP('Données projet'!$B$10,Paramètres!$A$1:$I$89,3,0)*0.475*44/12</f>
        <v>6.8766099702138117</v>
      </c>
      <c r="AV28" s="21">
        <f>EXP(-LN(2)/25)*AV27+(1-EXP(-LN(2)/25))/(LN(2)/25)*Calculateur!AQ28*Calculateur!AS28*VLOOKUP('Données projet'!$B$10,Paramètres!$A$1:$I$89,3,0)*0.475*44/12</f>
        <v>10.038211706350465</v>
      </c>
      <c r="AW28" s="21">
        <f>EXP(-LN(2)/2)*AW27+(1-EXP(-LN(2)/2))/(LN(2)/2)*AQ28*AT28*VLOOKUP('Données projet'!$B$10,Paramètres!$A$1:$I$89,3,0)*0.475*44/12</f>
        <v>12.934238122551838</v>
      </c>
      <c r="AX28" s="21">
        <f t="shared" si="6"/>
        <v>29.849059799116112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326.42505655450702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31.25</v>
      </c>
      <c r="N29" s="13">
        <f>IF('Données projet'!$A$36&gt;35,N28+M29-V28,IF(A29&lt;'Données projet'!$A$36,$K$205^A29,IF(A29='Données projet'!$A$36,'Données projet'!$B$36,N28+M29-V28)))</f>
        <v>203.75</v>
      </c>
      <c r="O29" s="13">
        <f>N29*VLOOKUP('Données projet'!$B$9,Paramètres!$A$1:$I$89,3,0)*VLOOKUP('Données projet'!$B$9,Paramètres!$A$1:$I$89,5,0)</f>
        <v>95.35499999999999</v>
      </c>
      <c r="P29" s="13">
        <f t="shared" si="33"/>
        <v>25.852345740177842</v>
      </c>
      <c r="Q29" s="20">
        <f t="shared" si="2"/>
        <v>211.1027938308097</v>
      </c>
      <c r="R29" s="59">
        <f t="shared" si="0"/>
        <v>504.43612716414304</v>
      </c>
      <c r="S29" s="59">
        <f ca="1">AVERAGE(OFFSET($R$3,0,0,'Données projet'!$E$9+1,1))-AVERAGE(OFFSET($H$3,0,0,'Données projet'!$E$9+1,1))</f>
        <v>234.83702199169585</v>
      </c>
      <c r="T29" s="59">
        <f t="shared" si="34"/>
        <v>248.83008816685089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6.8852961081178927</v>
      </c>
      <c r="AB29" s="21">
        <f>EXP(-LN(2)/2)*AB28+(1-EXP(-LN(2)/2))/(LN(2)/2)*V29*Y29*VLOOKUP('Données projet'!$B$9,Paramètres!$A$1:$I$89,3,0)*0.475*44/12</f>
        <v>6.1823037440173989</v>
      </c>
      <c r="AC29" s="22">
        <f t="shared" si="3"/>
        <v>13.067599852135292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28.6</v>
      </c>
      <c r="AI29" s="13">
        <f>IF('Données projet'!$A$62&gt;35,AI28+AH29-AQ28,IF(A29&lt;'Données projet'!$A$62,$AF$205^A29,IF(A29='Données projet'!$A$62,'Données projet'!$B$62,AI28+AH29-AQ28)))</f>
        <v>228.60000000000002</v>
      </c>
      <c r="AJ29" s="13">
        <f>AI29*VLOOKUP('Données projet'!$B$10,Paramètres!$A$1:$I$89,3,0)*VLOOKUP('Données projet'!$B$10,Paramètres!$A$1:$I$89,5,0)</f>
        <v>92.125799999999998</v>
      </c>
      <c r="AK29" s="13">
        <f t="shared" si="35"/>
        <v>25.07721809422981</v>
      </c>
      <c r="AL29" s="20">
        <f t="shared" si="4"/>
        <v>204.12858984745026</v>
      </c>
      <c r="AM29" s="59">
        <f t="shared" si="5"/>
        <v>497.46192318078357</v>
      </c>
      <c r="AN29" s="59">
        <f ca="1">AVERAGE(OFFSET($AM$3,0,0,'Données projet'!$E$10+1,1))-AVERAGE(OFFSET($H$3,0,0,'Données projet'!$E$10+1,1))</f>
        <v>314.16268026911069</v>
      </c>
      <c r="AO29" s="59">
        <f t="shared" si="36"/>
        <v>265.23571072429735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6.7417638430158462</v>
      </c>
      <c r="AV29" s="21">
        <f>EXP(-LN(2)/25)*AV28+(1-EXP(-LN(2)/25))/(LN(2)/25)*Calculateur!AQ29*Calculateur!AS29*VLOOKUP('Données projet'!$B$10,Paramètres!$A$1:$I$89,3,0)*0.475*44/12</f>
        <v>9.7637162793536998</v>
      </c>
      <c r="AW29" s="21">
        <f>EXP(-LN(2)/2)*AW28+(1-EXP(-LN(2)/2))/(LN(2)/2)*AQ29*AT29*VLOOKUP('Données projet'!$B$10,Paramètres!$A$1:$I$89,3,0)*0.475*44/12</f>
        <v>9.1458874859379637</v>
      </c>
      <c r="AX29" s="21">
        <f t="shared" si="6"/>
        <v>25.65136760830751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327.65972904304982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235</v>
      </c>
      <c r="L30" s="12">
        <f>VLOOKUP(A30,'Données projet'!$A$35:$I$55,9,0)</f>
        <v>31.25</v>
      </c>
      <c r="M30" s="12">
        <f t="array" ref="M30">INDEX(L:L,MIN(IF(ISNUMBER(L30:L226),ROW(L30:L226),"")))</f>
        <v>31.25</v>
      </c>
      <c r="N30" s="13">
        <f>IF('Données projet'!$A$36&gt;35,N29+M30-V29,IF(A30&lt;'Données projet'!$A$36,$K$205^A30,IF(A30='Données projet'!$A$36,'Données projet'!$B$36,N29+M30-V29)))</f>
        <v>235</v>
      </c>
      <c r="O30" s="13">
        <f>N30*VLOOKUP('Données projet'!$B$9,Paramètres!$A$1:$I$89,3,0)*VLOOKUP('Données projet'!$B$9,Paramètres!$A$1:$I$89,5,0)</f>
        <v>109.97999999999999</v>
      </c>
      <c r="P30" s="13">
        <f t="shared" si="33"/>
        <v>29.326272366698234</v>
      </c>
      <c r="Q30" s="20">
        <f t="shared" si="2"/>
        <v>242.62509103866606</v>
      </c>
      <c r="R30" s="59">
        <f t="shared" si="0"/>
        <v>535.9584243719994</v>
      </c>
      <c r="S30" s="59">
        <f ca="1">AVERAGE(OFFSET($R$3,0,0,'Données projet'!$E$9+1,1))-AVERAGE(OFFSET($H$3,0,0,'Données projet'!$E$9+1,1))</f>
        <v>234.83702199169585</v>
      </c>
      <c r="T30" s="59">
        <f t="shared" si="34"/>
        <v>248.83008816685089</v>
      </c>
      <c r="U30" s="15">
        <f>IF(ISNA(VLOOKUP(A30,'Données projet'!$A$35:$I$55,3,0)),0,VLOOKUP(A30,'Données projet'!$A$35:$I$55,3,0))</f>
        <v>2</v>
      </c>
      <c r="V30" s="15">
        <f>IF(ISNA(VLOOKUP(A30,'Données projet'!$A$35:$I$55,4,0)),0,VLOOKUP(A30,'Données projet'!$A$35:$I$55,4,0))</f>
        <v>64</v>
      </c>
      <c r="W30" s="16">
        <f>IF(ISNA(VLOOKUP(A30,'Données projet'!$A$35:$I$55,5,0)),0%,VLOOKUP(A30,'Données projet'!$A$35:$I$55,5,0)*VLOOKUP('Données projet'!$B$9,Paramètres!$A$1:$I$89,7,0))</f>
        <v>0.11000000000000001</v>
      </c>
      <c r="X30" s="16">
        <f>IF(ISNA(VLOOKUP(A30,'Données projet'!$A$35:$I$55,6,0)),0%,VLOOKUP(A30,'Données projet'!$A$35:$I$55,6,0)*VLOOKUP('Données projet'!$B$9,Paramètres!$A$1:$I$89,7,0))</f>
        <v>0.27500000000000002</v>
      </c>
      <c r="Y30" s="16">
        <f>IF(ISNA(VLOOKUP(A30,'Données projet'!$A$35:$I$55,7,0)),0%,VLOOKUP(A30,'Données projet'!$A$35:$I$55,7,0))</f>
        <v>0.3</v>
      </c>
      <c r="Z30" s="21">
        <f>EXP(-LN(2)/35)*Z29+(1-EXP(-LN(2)/35))/(LN(2)/35)*V30*W30*VLOOKUP('Données projet'!$B$9,Paramètres!$A$1:$I$89,3,0)*0.475*44/12</f>
        <v>4.3706584426257615</v>
      </c>
      <c r="AA30" s="21">
        <f>EXP(-LN(2)/25)*AA29+(1-EXP(-LN(2)/25))/(LN(2)/25)*Calculateur!V30*Calculateur!X30*VLOOKUP('Données projet'!$B$9,Paramètres!$A$1:$I$89,3,0)*0.475*44/12</f>
        <v>17.580641061423712</v>
      </c>
      <c r="AB30" s="21">
        <f>EXP(-LN(2)/2)*AB29+(1-EXP(-LN(2)/2))/(LN(2)/2)*V30*Y30*VLOOKUP('Données projet'!$B$9,Paramètres!$A$1:$I$89,3,0)*0.475*44/12</f>
        <v>14.545335433403494</v>
      </c>
      <c r="AC30" s="22">
        <f t="shared" si="3"/>
        <v>36.496634937452967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28.6</v>
      </c>
      <c r="AI30" s="13">
        <f>IF('Données projet'!$A$62&gt;35,AI29+AH30-AQ29,IF(A30&lt;'Données projet'!$A$62,$AF$205^A30,IF(A30='Données projet'!$A$62,'Données projet'!$B$62,AI29+AH30-AQ29)))</f>
        <v>257.20000000000005</v>
      </c>
      <c r="AJ30" s="13">
        <f>AI30*VLOOKUP('Données projet'!$B$10,Paramètres!$A$1:$I$89,3,0)*VLOOKUP('Données projet'!$B$10,Paramètres!$A$1:$I$89,5,0)</f>
        <v>103.65160000000002</v>
      </c>
      <c r="AK30" s="13">
        <f t="shared" si="35"/>
        <v>27.830116712085445</v>
      </c>
      <c r="AL30" s="20">
        <f t="shared" si="4"/>
        <v>228.99732327354886</v>
      </c>
      <c r="AM30" s="59">
        <f t="shared" si="5"/>
        <v>522.33065660688214</v>
      </c>
      <c r="AN30" s="59">
        <f ca="1">AVERAGE(OFFSET($AM$3,0,0,'Données projet'!$E$10+1,1))-AVERAGE(OFFSET($H$3,0,0,'Données projet'!$E$10+1,1))</f>
        <v>314.16268026911069</v>
      </c>
      <c r="AO30" s="59">
        <f t="shared" si="36"/>
        <v>265.23571072429735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6.6095619661242164</v>
      </c>
      <c r="AV30" s="21">
        <f>EXP(-LN(2)/25)*AV29+(1-EXP(-LN(2)/25))/(LN(2)/25)*Calculateur!AQ30*Calculateur!AS30*VLOOKUP('Données projet'!$B$10,Paramètres!$A$1:$I$89,3,0)*0.475*44/12</f>
        <v>9.4967269442432496</v>
      </c>
      <c r="AW30" s="21">
        <f>EXP(-LN(2)/2)*AW29+(1-EXP(-LN(2)/2))/(LN(2)/2)*AQ30*AT30*VLOOKUP('Données projet'!$B$10,Paramètres!$A$1:$I$89,3,0)*0.475*44/12</f>
        <v>6.4671190612759197</v>
      </c>
      <c r="AX30" s="21">
        <f t="shared" si="6"/>
        <v>22.573407971643388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328.89318071040799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36</v>
      </c>
      <c r="N31" s="13">
        <f>IF('Données projet'!$A$36&gt;35,N30+M31-V30,IF(A31&lt;'Données projet'!$A$36,$K$205^A31,IF(A31='Données projet'!$A$36,'Données projet'!$B$36,N30+M31-V30)))</f>
        <v>207</v>
      </c>
      <c r="O31" s="13">
        <f>N31*VLOOKUP('Données projet'!$B$9,Paramètres!$A$1:$I$89,3,0)*VLOOKUP('Données projet'!$B$9,Paramètres!$A$1:$I$89,5,0)</f>
        <v>96.876000000000005</v>
      </c>
      <c r="P31" s="13">
        <f t="shared" si="33"/>
        <v>26.21637845945024</v>
      </c>
      <c r="Q31" s="20">
        <f t="shared" si="2"/>
        <v>214.38589248354251</v>
      </c>
      <c r="R31" s="59">
        <f t="shared" si="0"/>
        <v>507.71922581687579</v>
      </c>
      <c r="S31" s="59">
        <f ca="1">AVERAGE(OFFSET($R$3,0,0,'Données projet'!$E$9+1,1))-AVERAGE(OFFSET($H$3,0,0,'Données projet'!$E$9+1,1))</f>
        <v>234.83702199169585</v>
      </c>
      <c r="T31" s="59">
        <f t="shared" si="34"/>
        <v>248.83008816685089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4.2849524964042907</v>
      </c>
      <c r="AA31" s="21">
        <f>EXP(-LN(2)/25)*AA30+(1-EXP(-LN(2)/25))/(LN(2)/25)*Calculateur!V31*Calculateur!X31*VLOOKUP('Données projet'!$B$9,Paramètres!$A$1:$I$89,3,0)*0.475*44/12</f>
        <v>17.099897507073347</v>
      </c>
      <c r="AB31" s="21">
        <f>EXP(-LN(2)/2)*AB30+(1-EXP(-LN(2)/2))/(LN(2)/2)*V31*Y31*VLOOKUP('Données projet'!$B$9,Paramètres!$A$1:$I$89,3,0)*0.475*44/12</f>
        <v>10.285105319592581</v>
      </c>
      <c r="AC31" s="22">
        <f t="shared" si="3"/>
        <v>31.669955323070219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28.6</v>
      </c>
      <c r="AI31" s="13">
        <f>IF('Données projet'!$A$62&gt;35,AI30+AH31-AQ30,IF(A31&lt;'Données projet'!$A$62,$AF$205^A31,IF(A31='Données projet'!$A$62,'Données projet'!$B$62,AI30+AH31-AQ30)))</f>
        <v>285.80000000000007</v>
      </c>
      <c r="AJ31" s="13">
        <f>AI31*VLOOKUP('Données projet'!$B$10,Paramètres!$A$1:$I$89,3,0)*VLOOKUP('Données projet'!$B$10,Paramètres!$A$1:$I$89,5,0)</f>
        <v>115.17740000000003</v>
      </c>
      <c r="AK31" s="13">
        <f t="shared" si="35"/>
        <v>30.547535991421519</v>
      </c>
      <c r="AL31" s="20">
        <f t="shared" si="4"/>
        <v>253.80426351839253</v>
      </c>
      <c r="AM31" s="59">
        <f t="shared" si="5"/>
        <v>547.1375968517259</v>
      </c>
      <c r="AN31" s="59">
        <f ca="1">AVERAGE(OFFSET($AM$3,0,0,'Données projet'!$E$10+1,1))-AVERAGE(OFFSET($H$3,0,0,'Données projet'!$E$10+1,1))</f>
        <v>314.16268026911069</v>
      </c>
      <c r="AO31" s="59">
        <f t="shared" si="36"/>
        <v>265.23571072429735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6.4799524874032484</v>
      </c>
      <c r="AV31" s="21">
        <f>EXP(-LN(2)/25)*AV30+(1-EXP(-LN(2)/25))/(LN(2)/25)*Calculateur!AQ31*Calculateur!AS31*VLOOKUP('Données projet'!$B$10,Paramètres!$A$1:$I$89,3,0)*0.475*44/12</f>
        <v>9.237038446541753</v>
      </c>
      <c r="AW31" s="21">
        <f>EXP(-LN(2)/2)*AW30+(1-EXP(-LN(2)/2))/(LN(2)/2)*AQ31*AT31*VLOOKUP('Données projet'!$B$10,Paramètres!$A$1:$I$89,3,0)*0.475*44/12</f>
        <v>4.5729437429689828</v>
      </c>
      <c r="AX31" s="21">
        <f t="shared" si="6"/>
        <v>20.289934676913987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330.12546015243771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36</v>
      </c>
      <c r="N32" s="13">
        <f>IF('Données projet'!$A$36&gt;35,N31+M32-V31,IF(A32&lt;'Données projet'!$A$36,$K$205^A32,IF(A32='Données projet'!$A$36,'Données projet'!$B$36,N31+M32-V31)))</f>
        <v>243</v>
      </c>
      <c r="O32" s="13">
        <f>N32*VLOOKUP('Données projet'!$B$9,Paramètres!$A$1:$I$89,3,0)*VLOOKUP('Données projet'!$B$9,Paramètres!$A$1:$I$89,5,0)</f>
        <v>113.72399999999999</v>
      </c>
      <c r="P32" s="13">
        <f t="shared" si="33"/>
        <v>30.206680638130489</v>
      </c>
      <c r="Q32" s="20">
        <f t="shared" si="2"/>
        <v>250.67926877807722</v>
      </c>
      <c r="R32" s="59">
        <f t="shared" si="0"/>
        <v>544.0126021114105</v>
      </c>
      <c r="S32" s="59">
        <f ca="1">AVERAGE(OFFSET($R$3,0,0,'Données projet'!$E$9+1,1))-AVERAGE(OFFSET($H$3,0,0,'Données projet'!$E$9+1,1))</f>
        <v>234.83702199169585</v>
      </c>
      <c r="T32" s="59">
        <f t="shared" si="34"/>
        <v>248.83008816685089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4.2009271915127577</v>
      </c>
      <c r="AA32" s="21">
        <f>EXP(-LN(2)/25)*AA31+(1-EXP(-LN(2)/25))/(LN(2)/25)*Calculateur!V32*Calculateur!X32*VLOOKUP('Données projet'!$B$9,Paramètres!$A$1:$I$89,3,0)*0.475*44/12</f>
        <v>16.632299910497899</v>
      </c>
      <c r="AB32" s="21">
        <f>EXP(-LN(2)/2)*AB31+(1-EXP(-LN(2)/2))/(LN(2)/2)*V32*Y32*VLOOKUP('Données projet'!$B$9,Paramètres!$A$1:$I$89,3,0)*0.475*44/12</f>
        <v>7.2726677167017479</v>
      </c>
      <c r="AC32" s="22">
        <f t="shared" si="3"/>
        <v>28.105894818712404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28.6</v>
      </c>
      <c r="AI32" s="13">
        <f>IF('Données projet'!$A$62&gt;35,AI31+AH32-AQ31,IF(A32&lt;'Données projet'!$A$62,$AF$205^A32,IF(A32='Données projet'!$A$62,'Données projet'!$B$62,AI31+AH32-AQ31)))</f>
        <v>314.40000000000009</v>
      </c>
      <c r="AJ32" s="13">
        <f>AI32*VLOOKUP('Données projet'!$B$10,Paramètres!$A$1:$I$89,3,0)*VLOOKUP('Données projet'!$B$10,Paramètres!$A$1:$I$89,5,0)</f>
        <v>126.70320000000004</v>
      </c>
      <c r="AK32" s="13">
        <f t="shared" si="35"/>
        <v>33.233430522173144</v>
      </c>
      <c r="AL32" s="20">
        <f t="shared" si="4"/>
        <v>278.55629815945161</v>
      </c>
      <c r="AM32" s="59">
        <f t="shared" si="5"/>
        <v>571.88963149278493</v>
      </c>
      <c r="AN32" s="59">
        <f ca="1">AVERAGE(OFFSET($AM$3,0,0,'Données projet'!$E$10+1,1))-AVERAGE(OFFSET($H$3,0,0,'Données projet'!$E$10+1,1))</f>
        <v>314.16268026911069</v>
      </c>
      <c r="AO32" s="59">
        <f t="shared" si="36"/>
        <v>265.23571072429735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6.3528845715060225</v>
      </c>
      <c r="AV32" s="21">
        <f>EXP(-LN(2)/25)*AV31+(1-EXP(-LN(2)/25))/(LN(2)/25)*Calculateur!AQ32*Calculateur!AS32*VLOOKUP('Données projet'!$B$10,Paramètres!$A$1:$I$89,3,0)*0.475*44/12</f>
        <v>8.9844511444663286</v>
      </c>
      <c r="AW32" s="21">
        <f>EXP(-LN(2)/2)*AW31+(1-EXP(-LN(2)/2))/(LN(2)/2)*AQ32*AT32*VLOOKUP('Données projet'!$B$10,Paramètres!$A$1:$I$89,3,0)*0.475*44/12</f>
        <v>3.2335595306379603</v>
      </c>
      <c r="AX32" s="21">
        <f t="shared" si="6"/>
        <v>18.570895246610313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331.35661242347447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36</v>
      </c>
      <c r="N33" s="13">
        <f>IF('Données projet'!$A$36&gt;35,N32+M33-V32,IF(A33&lt;'Données projet'!$A$36,$K$205^A33,IF(A33='Données projet'!$A$36,'Données projet'!$B$36,N32+M33-V32)))</f>
        <v>279</v>
      </c>
      <c r="O33" s="13">
        <f>N33*VLOOKUP('Données projet'!$B$9,Paramètres!$A$1:$I$89,3,0)*VLOOKUP('Données projet'!$B$9,Paramètres!$A$1:$I$89,5,0)</f>
        <v>130.572</v>
      </c>
      <c r="P33" s="13">
        <f t="shared" si="33"/>
        <v>34.128497946598308</v>
      </c>
      <c r="Q33" s="20">
        <f t="shared" si="2"/>
        <v>286.85336725699204</v>
      </c>
      <c r="R33" s="59">
        <f t="shared" si="0"/>
        <v>580.18670059032536</v>
      </c>
      <c r="S33" s="59">
        <f ca="1">AVERAGE(OFFSET($R$3,0,0,'Données projet'!$E$9+1,1))-AVERAGE(OFFSET($H$3,0,0,'Données projet'!$E$9+1,1))</f>
        <v>234.83702199169585</v>
      </c>
      <c r="T33" s="59">
        <f t="shared" si="34"/>
        <v>248.83008816685089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4.1185495715997718</v>
      </c>
      <c r="AA33" s="21">
        <f>EXP(-LN(2)/25)*AA32+(1-EXP(-LN(2)/25))/(LN(2)/25)*Calculateur!V33*Calculateur!X33*VLOOKUP('Données projet'!$B$9,Paramètres!$A$1:$I$89,3,0)*0.475*44/12</f>
        <v>16.177488794790694</v>
      </c>
      <c r="AB33" s="21">
        <f>EXP(-LN(2)/2)*AB32+(1-EXP(-LN(2)/2))/(LN(2)/2)*V33*Y33*VLOOKUP('Données projet'!$B$9,Paramètres!$A$1:$I$89,3,0)*0.475*44/12</f>
        <v>5.1425526597962916</v>
      </c>
      <c r="AC33" s="22">
        <f t="shared" si="3"/>
        <v>25.438591026186756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343</v>
      </c>
      <c r="AG33" s="12">
        <f>VLOOKUP(A33,'Données projet'!$A$61:$I$81,9,0)</f>
        <v>28.6</v>
      </c>
      <c r="AH33" s="12">
        <f t="array" ref="AH33">INDEX(AG:AG,MIN(IF(ISNUMBER(AG33:AG229),ROW(AG33:AG229),"")))</f>
        <v>28.6</v>
      </c>
      <c r="AI33" s="13">
        <f>IF('Données projet'!$A$62&gt;35,AI32+AH33-AQ32,IF(A33&lt;'Données projet'!$A$62,$AF$205^A33,IF(A33='Données projet'!$A$62,'Données projet'!$B$62,AI32+AH33-AQ32)))</f>
        <v>343.00000000000011</v>
      </c>
      <c r="AJ33" s="13">
        <f>AI33*VLOOKUP('Données projet'!$B$10,Paramètres!$A$1:$I$89,3,0)*VLOOKUP('Données projet'!$B$10,Paramètres!$A$1:$I$89,5,0)</f>
        <v>138.22900000000007</v>
      </c>
      <c r="AK33" s="13">
        <f t="shared" si="35"/>
        <v>35.890994151830675</v>
      </c>
      <c r="AL33" s="20">
        <f t="shared" si="4"/>
        <v>303.25898981443851</v>
      </c>
      <c r="AM33" s="59">
        <f t="shared" si="5"/>
        <v>596.59232314777182</v>
      </c>
      <c r="AN33" s="59">
        <f ca="1">AVERAGE(OFFSET($AM$3,0,0,'Données projet'!$E$10+1,1))-AVERAGE(OFFSET($H$3,0,0,'Données projet'!$E$10+1,1))</f>
        <v>314.16268026911069</v>
      </c>
      <c r="AO33" s="59">
        <f t="shared" si="36"/>
        <v>265.23571072429735</v>
      </c>
      <c r="AP33" s="15">
        <f>IF(ISNA(VLOOKUP(A33,'Données projet'!$A$61:$I$81,3,0)),0,VLOOKUP(A33,'Données projet'!$A$61:$I$81,3,0))</f>
        <v>3</v>
      </c>
      <c r="AQ33" s="15">
        <f>IF(ISNA(VLOOKUP(A33,'Données projet'!$A$61:$I$81,4,0)),0,VLOOKUP(A33,'Données projet'!$A$61:$I$81,4,0))</f>
        <v>70</v>
      </c>
      <c r="AR33" s="16">
        <f>IF(ISNA(VLOOKUP(A33,'Données projet'!$A$61:$I$81,5,0)),0%,VLOOKUP(A33,'Données projet'!$A$61:$I$81,5,0)*VLOOKUP('Données projet'!$B$10,Paramètres!$A$1:$I$89,7,0))</f>
        <v>0.13750000000000001</v>
      </c>
      <c r="AS33" s="16">
        <f>IF(ISNA(VLOOKUP(A33,'Données projet'!$A$61:$I$81,6,0)),0%,VLOOKUP(A33,'Données projet'!$A$61:$I$81,6,0)*VLOOKUP('Données projet'!$B$10,Paramètres!$A$1:$I$89,7,0))</f>
        <v>0.20350000000000001</v>
      </c>
      <c r="AT33" s="16">
        <f>IF(ISNA(VLOOKUP(A33,'Données projet'!$A$61:$I$81,7,0)),0%,VLOOKUP(A33,'Données projet'!$A$61:$I$81,7,0))</f>
        <v>0.38</v>
      </c>
      <c r="AU33" s="21">
        <f>EXP(-LN(2)/35)*AU32+(1-EXP(-LN(2)/35))/(LN(2)/35)*AQ33*AR33*VLOOKUP('Données projet'!$B$10,Paramètres!$A$1:$I$89,3,0)*0.475*44/12</f>
        <v>11.373886082028813</v>
      </c>
      <c r="AV33" s="21">
        <f>EXP(-LN(2)/25)*AV32+(1-EXP(-LN(2)/25))/(LN(2)/25)*Calculateur!AQ33*Calculateur!AS33*VLOOKUP('Données projet'!$B$10,Paramètres!$A$1:$I$89,3,0)*0.475*44/12</f>
        <v>16.324240906499561</v>
      </c>
      <c r="AW33" s="21">
        <f>EXP(-LN(2)/2)*AW32+(1-EXP(-LN(2)/2))/(LN(2)/2)*AQ33*AT33*VLOOKUP('Données projet'!$B$10,Paramètres!$A$1:$I$89,3,0)*0.475*44/12</f>
        <v>14.423775654508701</v>
      </c>
      <c r="AX33" s="21">
        <f t="shared" si="6"/>
        <v>42.121902643037075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332.58667940379132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>
        <f>VLOOKUP(A34,'Données projet'!$A$35:$I$55,2,0)</f>
        <v>315</v>
      </c>
      <c r="L34" s="12">
        <f>VLOOKUP(A34,'Données projet'!$A$35:$I$55,9,0)</f>
        <v>36</v>
      </c>
      <c r="M34" s="12">
        <f t="array" ref="M34">INDEX(L:L,MIN(IF(ISNUMBER(L34:L230),ROW(L34:L230),"")))</f>
        <v>36</v>
      </c>
      <c r="N34" s="13">
        <f>IF('Données projet'!$A$36&gt;35,N33+M34-V33,IF(A34&lt;'Données projet'!$A$36,$K$205^A34,IF(A34='Données projet'!$A$36,'Données projet'!$B$36,N33+M34-V33)))</f>
        <v>315</v>
      </c>
      <c r="O34" s="13">
        <f>N34*VLOOKUP('Données projet'!$B$9,Paramètres!$A$1:$I$89,3,0)*VLOOKUP('Données projet'!$B$9,Paramètres!$A$1:$I$89,5,0)</f>
        <v>147.41999999999999</v>
      </c>
      <c r="P34" s="13">
        <f t="shared" si="33"/>
        <v>37.991680647570291</v>
      </c>
      <c r="Q34" s="20">
        <f t="shared" si="2"/>
        <v>322.92534379451826</v>
      </c>
      <c r="R34" s="59">
        <f t="shared" si="0"/>
        <v>616.25867712785157</v>
      </c>
      <c r="S34" s="59">
        <f ca="1">AVERAGE(OFFSET($R$3,0,0,'Données projet'!$E$9+1,1))-AVERAGE(OFFSET($H$3,0,0,'Données projet'!$E$9+1,1))</f>
        <v>234.83702199169585</v>
      </c>
      <c r="T34" s="59">
        <f t="shared" si="34"/>
        <v>248.83008816685089</v>
      </c>
      <c r="U34" s="15">
        <f>IF(ISNA(VLOOKUP(A34,'Données projet'!$A$35:$I$55,3,0)),0,VLOOKUP(A34,'Données projet'!$A$35:$I$55,3,0))</f>
        <v>3</v>
      </c>
      <c r="V34" s="15">
        <f>IF(ISNA(VLOOKUP(A34,'Données projet'!$A$35:$I$55,4,0)),0,VLOOKUP(A34,'Données projet'!$A$35:$I$55,4,0))</f>
        <v>57</v>
      </c>
      <c r="W34" s="16">
        <f>IF(ISNA(VLOOKUP(A34,'Données projet'!$A$35:$I$55,5,0)),0%,VLOOKUP(A34,'Données projet'!$A$35:$I$55,5,0)*VLOOKUP('Données projet'!$B$9,Paramètres!$A$1:$I$89,7,0))</f>
        <v>0.27500000000000002</v>
      </c>
      <c r="X34" s="16">
        <f>IF(ISNA(VLOOKUP(A34,'Données projet'!$A$35:$I$55,6,0)),0%,VLOOKUP(A34,'Données projet'!$A$35:$I$55,6,0)*VLOOKUP('Données projet'!$B$9,Paramètres!$A$1:$I$89,7,0))</f>
        <v>0.22000000000000003</v>
      </c>
      <c r="Y34" s="16">
        <f>IF(ISNA(VLOOKUP(A34,'Données projet'!$A$35:$I$55,7,0)),0%,VLOOKUP(A34,'Données projet'!$A$35:$I$55,7,0))</f>
        <v>0.1</v>
      </c>
      <c r="Z34" s="21">
        <f>EXP(-LN(2)/35)*Z33+(1-EXP(-LN(2)/35))/(LN(2)/35)*V34*W34*VLOOKUP('Données projet'!$B$9,Paramètres!$A$1:$I$89,3,0)*0.475*44/12</f>
        <v>13.769331515226817</v>
      </c>
      <c r="AA34" s="21">
        <f>EXP(-LN(2)/25)*AA33+(1-EXP(-LN(2)/25))/(LN(2)/25)*Calculateur!V34*Calculateur!X34*VLOOKUP('Données projet'!$B$9,Paramètres!$A$1:$I$89,3,0)*0.475*44/12</f>
        <v>23.48969642590329</v>
      </c>
      <c r="AB34" s="21">
        <f>EXP(-LN(2)/2)*AB33+(1-EXP(-LN(2)/2))/(LN(2)/2)*V34*Y34*VLOOKUP('Données projet'!$B$9,Paramètres!$A$1:$I$89,3,0)*0.475*44/12</f>
        <v>6.6566767352324749</v>
      </c>
      <c r="AC34" s="22">
        <f t="shared" si="3"/>
        <v>43.91570467636258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29</v>
      </c>
      <c r="AI34" s="13">
        <f>IF('Données projet'!$A$62&gt;35,AI33+AH34-AQ33,IF(A34&lt;'Données projet'!$A$62,$AF$205^A34,IF(A34='Données projet'!$A$62,'Données projet'!$B$62,AI33+AH34-AQ33)))</f>
        <v>302.00000000000011</v>
      </c>
      <c r="AJ34" s="13">
        <f>AI34*VLOOKUP('Données projet'!$B$10,Paramètres!$A$1:$I$89,3,0)*VLOOKUP('Données projet'!$B$10,Paramètres!$A$1:$I$89,5,0)</f>
        <v>121.70600000000005</v>
      </c>
      <c r="AK34" s="13">
        <f t="shared" si="35"/>
        <v>32.072568283661589</v>
      </c>
      <c r="AL34" s="20">
        <f t="shared" si="4"/>
        <v>267.8310064273773</v>
      </c>
      <c r="AM34" s="59">
        <f t="shared" si="5"/>
        <v>561.16433976071062</v>
      </c>
      <c r="AN34" s="59">
        <f ca="1">AVERAGE(OFFSET($AM$3,0,0,'Données projet'!$E$10+1,1))-AVERAGE(OFFSET($H$3,0,0,'Données projet'!$E$10+1,1))</f>
        <v>314.16268026911069</v>
      </c>
      <c r="AO34" s="59">
        <f t="shared" si="36"/>
        <v>265.23571072429735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11.150851113345729</v>
      </c>
      <c r="AV34" s="21">
        <f>EXP(-LN(2)/25)*AV33+(1-EXP(-LN(2)/25))/(LN(2)/25)*Calculateur!AQ34*Calculateur!AS34*VLOOKUP('Données projet'!$B$10,Paramètres!$A$1:$I$89,3,0)*0.475*44/12</f>
        <v>15.877853680456811</v>
      </c>
      <c r="AW34" s="21">
        <f>EXP(-LN(2)/2)*AW33+(1-EXP(-LN(2)/2))/(LN(2)/2)*AQ34*AT34*VLOOKUP('Données projet'!$B$10,Paramètres!$A$1:$I$89,3,0)*0.475*44/12</f>
        <v>10.199149575616536</v>
      </c>
      <c r="AX34" s="21">
        <f t="shared" si="6"/>
        <v>37.227854369419077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333.81570011831167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37.5</v>
      </c>
      <c r="N35" s="13">
        <f>IF('Données projet'!$A$36&gt;35,N34+M35-V34,IF(A35&lt;'Données projet'!$A$36,$K$205^A35,IF(A35='Données projet'!$A$36,'Données projet'!$B$36,N34+M35-V34)))</f>
        <v>295.5</v>
      </c>
      <c r="O35" s="13">
        <f>N35*VLOOKUP('Données projet'!$B$9,Paramètres!$A$1:$I$89,3,0)*VLOOKUP('Données projet'!$B$9,Paramètres!$A$1:$I$89,5,0)</f>
        <v>138.29400000000001</v>
      </c>
      <c r="P35" s="13">
        <f t="shared" si="33"/>
        <v>35.905906413030237</v>
      </c>
      <c r="Q35" s="20">
        <f t="shared" ref="Q35:Q66" si="53">(O35+P35)*0.475*44/12</f>
        <v>303.39817033602765</v>
      </c>
      <c r="R35" s="59">
        <f t="shared" si="0"/>
        <v>596.73150366936102</v>
      </c>
      <c r="S35" s="59">
        <f ca="1">AVERAGE(OFFSET($R$3,0,0,'Données projet'!$E$9+1,1))-AVERAGE(OFFSET($H$3,0,0,'Données projet'!$E$9+1,1))</f>
        <v>234.83702199169585</v>
      </c>
      <c r="T35" s="59">
        <f t="shared" si="34"/>
        <v>248.83008816685089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13.499323322676164</v>
      </c>
      <c r="AA35" s="21">
        <f>EXP(-LN(2)/25)*AA34+(1-EXP(-LN(2)/25))/(LN(2)/25)*Calculateur!V35*Calculateur!X35*VLOOKUP('Données projet'!$B$9,Paramètres!$A$1:$I$89,3,0)*0.475*44/12</f>
        <v>22.847369441867517</v>
      </c>
      <c r="AB35" s="21">
        <f>EXP(-LN(2)/2)*AB34+(1-EXP(-LN(2)/2))/(LN(2)/2)*V35*Y35*VLOOKUP('Données projet'!$B$9,Paramètres!$A$1:$I$89,3,0)*0.475*44/12</f>
        <v>4.7069812596496119</v>
      </c>
      <c r="AC35" s="22">
        <f t="shared" si="3"/>
        <v>41.053674024193292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29</v>
      </c>
      <c r="AI35" s="13">
        <f>IF('Données projet'!$A$62&gt;35,AI34+AH35-AQ34,IF(A35&lt;'Données projet'!$A$62,$AF$205^A35,IF(A35='Données projet'!$A$62,'Données projet'!$B$62,AI34+AH35-AQ34)))</f>
        <v>331.00000000000011</v>
      </c>
      <c r="AJ35" s="13">
        <f>AI35*VLOOKUP('Données projet'!$B$10,Paramètres!$A$1:$I$89,3,0)*VLOOKUP('Données projet'!$B$10,Paramètres!$A$1:$I$89,5,0)</f>
        <v>133.39300000000003</v>
      </c>
      <c r="AK35" s="13">
        <f t="shared" si="35"/>
        <v>34.779202475381169</v>
      </c>
      <c r="AL35" s="20">
        <f t="shared" si="4"/>
        <v>292.8999193112889</v>
      </c>
      <c r="AM35" s="59">
        <f t="shared" si="5"/>
        <v>586.23325264462221</v>
      </c>
      <c r="AN35" s="59">
        <f ca="1">AVERAGE(OFFSET($AM$3,0,0,'Données projet'!$E$10+1,1))-AVERAGE(OFFSET($H$3,0,0,'Données projet'!$E$10+1,1))</f>
        <v>314.16268026911069</v>
      </c>
      <c r="AO35" s="59">
        <f t="shared" si="36"/>
        <v>265.23571072429735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10.932189724360621</v>
      </c>
      <c r="AV35" s="21">
        <f>EXP(-LN(2)/25)*AV34+(1-EXP(-LN(2)/25))/(LN(2)/25)*Calculateur!AQ35*Calculateur!AS35*VLOOKUP('Données projet'!$B$10,Paramètres!$A$1:$I$89,3,0)*0.475*44/12</f>
        <v>15.443672936584683</v>
      </c>
      <c r="AW35" s="21">
        <f>EXP(-LN(2)/2)*AW34+(1-EXP(-LN(2)/2))/(LN(2)/2)*AQ35*AT35*VLOOKUP('Données projet'!$B$10,Paramètres!$A$1:$I$89,3,0)*0.475*44/12</f>
        <v>7.2118878272543512</v>
      </c>
      <c r="AX35" s="21">
        <f t="shared" si="6"/>
        <v>33.587750488199653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335.04371101436357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37.5</v>
      </c>
      <c r="N36" s="13">
        <f>IF('Données projet'!$A$36&gt;35,N35+M36-V35,IF(A36&lt;'Données projet'!$A$36,$K$205^A36,IF(A36='Données projet'!$A$36,'Données projet'!$B$36,N35+M36-V35)))</f>
        <v>333</v>
      </c>
      <c r="O36" s="13">
        <f>N36*VLOOKUP('Données projet'!$B$9,Paramètres!$A$1:$I$89,3,0)*VLOOKUP('Données projet'!$B$9,Paramètres!$A$1:$I$89,5,0)</f>
        <v>155.84399999999999</v>
      </c>
      <c r="P36" s="13">
        <f t="shared" si="33"/>
        <v>39.903687010744221</v>
      </c>
      <c r="Q36" s="20">
        <f t="shared" si="53"/>
        <v>340.92722154371285</v>
      </c>
      <c r="R36" s="59">
        <f t="shared" si="0"/>
        <v>634.26055487704616</v>
      </c>
      <c r="S36" s="59">
        <f ca="1">AVERAGE(OFFSET($R$3,0,0,'Données projet'!$E$9+1,1))-AVERAGE(OFFSET($H$3,0,0,'Données projet'!$E$9+1,1))</f>
        <v>234.83702199169585</v>
      </c>
      <c r="T36" s="59">
        <f t="shared" si="34"/>
        <v>248.83008816685089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13.234609826092694</v>
      </c>
      <c r="AA36" s="21">
        <f>EXP(-LN(2)/25)*AA35+(1-EXP(-LN(2)/25))/(LN(2)/25)*Calculateur!V36*Calculateur!X36*VLOOKUP('Données projet'!$B$9,Paramètres!$A$1:$I$89,3,0)*0.475*44/12</f>
        <v>22.22260692298871</v>
      </c>
      <c r="AB36" s="21">
        <f>EXP(-LN(2)/2)*AB35+(1-EXP(-LN(2)/2))/(LN(2)/2)*V36*Y36*VLOOKUP('Données projet'!$B$9,Paramètres!$A$1:$I$89,3,0)*0.475*44/12</f>
        <v>3.3283383676162384</v>
      </c>
      <c r="AC36" s="22">
        <f t="shared" si="3"/>
        <v>38.785555116697644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29</v>
      </c>
      <c r="AI36" s="13">
        <f>IF('Données projet'!$A$62&gt;35,AI35+AH36-AQ35,IF(A36&lt;'Données projet'!$A$62,$AF$205^A36,IF(A36='Données projet'!$A$62,'Données projet'!$B$62,AI35+AH36-AQ35)))</f>
        <v>360.00000000000011</v>
      </c>
      <c r="AJ36" s="13">
        <f>AI36*VLOOKUP('Données projet'!$B$10,Paramètres!$A$1:$I$89,3,0)*VLOOKUP('Données projet'!$B$10,Paramètres!$A$1:$I$89,5,0)</f>
        <v>145.08000000000004</v>
      </c>
      <c r="AK36" s="13">
        <f t="shared" si="35"/>
        <v>37.458337067672986</v>
      </c>
      <c r="AL36" s="20">
        <f t="shared" si="4"/>
        <v>317.9209370595305</v>
      </c>
      <c r="AM36" s="59">
        <f t="shared" si="5"/>
        <v>611.25427039286387</v>
      </c>
      <c r="AN36" s="59">
        <f ca="1">AVERAGE(OFFSET($AM$3,0,0,'Données projet'!$E$10+1,1))-AVERAGE(OFFSET($H$3,0,0,'Données projet'!$E$10+1,1))</f>
        <v>314.16268026911069</v>
      </c>
      <c r="AO36" s="59">
        <f t="shared" si="36"/>
        <v>265.23571072429735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10.717816151843232</v>
      </c>
      <c r="AV36" s="21">
        <f>EXP(-LN(2)/25)*AV35+(1-EXP(-LN(2)/25))/(LN(2)/25)*Calculateur!AQ36*Calculateur!AS36*VLOOKUP('Données projet'!$B$10,Paramètres!$A$1:$I$89,3,0)*0.475*44/12</f>
        <v>15.021364887986312</v>
      </c>
      <c r="AW36" s="21">
        <f>EXP(-LN(2)/2)*AW35+(1-EXP(-LN(2)/2))/(LN(2)/2)*AQ36*AT36*VLOOKUP('Données projet'!$B$10,Paramètres!$A$1:$I$89,3,0)*0.475*44/12</f>
        <v>5.0995747878082689</v>
      </c>
      <c r="AX36" s="21">
        <f t="shared" si="6"/>
        <v>30.838755827637815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336.27074620482119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37.5</v>
      </c>
      <c r="N37" s="13">
        <f>IF('Données projet'!$A$36&gt;35,N36+M37-V36,IF(A37&lt;'Données projet'!$A$36,$K$205^A37,IF(A37='Données projet'!$A$36,'Données projet'!$B$36,N36+M37-V36)))</f>
        <v>370.5</v>
      </c>
      <c r="O37" s="13">
        <f>N37*VLOOKUP('Données projet'!$B$9,Paramètres!$A$1:$I$89,3,0)*VLOOKUP('Données projet'!$B$9,Paramètres!$A$1:$I$89,5,0)</f>
        <v>173.39400000000001</v>
      </c>
      <c r="P37" s="13">
        <f t="shared" si="33"/>
        <v>43.849289930196633</v>
      </c>
      <c r="Q37" s="20">
        <f t="shared" si="53"/>
        <v>378.36539662842574</v>
      </c>
      <c r="R37" s="59">
        <f t="shared" si="0"/>
        <v>671.698729961759</v>
      </c>
      <c r="S37" s="59">
        <f ca="1">AVERAGE(OFFSET($R$3,0,0,'Données projet'!$E$9+1,1))-AVERAGE(OFFSET($H$3,0,0,'Données projet'!$E$9+1,1))</f>
        <v>234.83702199169585</v>
      </c>
      <c r="T37" s="59">
        <f t="shared" si="34"/>
        <v>248.83008816685089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12.975087199717935</v>
      </c>
      <c r="AA37" s="21">
        <f>EXP(-LN(2)/25)*AA36+(1-EXP(-LN(2)/25))/(LN(2)/25)*Calculateur!V37*Calculateur!X37*VLOOKUP('Données projet'!$B$9,Paramètres!$A$1:$I$89,3,0)*0.475*44/12</f>
        <v>21.614928568043478</v>
      </c>
      <c r="AB37" s="21">
        <f>EXP(-LN(2)/2)*AB36+(1-EXP(-LN(2)/2))/(LN(2)/2)*V37*Y37*VLOOKUP('Données projet'!$B$9,Paramètres!$A$1:$I$89,3,0)*0.475*44/12</f>
        <v>2.3534906298248064</v>
      </c>
      <c r="AC37" s="22">
        <f t="shared" si="3"/>
        <v>36.943506397586219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29</v>
      </c>
      <c r="AI37" s="13">
        <f>IF('Données projet'!$A$62&gt;35,AI36+AH37-AQ36,IF(A37&lt;'Données projet'!$A$62,$AF$205^A37,IF(A37='Données projet'!$A$62,'Données projet'!$B$62,AI36+AH37-AQ36)))</f>
        <v>389.00000000000011</v>
      </c>
      <c r="AJ37" s="13">
        <f>AI37*VLOOKUP('Données projet'!$B$10,Paramètres!$A$1:$I$89,3,0)*VLOOKUP('Données projet'!$B$10,Paramètres!$A$1:$I$89,5,0)</f>
        <v>156.76700000000005</v>
      </c>
      <c r="AK37" s="13">
        <f t="shared" si="35"/>
        <v>40.112439157917848</v>
      </c>
      <c r="AL37" s="20">
        <f t="shared" si="4"/>
        <v>342.8983565333736</v>
      </c>
      <c r="AM37" s="59">
        <f t="shared" si="5"/>
        <v>636.23168986670692</v>
      </c>
      <c r="AN37" s="59">
        <f ca="1">AVERAGE(OFFSET($AM$3,0,0,'Données projet'!$E$10+1,1))-AVERAGE(OFFSET($H$3,0,0,'Données projet'!$E$10+1,1))</f>
        <v>314.16268026911069</v>
      </c>
      <c r="AO37" s="59">
        <f t="shared" si="36"/>
        <v>265.23571072429735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10.507646314327943</v>
      </c>
      <c r="AV37" s="21">
        <f>EXP(-LN(2)/25)*AV36+(1-EXP(-LN(2)/25))/(LN(2)/25)*Calculateur!AQ37*Calculateur!AS37*VLOOKUP('Données projet'!$B$10,Paramètres!$A$1:$I$89,3,0)*0.475*44/12</f>
        <v>14.610604875185079</v>
      </c>
      <c r="AW37" s="21">
        <f>EXP(-LN(2)/2)*AW36+(1-EXP(-LN(2)/2))/(LN(2)/2)*AQ37*AT37*VLOOKUP('Données projet'!$B$10,Paramètres!$A$1:$I$89,3,0)*0.475*44/12</f>
        <v>3.6059439136271765</v>
      </c>
      <c r="AX37" s="21">
        <f t="shared" si="6"/>
        <v>28.724195103140197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337.49683768183723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projet'!$A$35:$I$55,2,0)</f>
        <v>408</v>
      </c>
      <c r="L38" s="12">
        <f>VLOOKUP(A38,'Données projet'!$A$35:$I$55,9,0)</f>
        <v>37.5</v>
      </c>
      <c r="M38" s="12">
        <f t="array" ref="M38">INDEX(L:L,MIN(IF(ISNUMBER(L38:L234),ROW(L38:L234),"")))</f>
        <v>37.5</v>
      </c>
      <c r="N38" s="13">
        <f>IF('Données projet'!$A$36&gt;35,N37+M38-V37,IF(A38&lt;'Données projet'!$A$36,$K$205^A38,IF(A38='Données projet'!$A$36,'Données projet'!$B$36,N37+M38-V37)))</f>
        <v>408</v>
      </c>
      <c r="O38" s="13">
        <f>N38*VLOOKUP('Données projet'!$B$9,Paramètres!$A$1:$I$89,3,0)*VLOOKUP('Données projet'!$B$9,Paramètres!$A$1:$I$89,5,0)</f>
        <v>190.94399999999999</v>
      </c>
      <c r="P38" s="13">
        <f t="shared" si="33"/>
        <v>47.748597609826597</v>
      </c>
      <c r="Q38" s="20">
        <f t="shared" si="53"/>
        <v>415.72294083711455</v>
      </c>
      <c r="R38" s="59">
        <f t="shared" si="0"/>
        <v>709.05627417044786</v>
      </c>
      <c r="S38" s="59">
        <f ca="1">AVERAGE(OFFSET($R$3,0,0,'Données projet'!$E$9+1,1))-AVERAGE(OFFSET($H$3,0,0,'Données projet'!$E$9+1,1))</f>
        <v>234.83702199169585</v>
      </c>
      <c r="T38" s="59">
        <f t="shared" si="34"/>
        <v>248.83008816685089</v>
      </c>
      <c r="U38" s="15">
        <f>IF(ISNA(VLOOKUP(A38,'Données projet'!$A$35:$I$55,3,0)),0,VLOOKUP(A38,'Données projet'!$A$35:$I$55,3,0))</f>
        <v>4</v>
      </c>
      <c r="V38" s="15">
        <f>IF(ISNA(VLOOKUP(A38,'Données projet'!$A$35:$I$55,4,0)),0,VLOOKUP(A38,'Données projet'!$A$35:$I$55,4,0))</f>
        <v>64</v>
      </c>
      <c r="W38" s="16">
        <f>IF(ISNA(VLOOKUP(A38,'Données projet'!$A$35:$I$55,5,0)),0%,VLOOKUP(A38,'Données projet'!$A$35:$I$55,5,0)*VLOOKUP('Données projet'!$B$9,Paramètres!$A$1:$I$89,7,0))</f>
        <v>0.27500000000000002</v>
      </c>
      <c r="X38" s="16">
        <f>IF(ISNA(VLOOKUP(A38,'Données projet'!$A$35:$I$55,6,0)),0%,VLOOKUP(A38,'Données projet'!$A$35:$I$55,6,0)*VLOOKUP('Données projet'!$B$9,Paramètres!$A$1:$I$89,7,0))</f>
        <v>0.22000000000000003</v>
      </c>
      <c r="Y38" s="16">
        <f>IF(ISNA(VLOOKUP(A38,'Données projet'!$A$35:$I$55,7,0)),0%,VLOOKUP(A38,'Données projet'!$A$35:$I$55,7,0))</f>
        <v>0.1</v>
      </c>
      <c r="Z38" s="21">
        <f>EXP(-LN(2)/35)*Z37+(1-EXP(-LN(2)/35))/(LN(2)/35)*V38*W38*VLOOKUP('Données projet'!$B$9,Paramètres!$A$1:$I$89,3,0)*0.475*44/12</f>
        <v>23.647299760317615</v>
      </c>
      <c r="AA38" s="21">
        <f>EXP(-LN(2)/25)*AA37+(1-EXP(-LN(2)/25))/(LN(2)/25)*Calculateur!V38*Calculateur!X38*VLOOKUP('Données projet'!$B$9,Paramètres!$A$1:$I$89,3,0)*0.475*44/12</f>
        <v>29.730766199642069</v>
      </c>
      <c r="AB38" s="21">
        <f>EXP(-LN(2)/2)*AB37+(1-EXP(-LN(2)/2))/(LN(2)/2)*V38*Y38*VLOOKUP('Données projet'!$B$9,Paramètres!$A$1:$I$89,3,0)*0.475*44/12</f>
        <v>5.05543136135939</v>
      </c>
      <c r="AC38" s="22">
        <f t="shared" si="3"/>
        <v>58.433497321319074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>
        <f>VLOOKUP(A38,'Données projet'!$A$61:$I$81,2,0)</f>
        <v>418</v>
      </c>
      <c r="AG38" s="12">
        <f>VLOOKUP(A38,'Données projet'!$A$61:$I$81,9,0)</f>
        <v>29</v>
      </c>
      <c r="AH38" s="12">
        <f t="array" ref="AH38">INDEX(AG:AG,MIN(IF(ISNUMBER(AG38:AG234),ROW(AG38:AG234),"")))</f>
        <v>29</v>
      </c>
      <c r="AI38" s="13">
        <f>IF('Données projet'!$A$62&gt;35,AI37+AH38-AQ37,IF(A38&lt;'Données projet'!$A$62,$AF$205^A38,IF(A38='Données projet'!$A$62,'Données projet'!$B$62,AI37+AH38-AQ37)))</f>
        <v>418.00000000000011</v>
      </c>
      <c r="AJ38" s="13">
        <f>AI38*VLOOKUP('Données projet'!$B$10,Paramètres!$A$1:$I$89,3,0)*VLOOKUP('Données projet'!$B$10,Paramètres!$A$1:$I$89,5,0)</f>
        <v>168.45400000000006</v>
      </c>
      <c r="AK38" s="13">
        <f t="shared" si="35"/>
        <v>42.743587127049565</v>
      </c>
      <c r="AL38" s="20">
        <f t="shared" si="4"/>
        <v>367.83579757961144</v>
      </c>
      <c r="AM38" s="59">
        <f t="shared" si="5"/>
        <v>661.16913091294475</v>
      </c>
      <c r="AN38" s="59">
        <f ca="1">AVERAGE(OFFSET($AM$3,0,0,'Données projet'!$E$10+1,1))-AVERAGE(OFFSET($H$3,0,0,'Données projet'!$E$10+1,1))</f>
        <v>314.16268026911069</v>
      </c>
      <c r="AO38" s="59">
        <f t="shared" si="36"/>
        <v>265.23571072429735</v>
      </c>
      <c r="AP38" s="15">
        <f>IF(ISNA(VLOOKUP(A38,'Données projet'!$A$61:$I$81,3,0)),0,VLOOKUP(A38,'Données projet'!$A$61:$I$81,3,0))</f>
        <v>4</v>
      </c>
      <c r="AQ38" s="15">
        <f>IF(ISNA(VLOOKUP(A38,'Données projet'!$A$61:$I$81,4,0)),0,VLOOKUP(A38,'Données projet'!$A$61:$I$81,4,0))</f>
        <v>70</v>
      </c>
      <c r="AR38" s="16">
        <f>IF(ISNA(VLOOKUP(A38,'Données projet'!$A$61:$I$81,5,0)),0%,VLOOKUP(A38,'Données projet'!$A$61:$I$81,5,0)*VLOOKUP('Données projet'!$B$10,Paramètres!$A$1:$I$89,7,0))</f>
        <v>0.13750000000000001</v>
      </c>
      <c r="AS38" s="16">
        <f>IF(ISNA(VLOOKUP(A38,'Données projet'!$A$61:$I$81,6,0)),0%,VLOOKUP(A38,'Données projet'!$A$61:$I$81,6,0)*VLOOKUP('Données projet'!$B$10,Paramètres!$A$1:$I$89,7,0))</f>
        <v>0.20350000000000001</v>
      </c>
      <c r="AT38" s="16">
        <f>IF(ISNA(VLOOKUP(A38,'Données projet'!$A$61:$I$81,7,0)),0%,VLOOKUP(A38,'Données projet'!$A$61:$I$81,7,0))</f>
        <v>0.38</v>
      </c>
      <c r="AU38" s="21">
        <f>EXP(-LN(2)/35)*AU37+(1-EXP(-LN(2)/35))/(LN(2)/35)*AQ38*AR38*VLOOKUP('Données projet'!$B$10,Paramètres!$A$1:$I$89,3,0)*0.475*44/12</f>
        <v>15.447175481228431</v>
      </c>
      <c r="AV38" s="21">
        <f>EXP(-LN(2)/25)*AV37+(1-EXP(-LN(2)/25))/(LN(2)/25)*Calculateur!AQ38*Calculateur!AS38*VLOOKUP('Données projet'!$B$10,Paramètres!$A$1:$I$89,3,0)*0.475*44/12</f>
        <v>21.796547167585242</v>
      </c>
      <c r="AW38" s="21">
        <f>EXP(-LN(2)/2)*AW37+(1-EXP(-LN(2)/2))/(LN(2)/2)*AQ38*AT38*VLOOKUP('Données projet'!$B$10,Paramètres!$A$1:$I$89,3,0)*0.475*44/12</f>
        <v>14.687091176928343</v>
      </c>
      <c r="AX38" s="21">
        <f t="shared" si="6"/>
        <v>51.930813825742014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338.72201550546265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35.75</v>
      </c>
      <c r="N39" s="13">
        <f>IF('Données projet'!$A$36&gt;35,N38+M39-V38,IF(A39&lt;'Données projet'!$A$36,$K$205^A39,IF(A39='Données projet'!$A$36,'Données projet'!$B$36,N38+M39-V38)))</f>
        <v>379.75</v>
      </c>
      <c r="O39" s="13">
        <f>N39*VLOOKUP('Données projet'!$B$9,Paramètres!$A$1:$I$89,3,0)*VLOOKUP('Données projet'!$B$9,Paramètres!$A$1:$I$89,5,0)</f>
        <v>177.72300000000001</v>
      </c>
      <c r="P39" s="13">
        <f t="shared" si="33"/>
        <v>44.815220883057329</v>
      </c>
      <c r="Q39" s="20">
        <f t="shared" si="53"/>
        <v>387.58740137132486</v>
      </c>
      <c r="R39" s="59">
        <f t="shared" si="0"/>
        <v>680.92073470465812</v>
      </c>
      <c r="S39" s="59">
        <f ca="1">AVERAGE(OFFSET($R$3,0,0,'Données projet'!$E$9+1,1))-AVERAGE(OFFSET($H$3,0,0,'Données projet'!$E$9+1,1))</f>
        <v>234.83702199169585</v>
      </c>
      <c r="T39" s="59">
        <f t="shared" si="34"/>
        <v>248.83008816685089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23.183590635446446</v>
      </c>
      <c r="AA39" s="21">
        <f>EXP(-LN(2)/25)*AA38+(1-EXP(-LN(2)/25))/(LN(2)/25)*Calculateur!V39*Calculateur!X39*VLOOKUP('Données projet'!$B$9,Paramètres!$A$1:$I$89,3,0)*0.475*44/12</f>
        <v>28.917776834439813</v>
      </c>
      <c r="AB39" s="21">
        <f>EXP(-LN(2)/2)*AB38+(1-EXP(-LN(2)/2))/(LN(2)/2)*V39*Y39*VLOOKUP('Données projet'!$B$9,Paramètres!$A$1:$I$89,3,0)*0.475*44/12</f>
        <v>3.5747297974403645</v>
      </c>
      <c r="AC39" s="22">
        <f t="shared" si="3"/>
        <v>55.676097267326618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27.8</v>
      </c>
      <c r="AI39" s="13">
        <f>IF('Données projet'!$A$62&gt;35,AI38+AH39-AQ38,IF(A39&lt;'Données projet'!$A$62,$AF$205^A39,IF(A39='Données projet'!$A$62,'Données projet'!$B$62,AI38+AH39-AQ38)))</f>
        <v>375.80000000000013</v>
      </c>
      <c r="AJ39" s="13">
        <f>AI39*VLOOKUP('Données projet'!$B$10,Paramètres!$A$1:$I$89,3,0)*VLOOKUP('Données projet'!$B$10,Paramètres!$A$1:$I$89,5,0)</f>
        <v>151.44740000000004</v>
      </c>
      <c r="AK39" s="13">
        <f t="shared" si="35"/>
        <v>38.90732840217283</v>
      </c>
      <c r="AL39" s="20">
        <f t="shared" si="4"/>
        <v>331.53448530045102</v>
      </c>
      <c r="AM39" s="59">
        <f t="shared" si="5"/>
        <v>624.86781863378428</v>
      </c>
      <c r="AN39" s="59">
        <f ca="1">AVERAGE(OFFSET($AM$3,0,0,'Données projet'!$E$10+1,1))-AVERAGE(OFFSET($H$3,0,0,'Données projet'!$E$10+1,1))</f>
        <v>314.16268026911069</v>
      </c>
      <c r="AO39" s="59">
        <f t="shared" si="36"/>
        <v>265.23571072429735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15.144265791888255</v>
      </c>
      <c r="AV39" s="21">
        <f>EXP(-LN(2)/25)*AV38+(1-EXP(-LN(2)/25))/(LN(2)/25)*Calculateur!AQ39*Calculateur!AS39*VLOOKUP('Données projet'!$B$10,Paramètres!$A$1:$I$89,3,0)*0.475*44/12</f>
        <v>21.200519439057025</v>
      </c>
      <c r="AW39" s="21">
        <f>EXP(-LN(2)/2)*AW38+(1-EXP(-LN(2)/2))/(LN(2)/2)*AQ39*AT39*VLOOKUP('Données projet'!$B$10,Paramètres!$A$1:$I$89,3,0)*0.475*44/12</f>
        <v>10.385341767111143</v>
      </c>
      <c r="AX39" s="21">
        <f t="shared" si="6"/>
        <v>46.73012699805642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339.94630797071892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35.75</v>
      </c>
      <c r="N40" s="13">
        <f>IF('Données projet'!$A$36&gt;35,N39+M40-V39,IF(A40&lt;'Données projet'!$A$36,$K$205^A40,IF(A40='Données projet'!$A$36,'Données projet'!$B$36,N39+M40-V39)))</f>
        <v>415.5</v>
      </c>
      <c r="O40" s="13">
        <f>N40*VLOOKUP('Données projet'!$B$9,Paramètres!$A$1:$I$89,3,0)*VLOOKUP('Données projet'!$B$9,Paramètres!$A$1:$I$89,5,0)</f>
        <v>194.45399999999998</v>
      </c>
      <c r="P40" s="13">
        <f t="shared" si="33"/>
        <v>48.52333711074219</v>
      </c>
      <c r="Q40" s="20">
        <f t="shared" si="53"/>
        <v>423.18552880120927</v>
      </c>
      <c r="R40" s="59">
        <f t="shared" si="0"/>
        <v>716.51886213454259</v>
      </c>
      <c r="S40" s="59">
        <f ca="1">AVERAGE(OFFSET($R$3,0,0,'Données projet'!$E$9+1,1))-AVERAGE(OFFSET($H$3,0,0,'Données projet'!$E$9+1,1))</f>
        <v>234.83702199169585</v>
      </c>
      <c r="T40" s="59">
        <f t="shared" si="34"/>
        <v>248.83008816685089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22.728974563679362</v>
      </c>
      <c r="AA40" s="21">
        <f>EXP(-LN(2)/25)*AA39+(1-EXP(-LN(2)/25))/(LN(2)/25)*Calculateur!V40*Calculateur!X40*VLOOKUP('Données projet'!$B$9,Paramètres!$A$1:$I$89,3,0)*0.475*44/12</f>
        <v>28.127018706182266</v>
      </c>
      <c r="AB40" s="21">
        <f>EXP(-LN(2)/2)*AB39+(1-EXP(-LN(2)/2))/(LN(2)/2)*V40*Y40*VLOOKUP('Données projet'!$B$9,Paramètres!$A$1:$I$89,3,0)*0.475*44/12</f>
        <v>2.5277156806796954</v>
      </c>
      <c r="AC40" s="22">
        <f t="shared" si="3"/>
        <v>53.383708950541326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27.8</v>
      </c>
      <c r="AI40" s="13">
        <f>IF('Données projet'!$A$62&gt;35,AI39+AH40-AQ39,IF(A40&lt;'Données projet'!$A$62,$AF$205^A40,IF(A40='Données projet'!$A$62,'Données projet'!$B$62,AI39+AH40-AQ39)))</f>
        <v>403.60000000000014</v>
      </c>
      <c r="AJ40" s="13">
        <f>AI40*VLOOKUP('Données projet'!$B$10,Paramètres!$A$1:$I$89,3,0)*VLOOKUP('Données projet'!$B$10,Paramètres!$A$1:$I$89,5,0)</f>
        <v>162.65080000000006</v>
      </c>
      <c r="AK40" s="13">
        <f t="shared" si="35"/>
        <v>41.439837761751669</v>
      </c>
      <c r="AL40" s="20">
        <f t="shared" si="4"/>
        <v>355.45786076838431</v>
      </c>
      <c r="AM40" s="59">
        <f t="shared" si="5"/>
        <v>648.79119410171756</v>
      </c>
      <c r="AN40" s="59">
        <f ca="1">AVERAGE(OFFSET($AM$3,0,0,'Données projet'!$E$10+1,1))-AVERAGE(OFFSET($H$3,0,0,'Données projet'!$E$10+1,1))</f>
        <v>314.16268026911069</v>
      </c>
      <c r="AO40" s="59">
        <f t="shared" si="36"/>
        <v>265.23571072429735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14.847295976799373</v>
      </c>
      <c r="AV40" s="21">
        <f>EXP(-LN(2)/25)*AV39+(1-EXP(-LN(2)/25))/(LN(2)/25)*Calculateur!AQ40*Calculateur!AS40*VLOOKUP('Données projet'!$B$10,Paramètres!$A$1:$I$89,3,0)*0.475*44/12</f>
        <v>20.620790120109149</v>
      </c>
      <c r="AW40" s="21">
        <f>EXP(-LN(2)/2)*AW39+(1-EXP(-LN(2)/2))/(LN(2)/2)*AQ40*AT40*VLOOKUP('Données projet'!$B$10,Paramètres!$A$1:$I$89,3,0)*0.475*44/12</f>
        <v>7.3435455884641723</v>
      </c>
      <c r="AX40" s="21">
        <f t="shared" si="6"/>
        <v>42.811631685372696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341.16974175610096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35.75</v>
      </c>
      <c r="N41" s="13">
        <f>IF('Données projet'!$A$36&gt;35,N40+M41-V40,IF(A41&lt;'Données projet'!$A$36,$K$205^A41,IF(A41='Données projet'!$A$36,'Données projet'!$B$36,N40+M41-V40)))</f>
        <v>451.25</v>
      </c>
      <c r="O41" s="13">
        <f>N41*VLOOKUP('Données projet'!$B$9,Paramètres!$A$1:$I$89,3,0)*VLOOKUP('Données projet'!$B$9,Paramètres!$A$1:$I$89,5,0)</f>
        <v>211.185</v>
      </c>
      <c r="P41" s="13">
        <f t="shared" si="33"/>
        <v>52.194453146878672</v>
      </c>
      <c r="Q41" s="20">
        <f t="shared" si="53"/>
        <v>458.71921423081375</v>
      </c>
      <c r="R41" s="59">
        <f t="shared" si="0"/>
        <v>752.05254756414706</v>
      </c>
      <c r="S41" s="59">
        <f ca="1">AVERAGE(OFFSET($R$3,0,0,'Données projet'!$E$9+1,1))-AVERAGE(OFFSET($H$3,0,0,'Données projet'!$E$9+1,1))</f>
        <v>234.83702199169585</v>
      </c>
      <c r="T41" s="59">
        <f t="shared" si="34"/>
        <v>248.83008816685089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22.283273235791206</v>
      </c>
      <c r="AA41" s="21">
        <f>EXP(-LN(2)/25)*AA40+(1-EXP(-LN(2)/25))/(LN(2)/25)*Calculateur!V41*Calculateur!X41*VLOOKUP('Données projet'!$B$9,Paramètres!$A$1:$I$89,3,0)*0.475*44/12</f>
        <v>27.357883900526083</v>
      </c>
      <c r="AB41" s="21">
        <f>EXP(-LN(2)/2)*AB40+(1-EXP(-LN(2)/2))/(LN(2)/2)*V41*Y41*VLOOKUP('Données projet'!$B$9,Paramètres!$A$1:$I$89,3,0)*0.475*44/12</f>
        <v>1.7873648987201824</v>
      </c>
      <c r="AC41" s="22">
        <f t="shared" si="3"/>
        <v>51.428522035037474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27.8</v>
      </c>
      <c r="AI41" s="13">
        <f>IF('Données projet'!$A$62&gt;35,AI40+AH41-AQ40,IF(A41&lt;'Données projet'!$A$62,$AF$205^A41,IF(A41='Données projet'!$A$62,'Données projet'!$B$62,AI40+AH41-AQ40)))</f>
        <v>431.40000000000015</v>
      </c>
      <c r="AJ41" s="13">
        <f>AI41*VLOOKUP('Données projet'!$B$10,Paramètres!$A$1:$I$89,3,0)*VLOOKUP('Données projet'!$B$10,Paramètres!$A$1:$I$89,5,0)</f>
        <v>173.85420000000005</v>
      </c>
      <c r="AK41" s="13">
        <f t="shared" si="35"/>
        <v>43.952106662721832</v>
      </c>
      <c r="AL41" s="20">
        <f t="shared" si="4"/>
        <v>379.34598410424059</v>
      </c>
      <c r="AM41" s="59">
        <f t="shared" si="5"/>
        <v>672.6793174375739</v>
      </c>
      <c r="AN41" s="59">
        <f ca="1">AVERAGE(OFFSET($AM$3,0,0,'Données projet'!$E$10+1,1))-AVERAGE(OFFSET($H$3,0,0,'Données projet'!$E$10+1,1))</f>
        <v>314.16268026911069</v>
      </c>
      <c r="AO41" s="59">
        <f t="shared" si="36"/>
        <v>265.23571072429735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14.556149558650681</v>
      </c>
      <c r="AV41" s="21">
        <f>EXP(-LN(2)/25)*AV40+(1-EXP(-LN(2)/25))/(LN(2)/25)*Calculateur!AQ41*Calculateur!AS41*VLOOKUP('Données projet'!$B$10,Paramètres!$A$1:$I$89,3,0)*0.475*44/12</f>
        <v>20.056913529874542</v>
      </c>
      <c r="AW41" s="21">
        <f>EXP(-LN(2)/2)*AW40+(1-EXP(-LN(2)/2))/(LN(2)/2)*AQ41*AT41*VLOOKUP('Données projet'!$B$10,Paramètres!$A$1:$I$89,3,0)*0.475*44/12</f>
        <v>5.1926708835555724</v>
      </c>
      <c r="AX41" s="21">
        <f t="shared" si="6"/>
        <v>39.805733972080795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342.3923420560082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>
        <f>VLOOKUP(A42,'Données projet'!$A$35:$I$55,2,0)</f>
        <v>487</v>
      </c>
      <c r="L42" s="12">
        <f>VLOOKUP(A42,'Données projet'!$A$35:$I$55,9,0)</f>
        <v>35.75</v>
      </c>
      <c r="M42" s="12">
        <f t="array" ref="M42">INDEX(L:L,MIN(IF(ISNUMBER(L42:L238),ROW(L42:L238),"")))</f>
        <v>35.75</v>
      </c>
      <c r="N42" s="13">
        <f>IF('Données projet'!$A$36&gt;35,N41+M42-V41,IF(A42&lt;'Données projet'!$A$36,$K$205^A42,IF(A42='Données projet'!$A$36,'Données projet'!$B$36,N41+M42-V41)))</f>
        <v>487</v>
      </c>
      <c r="O42" s="13">
        <f>N42*VLOOKUP('Données projet'!$B$9,Paramètres!$A$1:$I$89,3,0)*VLOOKUP('Données projet'!$B$9,Paramètres!$A$1:$I$89,5,0)</f>
        <v>227.916</v>
      </c>
      <c r="P42" s="13">
        <f t="shared" si="33"/>
        <v>55.831833576509503</v>
      </c>
      <c r="Q42" s="20">
        <f t="shared" si="53"/>
        <v>494.19414347908742</v>
      </c>
      <c r="R42" s="59">
        <f t="shared" si="0"/>
        <v>787.52747681242067</v>
      </c>
      <c r="S42" s="59">
        <f ca="1">AVERAGE(OFFSET($R$3,0,0,'Données projet'!$E$9+1,1))-AVERAGE(OFFSET($H$3,0,0,'Données projet'!$E$9+1,1))</f>
        <v>234.83702199169585</v>
      </c>
      <c r="T42" s="59">
        <f t="shared" si="34"/>
        <v>248.83008816685089</v>
      </c>
      <c r="U42" s="15">
        <f>IF(ISNA(VLOOKUP(A42,'Données projet'!$A$35:$I$55,3,0)),0,VLOOKUP(A42,'Données projet'!$A$35:$I$55,3,0))</f>
        <v>5</v>
      </c>
      <c r="V42" s="15">
        <f>IF(ISNA(VLOOKUP(A42,'Données projet'!$A$35:$I$55,4,0)),0,VLOOKUP(A42,'Données projet'!$A$35:$I$55,4,0))</f>
        <v>50</v>
      </c>
      <c r="W42" s="16">
        <f>IF(ISNA(VLOOKUP(A42,'Données projet'!$A$35:$I$55,5,0)),0%,VLOOKUP(A42,'Données projet'!$A$35:$I$55,5,0)*VLOOKUP('Données projet'!$B$9,Paramètres!$A$1:$I$89,7,0))</f>
        <v>0.27500000000000002</v>
      </c>
      <c r="X42" s="16">
        <f>IF(ISNA(VLOOKUP(A42,'Données projet'!$A$35:$I$55,6,0)),0%,VLOOKUP(A42,'Données projet'!$A$35:$I$55,6,0)*VLOOKUP('Données projet'!$B$9,Paramètres!$A$1:$I$89,7,0))</f>
        <v>0.22000000000000003</v>
      </c>
      <c r="Y42" s="16">
        <f>IF(ISNA(VLOOKUP(A42,'Données projet'!$A$35:$I$55,7,0)),0%,VLOOKUP(A42,'Données projet'!$A$35:$I$55,7,0))</f>
        <v>0.1</v>
      </c>
      <c r="Z42" s="21">
        <f>EXP(-LN(2)/35)*Z41+(1-EXP(-LN(2)/35))/(LN(2)/35)*V42*W42*VLOOKUP('Données projet'!$B$9,Paramètres!$A$1:$I$89,3,0)*0.475*44/12</f>
        <v>30.382754109845415</v>
      </c>
      <c r="AA42" s="21">
        <f>EXP(-LN(2)/25)*AA41+(1-EXP(-LN(2)/25))/(LN(2)/25)*Calculateur!V42*Calculateur!X42*VLOOKUP('Données projet'!$B$9,Paramètres!$A$1:$I$89,3,0)*0.475*44/12</f>
        <v>33.41204596249279</v>
      </c>
      <c r="AB42" s="21">
        <f>EXP(-LN(2)/2)*AB41+(1-EXP(-LN(2)/2))/(LN(2)/2)*V42*Y42*VLOOKUP('Données projet'!$B$9,Paramètres!$A$1:$I$89,3,0)*0.475*44/12</f>
        <v>3.9132814165517775</v>
      </c>
      <c r="AC42" s="22">
        <f t="shared" si="3"/>
        <v>67.708081488889988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27.8</v>
      </c>
      <c r="AI42" s="13">
        <f>IF('Données projet'!$A$62&gt;35,AI41+AH42-AQ41,IF(A42&lt;'Données projet'!$A$62,$AF$205^A42,IF(A42='Données projet'!$A$62,'Données projet'!$B$62,AI41+AH42-AQ41)))</f>
        <v>459.20000000000016</v>
      </c>
      <c r="AJ42" s="13">
        <f>AI42*VLOOKUP('Données projet'!$B$10,Paramètres!$A$1:$I$89,3,0)*VLOOKUP('Données projet'!$B$10,Paramètres!$A$1:$I$89,5,0)</f>
        <v>185.05760000000009</v>
      </c>
      <c r="AK42" s="13">
        <f t="shared" si="35"/>
        <v>46.445587878276164</v>
      </c>
      <c r="AL42" s="20">
        <f t="shared" si="4"/>
        <v>403.20138555466451</v>
      </c>
      <c r="AM42" s="59">
        <f t="shared" si="5"/>
        <v>696.53471888799777</v>
      </c>
      <c r="AN42" s="59">
        <f ca="1">AVERAGE(OFFSET($AM$3,0,0,'Données projet'!$E$10+1,1))-AVERAGE(OFFSET($H$3,0,0,'Données projet'!$E$10+1,1))</f>
        <v>314.16268026911069</v>
      </c>
      <c r="AO42" s="59">
        <f t="shared" si="36"/>
        <v>265.23571072429735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14.270712344180104</v>
      </c>
      <c r="AV42" s="21">
        <f>EXP(-LN(2)/25)*AV41+(1-EXP(-LN(2)/25))/(LN(2)/25)*Calculateur!AQ42*Calculateur!AS42*VLOOKUP('Données projet'!$B$10,Paramètres!$A$1:$I$89,3,0)*0.475*44/12</f>
        <v>19.508456174652881</v>
      </c>
      <c r="AW42" s="21">
        <f>EXP(-LN(2)/2)*AW41+(1-EXP(-LN(2)/2))/(LN(2)/2)*AQ42*AT42*VLOOKUP('Données projet'!$B$10,Paramètres!$A$1:$I$89,3,0)*0.475*44/12</f>
        <v>3.6717727942320866</v>
      </c>
      <c r="AX42" s="21">
        <f t="shared" si="6"/>
        <v>37.450941313065073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343.61413269921093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31.8</v>
      </c>
      <c r="N43" s="13">
        <f>IF('Données projet'!$A$36&gt;35,N42+M43-V42,IF(A43&lt;'Données projet'!$A$36,$K$205^A43,IF(A43='Données projet'!$A$36,'Données projet'!$B$36,N42+M43-V42)))</f>
        <v>468.79999999999995</v>
      </c>
      <c r="O43" s="13">
        <f>N43*VLOOKUP('Données projet'!$B$9,Paramètres!$A$1:$I$89,3,0)*VLOOKUP('Données projet'!$B$9,Paramètres!$A$1:$I$89,5,0)</f>
        <v>219.39839999999998</v>
      </c>
      <c r="P43" s="13">
        <f t="shared" si="33"/>
        <v>53.984110102082042</v>
      </c>
      <c r="Q43" s="20">
        <f t="shared" si="53"/>
        <v>476.14120509445956</v>
      </c>
      <c r="R43" s="59">
        <f t="shared" si="0"/>
        <v>769.47453842779282</v>
      </c>
      <c r="S43" s="59">
        <f ca="1">AVERAGE(OFFSET($R$3,0,0,'Données projet'!$E$9+1,1))-AVERAGE(OFFSET($H$3,0,0,'Données projet'!$E$9+1,1))</f>
        <v>234.83702199169585</v>
      </c>
      <c r="T43" s="59">
        <f t="shared" si="34"/>
        <v>248.83008816685089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29.786966833401504</v>
      </c>
      <c r="AA43" s="21">
        <f>EXP(-LN(2)/25)*AA42+(1-EXP(-LN(2)/25))/(LN(2)/25)*Calculateur!V43*Calculateur!X43*VLOOKUP('Données projet'!$B$9,Paramètres!$A$1:$I$89,3,0)*0.475*44/12</f>
        <v>32.498391808585289</v>
      </c>
      <c r="AB43" s="21">
        <f>EXP(-LN(2)/2)*AB42+(1-EXP(-LN(2)/2))/(LN(2)/2)*V43*Y43*VLOOKUP('Données projet'!$B$9,Paramètres!$A$1:$I$89,3,0)*0.475*44/12</f>
        <v>2.7671078263350606</v>
      </c>
      <c r="AC43" s="22">
        <f t="shared" si="3"/>
        <v>65.052466468321853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487</v>
      </c>
      <c r="AG43" s="12">
        <f>VLOOKUP(A43,'Données projet'!$A$61:$I$81,9,0)</f>
        <v>27.8</v>
      </c>
      <c r="AH43" s="12">
        <f t="array" ref="AH43">INDEX(AG:AG,MIN(IF(ISNUMBER(AG43:AG239),ROW(AG43:AG239),"")))</f>
        <v>27.8</v>
      </c>
      <c r="AI43" s="13">
        <f>IF('Données projet'!$A$62&gt;35,AI42+AH43-AQ42,IF(A43&lt;'Données projet'!$A$62,$AF$205^A43,IF(A43='Données projet'!$A$62,'Données projet'!$B$62,AI42+AH43-AQ42)))</f>
        <v>487.00000000000017</v>
      </c>
      <c r="AJ43" s="13">
        <f>AI43*VLOOKUP('Données projet'!$B$10,Paramètres!$A$1:$I$89,3,0)*VLOOKUP('Données projet'!$B$10,Paramètres!$A$1:$I$89,5,0)</f>
        <v>196.26100000000008</v>
      </c>
      <c r="AK43" s="13">
        <f t="shared" si="35"/>
        <v>48.921548340754839</v>
      </c>
      <c r="AL43" s="20">
        <f t="shared" si="4"/>
        <v>427.02627169348148</v>
      </c>
      <c r="AM43" s="59">
        <f t="shared" si="5"/>
        <v>720.35960502681473</v>
      </c>
      <c r="AN43" s="59">
        <f ca="1">AVERAGE(OFFSET($AM$3,0,0,'Données projet'!$E$10+1,1))-AVERAGE(OFFSET($H$3,0,0,'Données projet'!$E$10+1,1))</f>
        <v>314.16268026911069</v>
      </c>
      <c r="AO43" s="59">
        <f t="shared" si="36"/>
        <v>265.23571072429735</v>
      </c>
      <c r="AP43" s="15">
        <f>IF(ISNA(VLOOKUP(A43,'Données projet'!$A$61:$I$81,3,0)),0,VLOOKUP(A43,'Données projet'!$A$61:$I$81,3,0))</f>
        <v>5</v>
      </c>
      <c r="AQ43" s="15">
        <f>IF(ISNA(VLOOKUP(A43,'Données projet'!$A$61:$I$81,4,0)),0,VLOOKUP(A43,'Données projet'!$A$61:$I$81,4,0))</f>
        <v>70</v>
      </c>
      <c r="AR43" s="16">
        <f>IF(ISNA(VLOOKUP(A43,'Données projet'!$A$61:$I$81,5,0)),0%,VLOOKUP(A43,'Données projet'!$A$61:$I$81,5,0)*VLOOKUP('Données projet'!$B$10,Paramètres!$A$1:$I$89,7,0))</f>
        <v>0.13750000000000001</v>
      </c>
      <c r="AS43" s="16">
        <f>IF(ISNA(VLOOKUP(A43,'Données projet'!$A$61:$I$81,6,0)),0%,VLOOKUP(A43,'Données projet'!$A$61:$I$81,6,0)*VLOOKUP('Données projet'!$B$10,Paramètres!$A$1:$I$89,7,0))</f>
        <v>0.20350000000000001</v>
      </c>
      <c r="AT43" s="16">
        <f>IF(ISNA(VLOOKUP(A43,'Données projet'!$A$61:$I$81,7,0)),0%,VLOOKUP(A43,'Données projet'!$A$61:$I$81,7,0))</f>
        <v>0.38</v>
      </c>
      <c r="AU43" s="21">
        <f>EXP(-LN(2)/35)*AU42+(1-EXP(-LN(2)/35))/(LN(2)/35)*AQ43*AR43*VLOOKUP('Données projet'!$B$10,Paramètres!$A$1:$I$89,3,0)*0.475*44/12</f>
        <v>19.136450081478834</v>
      </c>
      <c r="AV43" s="21">
        <f>EXP(-LN(2)/25)*AV42+(1-EXP(-LN(2)/25))/(LN(2)/25)*Calculateur!AQ43*Calculateur!AS43*VLOOKUP('Données projet'!$B$10,Paramètres!$A$1:$I$89,3,0)*0.475*44/12</f>
        <v>26.560466465702294</v>
      </c>
      <c r="AW43" s="21">
        <f>EXP(-LN(2)/2)*AW42+(1-EXP(-LN(2)/2))/(LN(2)/2)*AQ43*AT43*VLOOKUP('Données projet'!$B$10,Paramètres!$A$1:$I$89,3,0)*0.475*44/12</f>
        <v>14.733639224801994</v>
      </c>
      <c r="AX43" s="21">
        <f t="shared" si="6"/>
        <v>60.430555771983123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344.83513625513632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31.8</v>
      </c>
      <c r="N44" s="13">
        <f>IF('Données projet'!$A$36&gt;35,N43+M44-V43,IF(A44&lt;'Données projet'!$A$36,$K$205^A44,IF(A44='Données projet'!$A$36,'Données projet'!$B$36,N43+M44-V43)))</f>
        <v>500.59999999999997</v>
      </c>
      <c r="O44" s="13">
        <f>N44*VLOOKUP('Données projet'!$B$9,Paramètres!$A$1:$I$89,3,0)*VLOOKUP('Données projet'!$B$9,Paramètres!$A$1:$I$89,5,0)</f>
        <v>234.28079999999997</v>
      </c>
      <c r="P44" s="13">
        <f t="shared" si="33"/>
        <v>57.207294807077886</v>
      </c>
      <c r="Q44" s="20">
        <f t="shared" si="53"/>
        <v>507.67509845566065</v>
      </c>
      <c r="R44" s="59">
        <f t="shared" si="0"/>
        <v>801.0084317889939</v>
      </c>
      <c r="S44" s="59">
        <f ca="1">AVERAGE(OFFSET($R$3,0,0,'Données projet'!$E$9+1,1))-AVERAGE(OFFSET($H$3,0,0,'Données projet'!$E$9+1,1))</f>
        <v>234.83702199169585</v>
      </c>
      <c r="T44" s="59">
        <f t="shared" si="34"/>
        <v>248.83008816685089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29.202862582054301</v>
      </c>
      <c r="AA44" s="21">
        <f>EXP(-LN(2)/25)*AA43+(1-EXP(-LN(2)/25))/(LN(2)/25)*Calculateur!V44*Calculateur!X44*VLOOKUP('Données projet'!$B$9,Paramètres!$A$1:$I$89,3,0)*0.475*44/12</f>
        <v>31.609721575563377</v>
      </c>
      <c r="AB44" s="21">
        <f>EXP(-LN(2)/2)*AB43+(1-EXP(-LN(2)/2))/(LN(2)/2)*V44*Y44*VLOOKUP('Données projet'!$B$9,Paramètres!$A$1:$I$89,3,0)*0.475*44/12</f>
        <v>1.956640708275889</v>
      </c>
      <c r="AC44" s="22">
        <f t="shared" si="3"/>
        <v>62.76922486589357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26.2</v>
      </c>
      <c r="AI44" s="13">
        <f>IF('Données projet'!$A$62&gt;35,AI43+AH44-AQ43,IF(A44&lt;'Données projet'!$A$62,$AF$205^A44,IF(A44='Données projet'!$A$62,'Données projet'!$B$62,AI43+AH44-AQ43)))</f>
        <v>443.20000000000016</v>
      </c>
      <c r="AJ44" s="13">
        <f>AI44*VLOOKUP('Données projet'!$B$10,Paramètres!$A$1:$I$89,3,0)*VLOOKUP('Données projet'!$B$10,Paramètres!$A$1:$I$89,5,0)</f>
        <v>178.60960000000009</v>
      </c>
      <c r="AK44" s="13">
        <f t="shared" si="35"/>
        <v>45.012708314782529</v>
      </c>
      <c r="AL44" s="20">
        <f t="shared" si="4"/>
        <v>389.47552031491313</v>
      </c>
      <c r="AM44" s="59">
        <f t="shared" si="5"/>
        <v>682.80885364824644</v>
      </c>
      <c r="AN44" s="59">
        <f ca="1">AVERAGE(OFFSET($AM$3,0,0,'Données projet'!$E$10+1,1))-AVERAGE(OFFSET($H$3,0,0,'Données projet'!$E$10+1,1))</f>
        <v>314.16268026911069</v>
      </c>
      <c r="AO44" s="59">
        <f t="shared" si="36"/>
        <v>265.23571072429735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18.761195967463063</v>
      </c>
      <c r="AV44" s="21">
        <f>EXP(-LN(2)/25)*AV43+(1-EXP(-LN(2)/25))/(LN(2)/25)*Calculateur!AQ44*Calculateur!AS44*VLOOKUP('Données projet'!$B$10,Paramètres!$A$1:$I$89,3,0)*0.475*44/12</f>
        <v>25.834169113443437</v>
      </c>
      <c r="AW44" s="21">
        <f>EXP(-LN(2)/2)*AW43+(1-EXP(-LN(2)/2))/(LN(2)/2)*AQ44*AT44*VLOOKUP('Données projet'!$B$10,Paramètres!$A$1:$I$89,3,0)*0.475*44/12</f>
        <v>10.418256207413599</v>
      </c>
      <c r="AX44" s="21">
        <f t="shared" si="6"/>
        <v>55.013621288320103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346.05537412949326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31.8</v>
      </c>
      <c r="N45" s="13">
        <f>IF('Données projet'!$A$36&gt;35,N44+M45-V44,IF(A45&lt;'Données projet'!$A$36,$K$205^A45,IF(A45='Données projet'!$A$36,'Données projet'!$B$36,N44+M45-V44)))</f>
        <v>532.4</v>
      </c>
      <c r="O45" s="13">
        <f>N45*VLOOKUP('Données projet'!$B$9,Paramètres!$A$1:$I$89,3,0)*VLOOKUP('Données projet'!$B$9,Paramètres!$A$1:$I$89,5,0)</f>
        <v>249.16319999999999</v>
      </c>
      <c r="P45" s="13">
        <f t="shared" si="33"/>
        <v>60.406717776063964</v>
      </c>
      <c r="Q45" s="20">
        <f t="shared" si="53"/>
        <v>539.16760679331139</v>
      </c>
      <c r="R45" s="59">
        <f t="shared" si="0"/>
        <v>832.50094012664476</v>
      </c>
      <c r="S45" s="59">
        <f ca="1">AVERAGE(OFFSET($R$3,0,0,'Données projet'!$E$9+1,1))-AVERAGE(OFFSET($H$3,0,0,'Données projet'!$E$9+1,1))</f>
        <v>234.83702199169585</v>
      </c>
      <c r="T45" s="59">
        <f t="shared" si="34"/>
        <v>248.83008816685089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28.630212258807603</v>
      </c>
      <c r="AA45" s="21">
        <f>EXP(-LN(2)/25)*AA44+(1-EXP(-LN(2)/25))/(LN(2)/25)*Calculateur!V45*Calculateur!X45*VLOOKUP('Données projet'!$B$9,Paramètres!$A$1:$I$89,3,0)*0.475*44/12</f>
        <v>30.745352076796582</v>
      </c>
      <c r="AB45" s="21">
        <f>EXP(-LN(2)/2)*AB44+(1-EXP(-LN(2)/2))/(LN(2)/2)*V45*Y45*VLOOKUP('Données projet'!$B$9,Paramètres!$A$1:$I$89,3,0)*0.475*44/12</f>
        <v>1.3835539131675305</v>
      </c>
      <c r="AC45" s="22">
        <f t="shared" si="3"/>
        <v>60.759118248771713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26.2</v>
      </c>
      <c r="AI45" s="13">
        <f>IF('Données projet'!$A$62&gt;35,AI44+AH45-AQ44,IF(A45&lt;'Données projet'!$A$62,$AF$205^A45,IF(A45='Données projet'!$A$62,'Données projet'!$B$62,AI44+AH45-AQ44)))</f>
        <v>469.40000000000015</v>
      </c>
      <c r="AJ45" s="13">
        <f>AI45*VLOOKUP('Données projet'!$B$10,Paramètres!$A$1:$I$89,3,0)*VLOOKUP('Données projet'!$B$10,Paramètres!$A$1:$I$89,5,0)</f>
        <v>189.16820000000007</v>
      </c>
      <c r="AK45" s="13">
        <f t="shared" si="35"/>
        <v>47.356006748480397</v>
      </c>
      <c r="AL45" s="20">
        <f t="shared" si="4"/>
        <v>411.94632675360344</v>
      </c>
      <c r="AM45" s="59">
        <f t="shared" si="5"/>
        <v>705.2796600869367</v>
      </c>
      <c r="AN45" s="59">
        <f ca="1">AVERAGE(OFFSET($AM$3,0,0,'Données projet'!$E$10+1,1))-AVERAGE(OFFSET($H$3,0,0,'Données projet'!$E$10+1,1))</f>
        <v>314.16268026911069</v>
      </c>
      <c r="AO45" s="59">
        <f t="shared" si="36"/>
        <v>265.23571072429735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18.393300357740731</v>
      </c>
      <c r="AV45" s="21">
        <f>EXP(-LN(2)/25)*AV44+(1-EXP(-LN(2)/25))/(LN(2)/25)*Calculateur!AQ45*Calculateur!AS45*VLOOKUP('Données projet'!$B$10,Paramètres!$A$1:$I$89,3,0)*0.475*44/12</f>
        <v>25.127732400476418</v>
      </c>
      <c r="AW45" s="21">
        <f>EXP(-LN(2)/2)*AW44+(1-EXP(-LN(2)/2))/(LN(2)/2)*AQ45*AT45*VLOOKUP('Données projet'!$B$10,Paramètres!$A$1:$I$89,3,0)*0.475*44/12</f>
        <v>7.3668196124009988</v>
      </c>
      <c r="AX45" s="21">
        <f t="shared" si="6"/>
        <v>50.887852370618148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347.27486665053362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31.8</v>
      </c>
      <c r="N46" s="13">
        <f>IF('Données projet'!$A$36&gt;35,N45+M46-V45,IF(A46&lt;'Données projet'!$A$36,$K$205^A46,IF(A46='Données projet'!$A$36,'Données projet'!$B$36,N45+M46-V45)))</f>
        <v>564.19999999999993</v>
      </c>
      <c r="O46" s="13">
        <f>N46*VLOOKUP('Données projet'!$B$9,Paramètres!$A$1:$I$89,3,0)*VLOOKUP('Données projet'!$B$9,Paramètres!$A$1:$I$89,5,0)</f>
        <v>264.04559999999998</v>
      </c>
      <c r="P46" s="13">
        <f t="shared" si="33"/>
        <v>63.583959929973737</v>
      </c>
      <c r="Q46" s="20">
        <f t="shared" si="53"/>
        <v>570.62148354470423</v>
      </c>
      <c r="R46" s="59">
        <f t="shared" si="0"/>
        <v>863.95481687803749</v>
      </c>
      <c r="S46" s="59">
        <f ca="1">AVERAGE(OFFSET($R$3,0,0,'Données projet'!$E$9+1,1))-AVERAGE(OFFSET($H$3,0,0,'Données projet'!$E$9+1,1))</f>
        <v>234.83702199169585</v>
      </c>
      <c r="T46" s="59">
        <f t="shared" si="34"/>
        <v>248.83008816685089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28.068791259117564</v>
      </c>
      <c r="AA46" s="21">
        <f>EXP(-LN(2)/25)*AA45+(1-EXP(-LN(2)/25))/(LN(2)/25)*Calculateur!V46*Calculateur!X46*VLOOKUP('Données projet'!$B$9,Paramètres!$A$1:$I$89,3,0)*0.475*44/12</f>
        <v>29.904618807428783</v>
      </c>
      <c r="AB46" s="21">
        <f>EXP(-LN(2)/2)*AB45+(1-EXP(-LN(2)/2))/(LN(2)/2)*V46*Y46*VLOOKUP('Données projet'!$B$9,Paramètres!$A$1:$I$89,3,0)*0.475*44/12</f>
        <v>0.9783203541379446</v>
      </c>
      <c r="AC46" s="22">
        <f t="shared" si="3"/>
        <v>58.951730420684292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26.2</v>
      </c>
      <c r="AI46" s="13">
        <f>IF('Données projet'!$A$62&gt;35,AI45+AH46-AQ45,IF(A46&lt;'Données projet'!$A$62,$AF$205^A46,IF(A46='Données projet'!$A$62,'Données projet'!$B$62,AI45+AH46-AQ45)))</f>
        <v>495.60000000000014</v>
      </c>
      <c r="AJ46" s="13">
        <f>AI46*VLOOKUP('Données projet'!$B$10,Paramètres!$A$1:$I$89,3,0)*VLOOKUP('Données projet'!$B$10,Paramètres!$A$1:$I$89,5,0)</f>
        <v>199.72680000000008</v>
      </c>
      <c r="AK46" s="13">
        <f t="shared" si="35"/>
        <v>49.684121858557667</v>
      </c>
      <c r="AL46" s="20">
        <f t="shared" si="4"/>
        <v>434.39068890365473</v>
      </c>
      <c r="AM46" s="59">
        <f t="shared" si="5"/>
        <v>727.72402223698805</v>
      </c>
      <c r="AN46" s="59">
        <f ca="1">AVERAGE(OFFSET($AM$3,0,0,'Données projet'!$E$10+1,1))-AVERAGE(OFFSET($H$3,0,0,'Données projet'!$E$10+1,1))</f>
        <v>314.16268026911069</v>
      </c>
      <c r="AO46" s="59">
        <f t="shared" si="36"/>
        <v>265.23571072429735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18.032618956530889</v>
      </c>
      <c r="AV46" s="21">
        <f>EXP(-LN(2)/25)*AV45+(1-EXP(-LN(2)/25))/(LN(2)/25)*Calculateur!AQ46*Calculateur!AS46*VLOOKUP('Données projet'!$B$10,Paramètres!$A$1:$I$89,3,0)*0.475*44/12</f>
        <v>24.440613236575373</v>
      </c>
      <c r="AW46" s="21">
        <f>EXP(-LN(2)/2)*AW45+(1-EXP(-LN(2)/2))/(LN(2)/2)*AQ46*AT46*VLOOKUP('Données projet'!$B$10,Paramètres!$A$1:$I$89,3,0)*0.475*44/12</f>
        <v>5.2091281037068002</v>
      </c>
      <c r="AX46" s="21">
        <f t="shared" si="6"/>
        <v>47.682360296813066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348.49363314706295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>
        <f>VLOOKUP(A47,'Données projet'!$A$35:$I$55,2,0)</f>
        <v>596</v>
      </c>
      <c r="L47" s="12">
        <f>VLOOKUP(A47,'Données projet'!$A$35:$I$55,9,0)</f>
        <v>31.8</v>
      </c>
      <c r="M47" s="12">
        <f t="array" ref="M47">INDEX(L:L,MIN(IF(ISNUMBER(L47:L243),ROW(L47:L243),"")))</f>
        <v>31.8</v>
      </c>
      <c r="N47" s="13">
        <f>IF('Données projet'!$A$36&gt;35,N46+M47-V46,IF(A47&lt;'Données projet'!$A$36,$K$205^A47,IF(A47='Données projet'!$A$36,'Données projet'!$B$36,N46+M47-V46)))</f>
        <v>595.99999999999989</v>
      </c>
      <c r="O47" s="13">
        <f>N47*VLOOKUP('Données projet'!$B$9,Paramètres!$A$1:$I$89,3,0)*VLOOKUP('Données projet'!$B$9,Paramètres!$A$1:$I$89,5,0)</f>
        <v>278.92799999999994</v>
      </c>
      <c r="P47" s="13">
        <f t="shared" si="33"/>
        <v>66.740413913415367</v>
      </c>
      <c r="Q47" s="20">
        <f t="shared" si="53"/>
        <v>602.03915423253159</v>
      </c>
      <c r="R47" s="59">
        <f t="shared" si="0"/>
        <v>895.37248756586496</v>
      </c>
      <c r="S47" s="59">
        <f ca="1">AVERAGE(OFFSET($R$3,0,0,'Données projet'!$E$9+1,1))-AVERAGE(OFFSET($H$3,0,0,'Données projet'!$E$9+1,1))</f>
        <v>234.83702199169585</v>
      </c>
      <c r="T47" s="59">
        <f t="shared" si="34"/>
        <v>248.83008816685089</v>
      </c>
      <c r="U47" s="15">
        <f>IF(ISNA(VLOOKUP(A47,'Données projet'!$A$35:$I$55,3,0)),0,VLOOKUP(A47,'Données projet'!$A$35:$I$55,3,0))</f>
        <v>6</v>
      </c>
      <c r="V47" s="15">
        <f>IF(ISNA(VLOOKUP(A47,'Données projet'!$A$35:$I$55,4,0)),0,VLOOKUP(A47,'Données projet'!$A$35:$I$55,4,0))</f>
        <v>57</v>
      </c>
      <c r="W47" s="16">
        <f>IF(ISNA(VLOOKUP(A47,'Données projet'!$A$35:$I$55,5,0)),0%,VLOOKUP(A47,'Données projet'!$A$35:$I$55,5,0)*VLOOKUP('Données projet'!$B$9,Paramètres!$A$1:$I$89,7,0))</f>
        <v>0.27500000000000002</v>
      </c>
      <c r="X47" s="16">
        <f>IF(ISNA(VLOOKUP(A47,'Données projet'!$A$35:$I$55,6,0)),0%,VLOOKUP(A47,'Données projet'!$A$35:$I$55,6,0)*VLOOKUP('Données projet'!$B$9,Paramètres!$A$1:$I$89,7,0))</f>
        <v>0.22000000000000003</v>
      </c>
      <c r="Y47" s="16">
        <f>IF(ISNA(VLOOKUP(A47,'Données projet'!$A$35:$I$55,7,0)),0%,VLOOKUP(A47,'Données projet'!$A$35:$I$55,7,0))</f>
        <v>0.1</v>
      </c>
      <c r="Z47" s="21">
        <f>EXP(-LN(2)/35)*Z46+(1-EXP(-LN(2)/35))/(LN(2)/35)*V47*W47*VLOOKUP('Données projet'!$B$9,Paramètres!$A$1:$I$89,3,0)*0.475*44/12</f>
        <v>37.249923571457373</v>
      </c>
      <c r="AA47" s="21">
        <f>EXP(-LN(2)/25)*AA46+(1-EXP(-LN(2)/25))/(LN(2)/25)*Calculateur!V47*Calculateur!X47*VLOOKUP('Données projet'!$B$9,Paramètres!$A$1:$I$89,3,0)*0.475*44/12</f>
        <v>36.841457346467394</v>
      </c>
      <c r="AB47" s="21">
        <f>EXP(-LN(2)/2)*AB46+(1-EXP(-LN(2)/2))/(LN(2)/2)*V47*Y47*VLOOKUP('Données projet'!$B$9,Paramètres!$A$1:$I$89,3,0)*0.475*44/12</f>
        <v>3.7121198334653664</v>
      </c>
      <c r="AC47" s="22">
        <f t="shared" si="3"/>
        <v>77.803500751390132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26.2</v>
      </c>
      <c r="AI47" s="13">
        <f>IF('Données projet'!$A$62&gt;35,AI46+AH47-AQ46,IF(A47&lt;'Données projet'!$A$62,$AF$205^A47,IF(A47='Données projet'!$A$62,'Données projet'!$B$62,AI46+AH47-AQ46)))</f>
        <v>521.80000000000018</v>
      </c>
      <c r="AJ47" s="13">
        <f>AI47*VLOOKUP('Données projet'!$B$10,Paramètres!$A$1:$I$89,3,0)*VLOOKUP('Données projet'!$B$10,Paramètres!$A$1:$I$89,5,0)</f>
        <v>210.2854000000001</v>
      </c>
      <c r="AK47" s="13">
        <f t="shared" si="35"/>
        <v>51.997947848331201</v>
      </c>
      <c r="AL47" s="20">
        <f t="shared" si="4"/>
        <v>456.81016416917691</v>
      </c>
      <c r="AM47" s="59">
        <f t="shared" si="5"/>
        <v>750.14349750251017</v>
      </c>
      <c r="AN47" s="59">
        <f ca="1">AVERAGE(OFFSET($AM$3,0,0,'Données projet'!$E$10+1,1))-AVERAGE(OFFSET($H$3,0,0,'Données projet'!$E$10+1,1))</f>
        <v>314.16268026911069</v>
      </c>
      <c r="AO47" s="59">
        <f t="shared" si="36"/>
        <v>265.23571072429735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17.67901029760484</v>
      </c>
      <c r="AV47" s="21">
        <f>EXP(-LN(2)/25)*AV46+(1-EXP(-LN(2)/25))/(LN(2)/25)*Calculateur!AQ47*Calculateur!AS47*VLOOKUP('Données projet'!$B$10,Paramètres!$A$1:$I$89,3,0)*0.475*44/12</f>
        <v>23.772283382345229</v>
      </c>
      <c r="AW47" s="21">
        <f>EXP(-LN(2)/2)*AW46+(1-EXP(-LN(2)/2))/(LN(2)/2)*AQ47*AT47*VLOOKUP('Données projet'!$B$10,Paramètres!$A$1:$I$89,3,0)*0.475*44/12</f>
        <v>3.6834098062004998</v>
      </c>
      <c r="AX47" s="21">
        <f t="shared" si="6"/>
        <v>45.13470348615057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349.7116920191595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26.333333333333332</v>
      </c>
      <c r="N48" s="13">
        <f>IF('Données projet'!$A$36&gt;35,N47+M48-V47,IF(A48&lt;'Données projet'!$A$36,$K$205^A48,IF(A48='Données projet'!$A$36,'Données projet'!$B$36,N47+M48-V47)))</f>
        <v>565.33333333333326</v>
      </c>
      <c r="O48" s="13">
        <f>N48*VLOOKUP('Données projet'!$B$9,Paramètres!$A$1:$I$89,3,0)*VLOOKUP('Données projet'!$B$9,Paramètres!$A$1:$I$89,5,0)</f>
        <v>264.57599999999996</v>
      </c>
      <c r="P48" s="13">
        <f t="shared" si="33"/>
        <v>63.696803579002321</v>
      </c>
      <c r="Q48" s="20">
        <f t="shared" si="53"/>
        <v>571.74179956676232</v>
      </c>
      <c r="R48" s="59">
        <f t="shared" si="0"/>
        <v>865.0751329000957</v>
      </c>
      <c r="S48" s="59">
        <f ca="1">AVERAGE(OFFSET($R$3,0,0,'Données projet'!$E$9+1,1))-AVERAGE(OFFSET($H$3,0,0,'Données projet'!$E$9+1,1))</f>
        <v>234.83702199169585</v>
      </c>
      <c r="T48" s="59">
        <f t="shared" si="34"/>
        <v>248.83008816685089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36.519475290431039</v>
      </c>
      <c r="AA48" s="21">
        <f>EXP(-LN(2)/25)*AA47+(1-EXP(-LN(2)/25))/(LN(2)/25)*Calculateur!V48*Calculateur!X48*VLOOKUP('Données projet'!$B$9,Paramètres!$A$1:$I$89,3,0)*0.475*44/12</f>
        <v>35.834025757920202</v>
      </c>
      <c r="AB48" s="21">
        <f>EXP(-LN(2)/2)*AB47+(1-EXP(-LN(2)/2))/(LN(2)/2)*V48*Y48*VLOOKUP('Données projet'!$B$9,Paramètres!$A$1:$I$89,3,0)*0.475*44/12</f>
        <v>2.6248651068204385</v>
      </c>
      <c r="AC48" s="22">
        <f t="shared" si="3"/>
        <v>74.97836615517167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>
        <f>VLOOKUP(A48,'Données projet'!$A$61:$I$81,2,0)</f>
        <v>548</v>
      </c>
      <c r="AG48" s="12">
        <f>VLOOKUP(A48,'Données projet'!$A$61:$I$81,9,0)</f>
        <v>26.2</v>
      </c>
      <c r="AH48" s="12">
        <f t="array" ref="AH48">INDEX(AG:AG,MIN(IF(ISNUMBER(AG48:AG244),ROW(AG48:AG244),"")))</f>
        <v>26.2</v>
      </c>
      <c r="AI48" s="13">
        <f>IF('Données projet'!$A$62&gt;35,AI47+AH48-AQ47,IF(A48&lt;'Données projet'!$A$62,$AF$205^A48,IF(A48='Données projet'!$A$62,'Données projet'!$B$62,AI47+AH48-AQ47)))</f>
        <v>548.00000000000023</v>
      </c>
      <c r="AJ48" s="13">
        <f>AI48*VLOOKUP('Données projet'!$B$10,Paramètres!$A$1:$I$89,3,0)*VLOOKUP('Données projet'!$B$10,Paramètres!$A$1:$I$89,5,0)</f>
        <v>220.84400000000011</v>
      </c>
      <c r="AK48" s="13">
        <f t="shared" si="35"/>
        <v>54.298284051266002</v>
      </c>
      <c r="AL48" s="20">
        <f t="shared" si="4"/>
        <v>479.20614472262179</v>
      </c>
      <c r="AM48" s="59">
        <f t="shared" si="5"/>
        <v>772.5394780559551</v>
      </c>
      <c r="AN48" s="59">
        <f ca="1">AVERAGE(OFFSET($AM$3,0,0,'Données projet'!$E$10+1,1))-AVERAGE(OFFSET($H$3,0,0,'Données projet'!$E$10+1,1))</f>
        <v>314.16268026911069</v>
      </c>
      <c r="AO48" s="59">
        <f t="shared" si="36"/>
        <v>265.23571072429735</v>
      </c>
      <c r="AP48" s="15">
        <f>IF(ISNA(VLOOKUP(A48,'Données projet'!$A$61:$I$81,3,0)),0,VLOOKUP(A48,'Données projet'!$A$61:$I$81,3,0))</f>
        <v>6</v>
      </c>
      <c r="AQ48" s="15">
        <f>IF(ISNA(VLOOKUP(A48,'Données projet'!$A$61:$I$81,4,0)),0,VLOOKUP(A48,'Données projet'!$A$61:$I$81,4,0))</f>
        <v>70</v>
      </c>
      <c r="AR48" s="16">
        <f>IF(ISNA(VLOOKUP(A48,'Données projet'!$A$61:$I$81,5,0)),0%,VLOOKUP(A48,'Données projet'!$A$61:$I$81,5,0)*VLOOKUP('Données projet'!$B$10,Paramètres!$A$1:$I$89,7,0))</f>
        <v>0.33</v>
      </c>
      <c r="AS48" s="16">
        <f>IF(ISNA(VLOOKUP(A48,'Données projet'!$A$61:$I$81,6,0)),0%,VLOOKUP(A48,'Données projet'!$A$61:$I$81,6,0)*VLOOKUP('Données projet'!$B$10,Paramètres!$A$1:$I$89,7,0))</f>
        <v>0.11000000000000001</v>
      </c>
      <c r="AT48" s="16">
        <f>IF(ISNA(VLOOKUP(A48,'Données projet'!$A$61:$I$81,7,0)),0%,VLOOKUP(A48,'Données projet'!$A$61:$I$81,7,0))</f>
        <v>0.2</v>
      </c>
      <c r="AU48" s="21">
        <f>EXP(-LN(2)/35)*AU47+(1-EXP(-LN(2)/35))/(LN(2)/35)*AQ48*AR48*VLOOKUP('Données projet'!$B$10,Paramètres!$A$1:$I$89,3,0)*0.475*44/12</f>
        <v>29.681722173823655</v>
      </c>
      <c r="AV48" s="21">
        <f>EXP(-LN(2)/25)*AV47+(1-EXP(-LN(2)/25))/(LN(2)/25)*Calculateur!AQ48*Calculateur!AS48*VLOOKUP('Données projet'!$B$10,Paramètres!$A$1:$I$89,3,0)*0.475*44/12</f>
        <v>27.222483124773824</v>
      </c>
      <c r="AW48" s="21">
        <f>EXP(-LN(2)/2)*AW47+(1-EXP(-LN(2)/2))/(LN(2)/2)*AQ48*AT48*VLOOKUP('Données projet'!$B$10,Paramètres!$A$1:$I$89,3,0)*0.475*44/12</f>
        <v>8.9926186744977219</v>
      </c>
      <c r="AX48" s="21">
        <f t="shared" si="6"/>
        <v>65.896823973095195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350.92906080242972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26.333333333333332</v>
      </c>
      <c r="N49" s="13">
        <f>IF('Données projet'!$A$36&gt;35,N48+M49-V48,IF(A49&lt;'Données projet'!$A$36,$K$205^A49,IF(A49='Données projet'!$A$36,'Données projet'!$B$36,N48+M49-V48)))</f>
        <v>591.66666666666663</v>
      </c>
      <c r="O49" s="13">
        <f>N49*VLOOKUP('Données projet'!$B$9,Paramètres!$A$1:$I$89,3,0)*VLOOKUP('Données projet'!$B$9,Paramètres!$A$1:$I$89,5,0)</f>
        <v>276.89999999999998</v>
      </c>
      <c r="P49" s="13">
        <f t="shared" si="33"/>
        <v>66.311465886517013</v>
      </c>
      <c r="Q49" s="20">
        <f t="shared" si="53"/>
        <v>597.75996975235046</v>
      </c>
      <c r="R49" s="59">
        <f t="shared" si="0"/>
        <v>891.09330308568383</v>
      </c>
      <c r="S49" s="59">
        <f ca="1">AVERAGE(OFFSET($R$3,0,0,'Données projet'!$E$9+1,1))-AVERAGE(OFFSET($H$3,0,0,'Données projet'!$E$9+1,1))</f>
        <v>234.83702199169585</v>
      </c>
      <c r="T49" s="59">
        <f t="shared" si="34"/>
        <v>248.83008816685089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35.803350654666168</v>
      </c>
      <c r="AA49" s="21">
        <f>EXP(-LN(2)/25)*AA48+(1-EXP(-LN(2)/25))/(LN(2)/25)*Calculateur!V49*Calculateur!X49*VLOOKUP('Données projet'!$B$9,Paramètres!$A$1:$I$89,3,0)*0.475*44/12</f>
        <v>34.854142439140361</v>
      </c>
      <c r="AB49" s="21">
        <f>EXP(-LN(2)/2)*AB48+(1-EXP(-LN(2)/2))/(LN(2)/2)*V49*Y49*VLOOKUP('Données projet'!$B$9,Paramètres!$A$1:$I$89,3,0)*0.475*44/12</f>
        <v>1.8560599167326837</v>
      </c>
      <c r="AC49" s="22">
        <f t="shared" si="3"/>
        <v>72.513553010539212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24.6</v>
      </c>
      <c r="AI49" s="13">
        <f>IF('Données projet'!$A$62&gt;35,AI48+AH49-AQ48,IF(A49&lt;'Données projet'!$A$62,$AF$205^A49,IF(A49='Données projet'!$A$62,'Données projet'!$B$62,AI48+AH49-AQ48)))</f>
        <v>502.60000000000025</v>
      </c>
      <c r="AJ49" s="13">
        <f>AI49*VLOOKUP('Données projet'!$B$10,Paramètres!$A$1:$I$89,3,0)*VLOOKUP('Données projet'!$B$10,Paramètres!$A$1:$I$89,5,0)</f>
        <v>202.54780000000011</v>
      </c>
      <c r="AK49" s="13">
        <f t="shared" si="35"/>
        <v>50.30368386889981</v>
      </c>
      <c r="AL49" s="20">
        <f t="shared" si="4"/>
        <v>440.38300107166737</v>
      </c>
      <c r="AM49" s="59">
        <f t="shared" si="5"/>
        <v>733.71633440500068</v>
      </c>
      <c r="AN49" s="59">
        <f ca="1">AVERAGE(OFFSET($AM$3,0,0,'Données projet'!$E$10+1,1))-AVERAGE(OFFSET($H$3,0,0,'Données projet'!$E$10+1,1))</f>
        <v>314.16268026911069</v>
      </c>
      <c r="AO49" s="59">
        <f t="shared" si="36"/>
        <v>265.23571072429735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29.099681706057872</v>
      </c>
      <c r="AV49" s="21">
        <f>EXP(-LN(2)/25)*AV48+(1-EXP(-LN(2)/25))/(LN(2)/25)*Calculateur!AQ49*Calculateur!AS49*VLOOKUP('Données projet'!$B$10,Paramètres!$A$1:$I$89,3,0)*0.475*44/12</f>
        <v>26.478082892158714</v>
      </c>
      <c r="AW49" s="21">
        <f>EXP(-LN(2)/2)*AW48+(1-EXP(-LN(2)/2))/(LN(2)/2)*AQ49*AT49*VLOOKUP('Données projet'!$B$10,Paramètres!$A$1:$I$89,3,0)*0.475*44/12</f>
        <v>6.3587416453621222</v>
      </c>
      <c r="AX49" s="21">
        <f t="shared" si="6"/>
        <v>61.936506243578712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352.14575622651876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26.333333333333332</v>
      </c>
      <c r="N50" s="13">
        <f>IF('Données projet'!$A$36&gt;35,N49+M50-V49,IF(A50&lt;'Données projet'!$A$36,$K$205^A50,IF(A50='Données projet'!$A$36,'Données projet'!$B$36,N49+M50-V49)))</f>
        <v>618</v>
      </c>
      <c r="O50" s="13">
        <f>N50*VLOOKUP('Données projet'!$B$9,Paramètres!$A$1:$I$89,3,0)*VLOOKUP('Données projet'!$B$9,Paramètres!$A$1:$I$89,5,0)</f>
        <v>289.22399999999999</v>
      </c>
      <c r="P50" s="13">
        <f t="shared" si="33"/>
        <v>68.912612937896569</v>
      </c>
      <c r="Q50" s="20">
        <f t="shared" si="53"/>
        <v>623.75460086683643</v>
      </c>
      <c r="R50" s="59">
        <f t="shared" si="0"/>
        <v>917.08793420016968</v>
      </c>
      <c r="S50" s="59">
        <f ca="1">AVERAGE(OFFSET($R$3,0,0,'Données projet'!$E$9+1,1))-AVERAGE(OFFSET($H$3,0,0,'Données projet'!$E$9+1,1))</f>
        <v>234.83702199169585</v>
      </c>
      <c r="T50" s="59">
        <f t="shared" si="34"/>
        <v>248.83008816685089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35.101268786215755</v>
      </c>
      <c r="AA50" s="21">
        <f>EXP(-LN(2)/25)*AA49+(1-EXP(-LN(2)/25))/(LN(2)/25)*Calculateur!V50*Calculateur!X50*VLOOKUP('Données projet'!$B$9,Paramètres!$A$1:$I$89,3,0)*0.475*44/12</f>
        <v>33.901054081242378</v>
      </c>
      <c r="AB50" s="21">
        <f>EXP(-LN(2)/2)*AB49+(1-EXP(-LN(2)/2))/(LN(2)/2)*V50*Y50*VLOOKUP('Données projet'!$B$9,Paramètres!$A$1:$I$89,3,0)*0.475*44/12</f>
        <v>1.3124325534102195</v>
      </c>
      <c r="AC50" s="22">
        <f t="shared" si="3"/>
        <v>70.314755420868352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24.6</v>
      </c>
      <c r="AI50" s="13">
        <f>IF('Données projet'!$A$62&gt;35,AI49+AH50-AQ49,IF(A50&lt;'Données projet'!$A$62,$AF$205^A50,IF(A50='Données projet'!$A$62,'Données projet'!$B$62,AI49+AH50-AQ49)))</f>
        <v>527.20000000000027</v>
      </c>
      <c r="AJ50" s="13">
        <f>AI50*VLOOKUP('Données projet'!$B$10,Paramètres!$A$1:$I$89,3,0)*VLOOKUP('Données projet'!$B$10,Paramètres!$A$1:$I$89,5,0)</f>
        <v>212.46160000000009</v>
      </c>
      <c r="AK50" s="13">
        <f t="shared" si="35"/>
        <v>52.473141844135753</v>
      </c>
      <c r="AL50" s="20">
        <f t="shared" si="4"/>
        <v>461.42800871186984</v>
      </c>
      <c r="AM50" s="59">
        <f t="shared" si="5"/>
        <v>754.76134204520315</v>
      </c>
      <c r="AN50" s="59">
        <f ca="1">AVERAGE(OFFSET($AM$3,0,0,'Données projet'!$E$10+1,1))-AVERAGE(OFFSET($H$3,0,0,'Données projet'!$E$10+1,1))</f>
        <v>314.16268026911069</v>
      </c>
      <c r="AO50" s="59">
        <f t="shared" si="36"/>
        <v>265.23571072429735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28.529054696855344</v>
      </c>
      <c r="AV50" s="21">
        <f>EXP(-LN(2)/25)*AV49+(1-EXP(-LN(2)/25))/(LN(2)/25)*Calculateur!AQ50*Calculateur!AS50*VLOOKUP('Données projet'!$B$10,Paramètres!$A$1:$I$89,3,0)*0.475*44/12</f>
        <v>25.754038323050771</v>
      </c>
      <c r="AW50" s="21">
        <f>EXP(-LN(2)/2)*AW49+(1-EXP(-LN(2)/2))/(LN(2)/2)*AQ50*AT50*VLOOKUP('Données projet'!$B$10,Paramètres!$A$1:$I$89,3,0)*0.475*44/12</f>
        <v>4.4963093372488618</v>
      </c>
      <c r="AX50" s="21">
        <f t="shared" si="6"/>
        <v>58.779402357154979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353.361794268501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26.333333333333332</v>
      </c>
      <c r="N51" s="13">
        <f>IF('Données projet'!$A$36&gt;35,N50+M51-V50,IF(A51&lt;'Données projet'!$A$36,$K$205^A51,IF(A51='Données projet'!$A$36,'Données projet'!$B$36,N50+M51-V50)))</f>
        <v>644.33333333333337</v>
      </c>
      <c r="O51" s="13">
        <f>N51*VLOOKUP('Données projet'!$B$9,Paramètres!$A$1:$I$89,3,0)*VLOOKUP('Données projet'!$B$9,Paramètres!$A$1:$I$89,5,0)</f>
        <v>301.548</v>
      </c>
      <c r="P51" s="13">
        <f t="shared" si="33"/>
        <v>71.500886464325177</v>
      </c>
      <c r="Q51" s="20">
        <f t="shared" si="53"/>
        <v>649.72681059203296</v>
      </c>
      <c r="R51" s="59">
        <f t="shared" si="0"/>
        <v>943.06014392536622</v>
      </c>
      <c r="S51" s="59">
        <f ca="1">AVERAGE(OFFSET($R$3,0,0,'Données projet'!$E$9+1,1))-AVERAGE(OFFSET($H$3,0,0,'Données projet'!$E$9+1,1))</f>
        <v>234.83702199169585</v>
      </c>
      <c r="T51" s="59">
        <f t="shared" si="34"/>
        <v>248.83008816685089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34.412954314977995</v>
      </c>
      <c r="AA51" s="21">
        <f>EXP(-LN(2)/25)*AA50+(1-EXP(-LN(2)/25))/(LN(2)/25)*Calculateur!V51*Calculateur!X51*VLOOKUP('Données projet'!$B$9,Paramètres!$A$1:$I$89,3,0)*0.475*44/12</f>
        <v>32.97402797461185</v>
      </c>
      <c r="AB51" s="21">
        <f>EXP(-LN(2)/2)*AB50+(1-EXP(-LN(2)/2))/(LN(2)/2)*V51*Y51*VLOOKUP('Données projet'!$B$9,Paramètres!$A$1:$I$89,3,0)*0.475*44/12</f>
        <v>0.92802995836634194</v>
      </c>
      <c r="AC51" s="22">
        <f t="shared" si="3"/>
        <v>68.315012247956176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24.6</v>
      </c>
      <c r="AI51" s="13">
        <f>IF('Données projet'!$A$62&gt;35,AI50+AH51-AQ50,IF(A51&lt;'Données projet'!$A$62,$AF$205^A51,IF(A51='Données projet'!$A$62,'Données projet'!$B$62,AI50+AH51-AQ50)))</f>
        <v>551.8000000000003</v>
      </c>
      <c r="AJ51" s="13">
        <f>AI51*VLOOKUP('Données projet'!$B$10,Paramètres!$A$1:$I$89,3,0)*VLOOKUP('Données projet'!$B$10,Paramètres!$A$1:$I$89,5,0)</f>
        <v>222.3754000000001</v>
      </c>
      <c r="AK51" s="13">
        <f t="shared" si="35"/>
        <v>54.630844038461554</v>
      </c>
      <c r="AL51" s="20">
        <f t="shared" si="4"/>
        <v>482.45254170032075</v>
      </c>
      <c r="AM51" s="59">
        <f t="shared" si="5"/>
        <v>775.78587503365407</v>
      </c>
      <c r="AN51" s="59">
        <f ca="1">AVERAGE(OFFSET($AM$3,0,0,'Données projet'!$E$10+1,1))-AVERAGE(OFFSET($H$3,0,0,'Données projet'!$E$10+1,1))</f>
        <v>314.16268026911069</v>
      </c>
      <c r="AO51" s="59">
        <f t="shared" si="36"/>
        <v>265.23571072429735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27.969617335255169</v>
      </c>
      <c r="AV51" s="21">
        <f>EXP(-LN(2)/25)*AV50+(1-EXP(-LN(2)/25))/(LN(2)/25)*Calculateur!AQ51*Calculateur!AS51*VLOOKUP('Données projet'!$B$10,Paramètres!$A$1:$I$89,3,0)*0.475*44/12</f>
        <v>25.049792790760936</v>
      </c>
      <c r="AW51" s="21">
        <f>EXP(-LN(2)/2)*AW50+(1-EXP(-LN(2)/2))/(LN(2)/2)*AQ51*AT51*VLOOKUP('Données projet'!$B$10,Paramètres!$A$1:$I$89,3,0)*0.475*44/12</f>
        <v>3.1793708226810615</v>
      </c>
      <c r="AX51" s="21">
        <f t="shared" si="6"/>
        <v>56.198780948697163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354.57719020169571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26.333333333333332</v>
      </c>
      <c r="N52" s="13">
        <f>IF('Données projet'!$A$36&gt;35,N51+M52-V51,IF(A52&lt;'Données projet'!$A$36,$K$205^A52,IF(A52='Données projet'!$A$36,'Données projet'!$B$36,N51+M52-V51)))</f>
        <v>670.66666666666674</v>
      </c>
      <c r="O52" s="13">
        <f>N52*VLOOKUP('Données projet'!$B$9,Paramètres!$A$1:$I$89,3,0)*VLOOKUP('Données projet'!$B$9,Paramètres!$A$1:$I$89,5,0)</f>
        <v>313.87200000000007</v>
      </c>
      <c r="P52" s="13">
        <f t="shared" si="33"/>
        <v>74.076872774720428</v>
      </c>
      <c r="Q52" s="20">
        <f t="shared" si="53"/>
        <v>675.6776200826381</v>
      </c>
      <c r="R52" s="59">
        <f t="shared" si="0"/>
        <v>969.01095341597147</v>
      </c>
      <c r="S52" s="59">
        <f ca="1">AVERAGE(OFFSET($R$3,0,0,'Données projet'!$E$9+1,1))-AVERAGE(OFFSET($H$3,0,0,'Données projet'!$E$9+1,1))</f>
        <v>234.83702199169585</v>
      </c>
      <c r="T52" s="59">
        <f t="shared" si="34"/>
        <v>248.83008816685089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33.738137270690835</v>
      </c>
      <c r="AA52" s="21">
        <f>EXP(-LN(2)/25)*AA51+(1-EXP(-LN(2)/25))/(LN(2)/25)*Calculateur!V52*Calculateur!X52*VLOOKUP('Données projet'!$B$9,Paramètres!$A$1:$I$89,3,0)*0.475*44/12</f>
        <v>32.072351445617322</v>
      </c>
      <c r="AB52" s="21">
        <f>EXP(-LN(2)/2)*AB51+(1-EXP(-LN(2)/2))/(LN(2)/2)*V52*Y52*VLOOKUP('Données projet'!$B$9,Paramètres!$A$1:$I$89,3,0)*0.475*44/12</f>
        <v>0.65621627670510985</v>
      </c>
      <c r="AC52" s="22">
        <f t="shared" si="3"/>
        <v>66.466704993013266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24.6</v>
      </c>
      <c r="AI52" s="13">
        <f>IF('Données projet'!$A$62&gt;35,AI51+AH52-AQ51,IF(A52&lt;'Données projet'!$A$62,$AF$205^A52,IF(A52='Données projet'!$A$62,'Données projet'!$B$62,AI51+AH52-AQ51)))</f>
        <v>576.40000000000032</v>
      </c>
      <c r="AJ52" s="13">
        <f>AI52*VLOOKUP('Données projet'!$B$10,Paramètres!$A$1:$I$89,3,0)*VLOOKUP('Données projet'!$B$10,Paramètres!$A$1:$I$89,5,0)</f>
        <v>232.28920000000016</v>
      </c>
      <c r="AK52" s="13">
        <f t="shared" si="35"/>
        <v>56.777374424265382</v>
      </c>
      <c r="AL52" s="20">
        <f t="shared" si="4"/>
        <v>503.45761712226249</v>
      </c>
      <c r="AM52" s="59">
        <f t="shared" si="5"/>
        <v>796.79095045559575</v>
      </c>
      <c r="AN52" s="59">
        <f ca="1">AVERAGE(OFFSET($AM$3,0,0,'Données projet'!$E$10+1,1))-AVERAGE(OFFSET($H$3,0,0,'Données projet'!$E$10+1,1))</f>
        <v>314.16268026911069</v>
      </c>
      <c r="AO52" s="59">
        <f t="shared" si="36"/>
        <v>265.23571072429735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27.421150199092875</v>
      </c>
      <c r="AV52" s="21">
        <f>EXP(-LN(2)/25)*AV51+(1-EXP(-LN(2)/25))/(LN(2)/25)*Calculateur!AQ52*Calculateur!AS52*VLOOKUP('Données projet'!$B$10,Paramètres!$A$1:$I$89,3,0)*0.475*44/12</f>
        <v>24.364804889586228</v>
      </c>
      <c r="AW52" s="21">
        <f>EXP(-LN(2)/2)*AW51+(1-EXP(-LN(2)/2))/(LN(2)/2)*AQ52*AT52*VLOOKUP('Données projet'!$B$10,Paramètres!$A$1:$I$89,3,0)*0.475*44/12</f>
        <v>2.2481546686244309</v>
      </c>
      <c r="AX52" s="21">
        <f t="shared" si="6"/>
        <v>54.034109757303533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355.79195864038502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697</v>
      </c>
      <c r="L53" s="12">
        <f>VLOOKUP(A53,'Données projet'!$A$35:$I$55,9,0)</f>
        <v>26.333333333333332</v>
      </c>
      <c r="M53" s="12">
        <f t="array" ref="M53">INDEX(L:L,MIN(IF(ISNUMBER(L53:L249),ROW(L53:L249),"")))</f>
        <v>26.333333333333332</v>
      </c>
      <c r="N53" s="13">
        <f>IF('Données projet'!$A$36&gt;35,N52+M53-V52,IF(A53&lt;'Données projet'!$A$36,$K$205^A53,IF(A53='Données projet'!$A$36,'Données projet'!$B$36,N52+M53-V52)))</f>
        <v>697.00000000000011</v>
      </c>
      <c r="O53" s="13">
        <f>N53*VLOOKUP('Données projet'!$B$9,Paramètres!$A$1:$I$89,3,0)*VLOOKUP('Données projet'!$B$9,Paramètres!$A$1:$I$89,5,0)</f>
        <v>326.19600000000008</v>
      </c>
      <c r="P53" s="13">
        <f t="shared" si="33"/>
        <v>76.641109529113464</v>
      </c>
      <c r="Q53" s="20">
        <f t="shared" si="53"/>
        <v>701.60796576320615</v>
      </c>
      <c r="R53" s="59">
        <f t="shared" si="0"/>
        <v>994.94129909653952</v>
      </c>
      <c r="S53" s="59">
        <f ca="1">AVERAGE(OFFSET($R$3,0,0,'Données projet'!$E$9+1,1))-AVERAGE(OFFSET($H$3,0,0,'Données projet'!$E$9+1,1))</f>
        <v>234.83702199169585</v>
      </c>
      <c r="T53" s="59">
        <f t="shared" si="34"/>
        <v>248.83008816685089</v>
      </c>
      <c r="U53" s="15">
        <f>IF(ISNA(VLOOKUP(A53,'Données projet'!$A$35:$I$55,3,0)),0,VLOOKUP(A53,'Données projet'!$A$35:$I$55,3,0))</f>
        <v>7</v>
      </c>
      <c r="V53" s="15">
        <f>IF(ISNA(VLOOKUP(A53,'Données projet'!$A$35:$I$55,4,0)),0,VLOOKUP(A53,'Données projet'!$A$35:$I$55,4,0))</f>
        <v>67</v>
      </c>
      <c r="W53" s="16">
        <f>IF(ISNA(VLOOKUP(A53,'Données projet'!$A$35:$I$55,5,0)),0%,VLOOKUP(A53,'Données projet'!$A$35:$I$55,5,0)*VLOOKUP('Données projet'!$B$9,Paramètres!$A$1:$I$89,7,0))</f>
        <v>0.27500000000000002</v>
      </c>
      <c r="X53" s="16">
        <f>IF(ISNA(VLOOKUP(A53,'Données projet'!$A$35:$I$55,6,0)),0%,VLOOKUP(A53,'Données projet'!$A$35:$I$55,6,0)*VLOOKUP('Données projet'!$B$9,Paramètres!$A$1:$I$89,7,0))</f>
        <v>0.22000000000000003</v>
      </c>
      <c r="Y53" s="16">
        <f>IF(ISNA(VLOOKUP(A53,'Données projet'!$A$35:$I$55,7,0)),0%,VLOOKUP(A53,'Données projet'!$A$35:$I$55,7,0))</f>
        <v>0.1</v>
      </c>
      <c r="Z53" s="21">
        <f>EXP(-LN(2)/35)*Z52+(1-EXP(-LN(2)/35))/(LN(2)/35)*V53*W53*VLOOKUP('Données projet'!$B$9,Paramètres!$A$1:$I$89,3,0)*0.475*44/12</f>
        <v>44.515385619854008</v>
      </c>
      <c r="AA53" s="21">
        <f>EXP(-LN(2)/25)*AA52+(1-EXP(-LN(2)/25))/(LN(2)/25)*Calculateur!V53*Calculateur!X53*VLOOKUP('Données projet'!$B$9,Paramètres!$A$1:$I$89,3,0)*0.475*44/12</f>
        <v>40.310366188851603</v>
      </c>
      <c r="AB53" s="21">
        <f>EXP(-LN(2)/2)*AB52+(1-EXP(-LN(2)/2))/(LN(2)/2)*V53*Y53*VLOOKUP('Données projet'!$B$9,Paramètres!$A$1:$I$89,3,0)*0.475*44/12</f>
        <v>4.0142425713071574</v>
      </c>
      <c r="AC53" s="22">
        <f t="shared" si="3"/>
        <v>88.839994380012769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601</v>
      </c>
      <c r="AG53" s="12">
        <f>VLOOKUP(A53,'Données projet'!$A$61:$I$81,9,0)</f>
        <v>24.6</v>
      </c>
      <c r="AH53" s="12">
        <f t="array" ref="AH53">INDEX(AG:AG,MIN(IF(ISNUMBER(AG53:AG249),ROW(AG53:AG249),"")))</f>
        <v>24.6</v>
      </c>
      <c r="AI53" s="13">
        <f>IF('Données projet'!$A$62&gt;35,AI52+AH53-AQ52,IF(A53&lt;'Données projet'!$A$62,$AF$205^A53,IF(A53='Données projet'!$A$62,'Données projet'!$B$62,AI52+AH53-AQ52)))</f>
        <v>601.00000000000034</v>
      </c>
      <c r="AJ53" s="13">
        <f>AI53*VLOOKUP('Données projet'!$B$10,Paramètres!$A$1:$I$89,3,0)*VLOOKUP('Données projet'!$B$10,Paramètres!$A$1:$I$89,5,0)</f>
        <v>242.20300000000015</v>
      </c>
      <c r="AK53" s="13">
        <f t="shared" si="35"/>
        <v>58.91326430821686</v>
      </c>
      <c r="AL53" s="20">
        <f t="shared" si="4"/>
        <v>524.44416033681125</v>
      </c>
      <c r="AM53" s="59">
        <f t="shared" si="5"/>
        <v>817.77749367014462</v>
      </c>
      <c r="AN53" s="59">
        <f ca="1">AVERAGE(OFFSET($AM$3,0,0,'Données projet'!$E$10+1,1))-AVERAGE(OFFSET($H$3,0,0,'Données projet'!$E$10+1,1))</f>
        <v>314.16268026911069</v>
      </c>
      <c r="AO53" s="59">
        <f t="shared" si="36"/>
        <v>265.23571072429735</v>
      </c>
      <c r="AP53" s="15">
        <f>IF(ISNA(VLOOKUP(A53,'Données projet'!$A$61:$I$81,3,0)),0,VLOOKUP(A53,'Données projet'!$A$61:$I$81,3,0))</f>
        <v>7</v>
      </c>
      <c r="AQ53" s="15">
        <f>IF(ISNA(VLOOKUP(A53,'Données projet'!$A$61:$I$81,4,0)),0,VLOOKUP(A53,'Données projet'!$A$61:$I$81,4,0))</f>
        <v>70</v>
      </c>
      <c r="AR53" s="16">
        <f>IF(ISNA(VLOOKUP(A53,'Données projet'!$A$61:$I$81,5,0)),0%,VLOOKUP(A53,'Données projet'!$A$61:$I$81,5,0)*VLOOKUP('Données projet'!$B$10,Paramètres!$A$1:$I$89,7,0))</f>
        <v>0.33</v>
      </c>
      <c r="AS53" s="16">
        <f>IF(ISNA(VLOOKUP(A53,'Données projet'!$A$61:$I$81,6,0)),0%,VLOOKUP(A53,'Données projet'!$A$61:$I$81,6,0)*VLOOKUP('Données projet'!$B$10,Paramètres!$A$1:$I$89,7,0))</f>
        <v>0.11000000000000001</v>
      </c>
      <c r="AT53" s="16">
        <f>IF(ISNA(VLOOKUP(A53,'Données projet'!$A$61:$I$81,7,0)),0%,VLOOKUP(A53,'Données projet'!$A$61:$I$81,7,0))</f>
        <v>0.2</v>
      </c>
      <c r="AU53" s="21">
        <f>EXP(-LN(2)/35)*AU52+(1-EXP(-LN(2)/35))/(LN(2)/35)*AQ53*AR53*VLOOKUP('Données projet'!$B$10,Paramètres!$A$1:$I$89,3,0)*0.475*44/12</f>
        <v>39.232824653962112</v>
      </c>
      <c r="AV53" s="21">
        <f>EXP(-LN(2)/25)*AV52+(1-EXP(-LN(2)/25))/(LN(2)/25)*Calculateur!AQ53*Calculateur!AS53*VLOOKUP('Données projet'!$B$10,Paramètres!$A$1:$I$89,3,0)*0.475*44/12</f>
        <v>27.798802100239964</v>
      </c>
      <c r="AW53" s="21">
        <f>EXP(-LN(2)/2)*AW52+(1-EXP(-LN(2)/2))/(LN(2)/2)*AQ53*AT53*VLOOKUP('Données projet'!$B$10,Paramètres!$A$1:$I$89,3,0)*0.475*44/12</f>
        <v>7.9777400339848521</v>
      </c>
      <c r="AX53" s="21">
        <f t="shared" si="6"/>
        <v>75.009366788186938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357.00611358085365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22.333333333333332</v>
      </c>
      <c r="N54" s="13">
        <f>IF('Données projet'!$A$36&gt;35,N53+M54-V53,IF(A54&lt;'Données projet'!$A$36,$K$205^A54,IF(A54='Données projet'!$A$36,'Données projet'!$B$36,N53+M54-V53)))</f>
        <v>652.33333333333348</v>
      </c>
      <c r="O54" s="13">
        <f>N54*VLOOKUP('Données projet'!$B$9,Paramètres!$A$1:$I$89,3,0)*VLOOKUP('Données projet'!$B$9,Paramètres!$A$1:$I$89,5,0)</f>
        <v>305.29200000000003</v>
      </c>
      <c r="P54" s="13">
        <f t="shared" si="33"/>
        <v>72.284738381385523</v>
      </c>
      <c r="Q54" s="20">
        <f t="shared" si="53"/>
        <v>657.61281934757983</v>
      </c>
      <c r="R54" s="59">
        <f t="shared" si="0"/>
        <v>950.9461526809132</v>
      </c>
      <c r="S54" s="59">
        <f ca="1">AVERAGE(OFFSET($R$3,0,0,'Données projet'!$E$9+1,1))-AVERAGE(OFFSET($H$3,0,0,'Données projet'!$E$9+1,1))</f>
        <v>234.83702199169585</v>
      </c>
      <c r="T54" s="59">
        <f t="shared" si="34"/>
        <v>248.83008816685089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43.642466059552888</v>
      </c>
      <c r="AA54" s="21">
        <f>EXP(-LN(2)/25)*AA53+(1-EXP(-LN(2)/25))/(LN(2)/25)*Calculateur!V54*Calculateur!X54*VLOOKUP('Données projet'!$B$9,Paramètres!$A$1:$I$89,3,0)*0.475*44/12</f>
        <v>39.208077105587428</v>
      </c>
      <c r="AB54" s="21">
        <f>EXP(-LN(2)/2)*AB53+(1-EXP(-LN(2)/2))/(LN(2)/2)*V54*Y54*VLOOKUP('Données projet'!$B$9,Paramètres!$A$1:$I$89,3,0)*0.475*44/12</f>
        <v>2.8384981434990144</v>
      </c>
      <c r="AC54" s="22">
        <f t="shared" si="3"/>
        <v>85.689041308639332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23</v>
      </c>
      <c r="AI54" s="13">
        <f>IF('Données projet'!$A$62&gt;35,AI53+AH54-AQ53,IF(A54&lt;'Données projet'!$A$62,$AF$205^A54,IF(A54='Données projet'!$A$62,'Données projet'!$B$62,AI53+AH54-AQ53)))</f>
        <v>554.00000000000034</v>
      </c>
      <c r="AJ54" s="13">
        <f>AI54*VLOOKUP('Données projet'!$B$10,Paramètres!$A$1:$I$89,3,0)*VLOOKUP('Données projet'!$B$10,Paramètres!$A$1:$I$89,5,0)</f>
        <v>223.26200000000014</v>
      </c>
      <c r="AK54" s="13">
        <f t="shared" si="35"/>
        <v>54.823256841257262</v>
      </c>
      <c r="AL54" s="20">
        <f t="shared" si="4"/>
        <v>484.33182233185659</v>
      </c>
      <c r="AM54" s="59">
        <f t="shared" si="5"/>
        <v>777.6651556651899</v>
      </c>
      <c r="AN54" s="59">
        <f ca="1">AVERAGE(OFFSET($AM$3,0,0,'Données projet'!$E$10+1,1))-AVERAGE(OFFSET($H$3,0,0,'Données projet'!$E$10+1,1))</f>
        <v>314.16268026911069</v>
      </c>
      <c r="AO54" s="59">
        <f t="shared" si="36"/>
        <v>265.23571072429735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38.463492892158094</v>
      </c>
      <c r="AV54" s="21">
        <f>EXP(-LN(2)/25)*AV53+(1-EXP(-LN(2)/25))/(LN(2)/25)*Calculateur!AQ54*Calculateur!AS54*VLOOKUP('Données projet'!$B$10,Paramètres!$A$1:$I$89,3,0)*0.475*44/12</f>
        <v>27.038642394933436</v>
      </c>
      <c r="AW54" s="21">
        <f>EXP(-LN(2)/2)*AW53+(1-EXP(-LN(2)/2))/(LN(2)/2)*AQ54*AT54*VLOOKUP('Données projet'!$B$10,Paramètres!$A$1:$I$89,3,0)*0.475*44/12</f>
        <v>5.6411140765740875</v>
      </c>
      <c r="AX54" s="21">
        <f t="shared" si="6"/>
        <v>71.143249363665618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358.21966843911872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22.333333333333332</v>
      </c>
      <c r="N55" s="13">
        <f>IF('Données projet'!$A$36&gt;35,N54+M55-V54,IF(A55&lt;'Données projet'!$A$36,$K$205^A55,IF(A55='Données projet'!$A$36,'Données projet'!$B$36,N54+M55-V54)))</f>
        <v>674.66666666666686</v>
      </c>
      <c r="O55" s="13">
        <f>N55*VLOOKUP('Données projet'!$B$9,Paramètres!$A$1:$I$89,3,0)*VLOOKUP('Données projet'!$B$9,Paramètres!$A$1:$I$89,5,0)</f>
        <v>315.74400000000009</v>
      </c>
      <c r="P55" s="13">
        <f t="shared" si="33"/>
        <v>74.467121212440205</v>
      </c>
      <c r="Q55" s="20">
        <f t="shared" si="53"/>
        <v>679.61770277833341</v>
      </c>
      <c r="R55" s="59">
        <f t="shared" si="0"/>
        <v>972.95103611166678</v>
      </c>
      <c r="S55" s="59">
        <f ca="1">AVERAGE(OFFSET($R$3,0,0,'Données projet'!$E$9+1,1))-AVERAGE(OFFSET($H$3,0,0,'Données projet'!$E$9+1,1))</f>
        <v>234.83702199169585</v>
      </c>
      <c r="T55" s="59">
        <f t="shared" si="34"/>
        <v>248.83008816685089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42.786663919400915</v>
      </c>
      <c r="AA55" s="21">
        <f>EXP(-LN(2)/25)*AA54+(1-EXP(-LN(2)/25))/(LN(2)/25)*Calculateur!V55*Calculateur!X55*VLOOKUP('Données projet'!$B$9,Paramètres!$A$1:$I$89,3,0)*0.475*44/12</f>
        <v>38.135930175271973</v>
      </c>
      <c r="AB55" s="21">
        <f>EXP(-LN(2)/2)*AB54+(1-EXP(-LN(2)/2))/(LN(2)/2)*V55*Y55*VLOOKUP('Données projet'!$B$9,Paramètres!$A$1:$I$89,3,0)*0.475*44/12</f>
        <v>2.0071212856535792</v>
      </c>
      <c r="AC55" s="22">
        <f t="shared" si="3"/>
        <v>82.929715380326471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23</v>
      </c>
      <c r="AI55" s="13">
        <f>IF('Données projet'!$A$62&gt;35,AI54+AH55-AQ54,IF(A55&lt;'Données projet'!$A$62,$AF$205^A55,IF(A55='Données projet'!$A$62,'Données projet'!$B$62,AI54+AH55-AQ54)))</f>
        <v>577.00000000000034</v>
      </c>
      <c r="AJ55" s="13">
        <f>AI55*VLOOKUP('Données projet'!$B$10,Paramètres!$A$1:$I$89,3,0)*VLOOKUP('Données projet'!$B$10,Paramètres!$A$1:$I$89,5,0)</f>
        <v>232.53100000000015</v>
      </c>
      <c r="AK55" s="13">
        <f t="shared" si="35"/>
        <v>56.829593837725618</v>
      </c>
      <c r="AL55" s="20">
        <f t="shared" si="4"/>
        <v>503.96970093403905</v>
      </c>
      <c r="AM55" s="59">
        <f t="shared" si="5"/>
        <v>797.30303426737237</v>
      </c>
      <c r="AN55" s="59">
        <f ca="1">AVERAGE(OFFSET($AM$3,0,0,'Données projet'!$E$10+1,1))-AVERAGE(OFFSET($H$3,0,0,'Données projet'!$E$10+1,1))</f>
        <v>314.16268026911069</v>
      </c>
      <c r="AO55" s="59">
        <f t="shared" si="36"/>
        <v>265.23571072429735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37.709247256957013</v>
      </c>
      <c r="AV55" s="21">
        <f>EXP(-LN(2)/25)*AV54+(1-EXP(-LN(2)/25))/(LN(2)/25)*Calculateur!AQ55*Calculateur!AS55*VLOOKUP('Données projet'!$B$10,Paramètres!$A$1:$I$89,3,0)*0.475*44/12</f>
        <v>26.299269296743574</v>
      </c>
      <c r="AW55" s="21">
        <f>EXP(-LN(2)/2)*AW54+(1-EXP(-LN(2)/2))/(LN(2)/2)*AQ55*AT55*VLOOKUP('Données projet'!$B$10,Paramètres!$A$1:$I$89,3,0)*0.475*44/12</f>
        <v>3.9888700169924265</v>
      </c>
      <c r="AX55" s="21">
        <f t="shared" si="6"/>
        <v>67.99738657069301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359.43263608567548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>
        <f>VLOOKUP(A56,'Données projet'!$A$35:$I$55,2,0)</f>
        <v>697</v>
      </c>
      <c r="L56" s="12">
        <f>VLOOKUP(A56,'Données projet'!$A$35:$I$55,9,0)</f>
        <v>22.333333333333332</v>
      </c>
      <c r="M56" s="12">
        <f t="array" ref="M56">INDEX(L:L,MIN(IF(ISNUMBER(L56:L252),ROW(L56:L252),"")))</f>
        <v>22.333333333333332</v>
      </c>
      <c r="N56" s="13">
        <f>IF('Données projet'!$A$36&gt;35,N55+M56-V55,IF(A56&lt;'Données projet'!$A$36,$K$205^A56,IF(A56='Données projet'!$A$36,'Données projet'!$B$36,N55+M56-V55)))</f>
        <v>697.00000000000023</v>
      </c>
      <c r="O56" s="13">
        <f>N56*VLOOKUP('Données projet'!$B$9,Paramètres!$A$1:$I$89,3,0)*VLOOKUP('Données projet'!$B$9,Paramètres!$A$1:$I$89,5,0)</f>
        <v>326.19600000000008</v>
      </c>
      <c r="P56" s="13">
        <f t="shared" si="33"/>
        <v>76.641109529113464</v>
      </c>
      <c r="Q56" s="20">
        <f t="shared" si="53"/>
        <v>701.60796576320615</v>
      </c>
      <c r="R56" s="59">
        <f t="shared" si="0"/>
        <v>994.94129909653952</v>
      </c>
      <c r="S56" s="59">
        <f ca="1">AVERAGE(OFFSET($R$3,0,0,'Données projet'!$E$9+1,1))-AVERAGE(OFFSET($H$3,0,0,'Données projet'!$E$9+1,1))</f>
        <v>234.83702199169585</v>
      </c>
      <c r="T56" s="59">
        <f t="shared" si="34"/>
        <v>248.83008816685089</v>
      </c>
      <c r="U56" s="15" t="str">
        <f>IF(ISNA(VLOOKUP(A56,'Données projet'!$A$35:$I$55,3,0)),0,VLOOKUP(A56,'Données projet'!$A$35:$I$55,3,0))</f>
        <v>CR</v>
      </c>
      <c r="V56" s="15">
        <f>IF(ISNA(VLOOKUP(A56,'Données projet'!$A$35:$I$55,4,0)),0,VLOOKUP(A56,'Données projet'!$A$35:$I$55,4,0))</f>
        <v>697</v>
      </c>
      <c r="W56" s="16">
        <f>IF(ISNA(VLOOKUP(A56,'Données projet'!$A$35:$I$55,5,0)),0%,VLOOKUP(A56,'Données projet'!$A$35:$I$55,5,0)*VLOOKUP('Données projet'!$B$9,Paramètres!$A$1:$I$89,7,0))</f>
        <v>0.44000000000000006</v>
      </c>
      <c r="X56" s="16">
        <f>IF(ISNA(VLOOKUP(A56,'Données projet'!$A$35:$I$55,6,0)),0%,VLOOKUP(A56,'Données projet'!$A$35:$I$55,6,0)*VLOOKUP('Données projet'!$B$9,Paramètres!$A$1:$I$89,7,0))</f>
        <v>5.5000000000000007E-2</v>
      </c>
      <c r="Y56" s="16">
        <f>IF(ISNA(VLOOKUP(A56,'Données projet'!$A$35:$I$55,7,0)),0%,VLOOKUP(A56,'Données projet'!$A$35:$I$55,7,0))</f>
        <v>0.1</v>
      </c>
      <c r="Z56" s="21">
        <f>EXP(-LN(2)/35)*Z55+(1-EXP(-LN(2)/35))/(LN(2)/35)*V56*W56*VLOOKUP('Données projet'!$B$9,Paramètres!$A$1:$I$89,3,0)*0.475*44/12</f>
        <v>232.34445194411435</v>
      </c>
      <c r="AA56" s="21">
        <f>EXP(-LN(2)/25)*AA55+(1-EXP(-LN(2)/25))/(LN(2)/25)*Calculateur!V56*Calculateur!X56*VLOOKUP('Données projet'!$B$9,Paramètres!$A$1:$I$89,3,0)*0.475*44/12</f>
        <v>60.798994112312158</v>
      </c>
      <c r="AB56" s="21">
        <f>EXP(-LN(2)/2)*AB55+(1-EXP(-LN(2)/2))/(LN(2)/2)*V56*Y56*VLOOKUP('Données projet'!$B$9,Paramètres!$A$1:$I$89,3,0)*0.475*44/12</f>
        <v>38.352213724143816</v>
      </c>
      <c r="AC56" s="22">
        <f t="shared" si="3"/>
        <v>331.49565978057035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23</v>
      </c>
      <c r="AI56" s="13">
        <f>IF('Données projet'!$A$62&gt;35,AI55+AH56-AQ55,IF(A56&lt;'Données projet'!$A$62,$AF$205^A56,IF(A56='Données projet'!$A$62,'Données projet'!$B$62,AI55+AH56-AQ55)))</f>
        <v>600.00000000000034</v>
      </c>
      <c r="AJ56" s="13">
        <f>AI56*VLOOKUP('Données projet'!$B$10,Paramètres!$A$1:$I$89,3,0)*VLOOKUP('Données projet'!$B$10,Paramètres!$A$1:$I$89,5,0)</f>
        <v>241.80000000000015</v>
      </c>
      <c r="AK56" s="13">
        <f t="shared" si="35"/>
        <v>58.826640673484889</v>
      </c>
      <c r="AL56" s="20">
        <f t="shared" si="4"/>
        <v>523.59139917298637</v>
      </c>
      <c r="AM56" s="59">
        <f t="shared" si="5"/>
        <v>816.92473250631974</v>
      </c>
      <c r="AN56" s="59">
        <f ca="1">AVERAGE(OFFSET($AM$3,0,0,'Données projet'!$E$10+1,1))-AVERAGE(OFFSET($H$3,0,0,'Données projet'!$E$10+1,1))</f>
        <v>314.16268026911069</v>
      </c>
      <c r="AO56" s="59">
        <f t="shared" si="36"/>
        <v>265.23571072429735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36.969791918617815</v>
      </c>
      <c r="AV56" s="21">
        <f>EXP(-LN(2)/25)*AV55+(1-EXP(-LN(2)/25))/(LN(2)/25)*Calculateur!AQ56*Calculateur!AS56*VLOOKUP('Données projet'!$B$10,Paramètres!$A$1:$I$89,3,0)*0.475*44/12</f>
        <v>25.580114394805658</v>
      </c>
      <c r="AW56" s="21">
        <f>EXP(-LN(2)/2)*AW55+(1-EXP(-LN(2)/2))/(LN(2)/2)*AQ56*AT56*VLOOKUP('Données projet'!$B$10,Paramètres!$A$1:$I$89,3,0)*0.475*44/12</f>
        <v>2.8205570382870442</v>
      </c>
      <c r="AX56" s="21">
        <f t="shared" si="6"/>
        <v>65.370463351710526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360.64502887754611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2.2737367544323206E-13</v>
      </c>
      <c r="O57" s="13">
        <f>N57*VLOOKUP('Données projet'!$B$9,Paramètres!$A$1:$I$89,3,0)*VLOOKUP('Données projet'!$B$9,Paramètres!$A$1:$I$89,5,0)</f>
        <v>1.064108801074326E-13</v>
      </c>
      <c r="P57" s="13">
        <f t="shared" si="33"/>
        <v>1.5870730813698654E-12</v>
      </c>
      <c r="Q57" s="20">
        <f t="shared" si="53"/>
        <v>2.9494845662396269E-12</v>
      </c>
      <c r="R57" s="59">
        <f t="shared" si="0"/>
        <v>293.33333333333627</v>
      </c>
      <c r="S57" s="59">
        <f ca="1">AVERAGE(OFFSET($R$3,0,0,'Données projet'!$E$9+1,1))-AVERAGE(OFFSET($H$3,0,0,'Données projet'!$E$9+1,1))</f>
        <v>234.83702199169585</v>
      </c>
      <c r="T57" s="59">
        <f t="shared" si="34"/>
        <v>248.83008816685089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227.78831895761266</v>
      </c>
      <c r="AA57" s="21">
        <f>EXP(-LN(2)/25)*AA56+(1-EXP(-LN(2)/25))/(LN(2)/25)*Calculateur!V57*Calculateur!X57*VLOOKUP('Données projet'!$B$9,Paramètres!$A$1:$I$89,3,0)*0.475*44/12</f>
        <v>59.136442421030843</v>
      </c>
      <c r="AB57" s="21">
        <f>EXP(-LN(2)/2)*AB56+(1-EXP(-LN(2)/2))/(LN(2)/2)*V57*Y57*VLOOKUP('Données projet'!$B$9,Paramètres!$A$1:$I$89,3,0)*0.475*44/12</f>
        <v>27.119110397857867</v>
      </c>
      <c r="AC57" s="22">
        <f t="shared" si="3"/>
        <v>314.04387177650136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23</v>
      </c>
      <c r="AI57" s="13">
        <f>IF('Données projet'!$A$62&gt;35,AI56+AH57-AQ56,IF(A57&lt;'Données projet'!$A$62,$AF$205^A57,IF(A57='Données projet'!$A$62,'Données projet'!$B$62,AI56+AH57-AQ56)))</f>
        <v>623.00000000000034</v>
      </c>
      <c r="AJ57" s="13">
        <f>AI57*VLOOKUP('Données projet'!$B$10,Paramètres!$A$1:$I$89,3,0)*VLOOKUP('Données projet'!$B$10,Paramètres!$A$1:$I$89,5,0)</f>
        <v>251.06900000000016</v>
      </c>
      <c r="AK57" s="13">
        <f t="shared" si="35"/>
        <v>60.81479423630261</v>
      </c>
      <c r="AL57" s="20">
        <f t="shared" si="4"/>
        <v>543.19760829489394</v>
      </c>
      <c r="AM57" s="59">
        <f t="shared" si="5"/>
        <v>836.53094162822731</v>
      </c>
      <c r="AN57" s="59">
        <f ca="1">AVERAGE(OFFSET($AM$3,0,0,'Données projet'!$E$10+1,1))-AVERAGE(OFFSET($H$3,0,0,'Données projet'!$E$10+1,1))</f>
        <v>314.16268026911069</v>
      </c>
      <c r="AO57" s="59">
        <f t="shared" si="36"/>
        <v>265.23571072429735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36.244836848440229</v>
      </c>
      <c r="AV57" s="21">
        <f>EXP(-LN(2)/25)*AV56+(1-EXP(-LN(2)/25))/(LN(2)/25)*Calculateur!AQ57*Calculateur!AS57*VLOOKUP('Données projet'!$B$10,Paramètres!$A$1:$I$89,3,0)*0.475*44/12</f>
        <v>24.880624821479945</v>
      </c>
      <c r="AW57" s="21">
        <f>EXP(-LN(2)/2)*AW56+(1-EXP(-LN(2)/2))/(LN(2)/2)*AQ57*AT57*VLOOKUP('Données projet'!$B$10,Paramètres!$A$1:$I$89,3,0)*0.475*44/12</f>
        <v>1.9944350084962137</v>
      </c>
      <c r="AX57" s="21">
        <f t="shared" si="6"/>
        <v>63.119896678416382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361.85685868788795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2.2737367544323206E-13</v>
      </c>
      <c r="O58" s="13">
        <f>N58*VLOOKUP('Données projet'!$B$9,Paramètres!$A$1:$I$89,3,0)*VLOOKUP('Données projet'!$B$9,Paramètres!$A$1:$I$89,5,0)</f>
        <v>1.064108801074326E-13</v>
      </c>
      <c r="P58" s="13">
        <f t="shared" si="33"/>
        <v>1.5870730813698654E-12</v>
      </c>
      <c r="Q58" s="20">
        <f t="shared" si="53"/>
        <v>2.9494845662396269E-12</v>
      </c>
      <c r="R58" s="59">
        <f t="shared" si="0"/>
        <v>293.33333333333627</v>
      </c>
      <c r="S58" s="59">
        <f ca="1">AVERAGE(OFFSET($R$3,0,0,'Données projet'!$E$9+1,1))-AVERAGE(OFFSET($H$3,0,0,'Données projet'!$E$9+1,1))</f>
        <v>234.83702199169585</v>
      </c>
      <c r="T58" s="59">
        <f t="shared" si="34"/>
        <v>248.83008816685089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223.32152896000954</v>
      </c>
      <c r="AA58" s="21">
        <f>EXP(-LN(2)/25)*AA57+(1-EXP(-LN(2)/25))/(LN(2)/25)*Calculateur!V58*Calculateur!X58*VLOOKUP('Données projet'!$B$9,Paramètres!$A$1:$I$89,3,0)*0.475*44/12</f>
        <v>57.519353293177403</v>
      </c>
      <c r="AB58" s="21">
        <f>EXP(-LN(2)/2)*AB57+(1-EXP(-LN(2)/2))/(LN(2)/2)*V58*Y58*VLOOKUP('Données projet'!$B$9,Paramètres!$A$1:$I$89,3,0)*0.475*44/12</f>
        <v>19.176106862071908</v>
      </c>
      <c r="AC58" s="22">
        <f t="shared" si="3"/>
        <v>300.01698911525881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>
        <f>VLOOKUP(A58,'Données projet'!$A$61:$I$81,2,0)</f>
        <v>646</v>
      </c>
      <c r="AG58" s="12">
        <f>VLOOKUP(A58,'Données projet'!$A$61:$I$81,9,0)</f>
        <v>23</v>
      </c>
      <c r="AH58" s="12">
        <f t="array" ref="AH58">INDEX(AG:AG,MIN(IF(ISNUMBER(AG58:AG254),ROW(AG58:AG254),"")))</f>
        <v>23</v>
      </c>
      <c r="AI58" s="13">
        <f>IF('Données projet'!$A$62&gt;35,AI57+AH58-AQ57,IF(A58&lt;'Données projet'!$A$62,$AF$205^A58,IF(A58='Données projet'!$A$62,'Données projet'!$B$62,AI57+AH58-AQ57)))</f>
        <v>646.00000000000034</v>
      </c>
      <c r="AJ58" s="13">
        <f>AI58*VLOOKUP('Données projet'!$B$10,Paramètres!$A$1:$I$89,3,0)*VLOOKUP('Données projet'!$B$10,Paramètres!$A$1:$I$89,5,0)</f>
        <v>260.33800000000014</v>
      </c>
      <c r="AK58" s="13">
        <f t="shared" si="35"/>
        <v>62.794420448761521</v>
      </c>
      <c r="AL58" s="20">
        <f t="shared" si="4"/>
        <v>562.7889656149265</v>
      </c>
      <c r="AM58" s="59">
        <f t="shared" si="5"/>
        <v>856.12229894825987</v>
      </c>
      <c r="AN58" s="59">
        <f ca="1">AVERAGE(OFFSET($AM$3,0,0,'Données projet'!$E$10+1,1))-AVERAGE(OFFSET($H$3,0,0,'Données projet'!$E$10+1,1))</f>
        <v>314.16268026911069</v>
      </c>
      <c r="AO58" s="59">
        <f t="shared" si="36"/>
        <v>265.23571072429735</v>
      </c>
      <c r="AP58" s="15">
        <f>IF(ISNA(VLOOKUP(A58,'Données projet'!$A$61:$I$81,3,0)),0,VLOOKUP(A58,'Données projet'!$A$61:$I$81,3,0))</f>
        <v>8</v>
      </c>
      <c r="AQ58" s="15">
        <f>IF(ISNA(VLOOKUP(A58,'Données projet'!$A$61:$I$81,4,0)),0,VLOOKUP(A58,'Données projet'!$A$61:$I$81,4,0))</f>
        <v>63</v>
      </c>
      <c r="AR58" s="16">
        <f>IF(ISNA(VLOOKUP(A58,'Données projet'!$A$61:$I$81,5,0)),0%,VLOOKUP(A58,'Données projet'!$A$61:$I$81,5,0)*VLOOKUP('Données projet'!$B$10,Paramètres!$A$1:$I$89,7,0))</f>
        <v>0.33</v>
      </c>
      <c r="AS58" s="16">
        <f>IF(ISNA(VLOOKUP(A58,'Données projet'!$A$61:$I$81,6,0)),0%,VLOOKUP(A58,'Données projet'!$A$61:$I$81,6,0)*VLOOKUP('Données projet'!$B$10,Paramètres!$A$1:$I$89,7,0))</f>
        <v>0.11000000000000001</v>
      </c>
      <c r="AT58" s="16">
        <f>IF(ISNA(VLOOKUP(A58,'Données projet'!$A$61:$I$81,7,0)),0%,VLOOKUP(A58,'Données projet'!$A$61:$I$81,7,0))</f>
        <v>0.2</v>
      </c>
      <c r="AU58" s="21">
        <f>EXP(-LN(2)/35)*AU57+(1-EXP(-LN(2)/35))/(LN(2)/35)*AQ58*AR58*VLOOKUP('Données projet'!$B$10,Paramètres!$A$1:$I$89,3,0)*0.475*44/12</f>
        <v>46.648545541530872</v>
      </c>
      <c r="AV58" s="21">
        <f>EXP(-LN(2)/25)*AV57+(1-EXP(-LN(2)/25))/(LN(2)/25)*Calculateur!AQ58*Calculateur!AS58*VLOOKUP('Données projet'!$B$10,Paramètres!$A$1:$I$89,3,0)*0.475*44/12</f>
        <v>27.890491500805368</v>
      </c>
      <c r="AW58" s="21">
        <f>EXP(-LN(2)/2)*AW57+(1-EXP(-LN(2)/2))/(LN(2)/2)*AQ58*AT58*VLOOKUP('Données projet'!$B$10,Paramètres!$A$1:$I$89,3,0)*0.475*44/12</f>
        <v>7.1595276795234124</v>
      </c>
      <c r="AX58" s="21">
        <f t="shared" si="6"/>
        <v>81.698564721859654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363.068136933387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2.2737367544323206E-13</v>
      </c>
      <c r="O59" s="13">
        <f>N59*VLOOKUP('Données projet'!$B$9,Paramètres!$A$1:$I$89,3,0)*VLOOKUP('Données projet'!$B$9,Paramètres!$A$1:$I$89,5,0)</f>
        <v>1.064108801074326E-13</v>
      </c>
      <c r="P59" s="13">
        <f t="shared" si="33"/>
        <v>1.5870730813698654E-12</v>
      </c>
      <c r="Q59" s="20">
        <f t="shared" si="53"/>
        <v>2.9494845662396269E-12</v>
      </c>
      <c r="R59" s="59">
        <f t="shared" si="0"/>
        <v>293.33333333333627</v>
      </c>
      <c r="S59" s="59">
        <f ca="1">AVERAGE(OFFSET($R$3,0,0,'Données projet'!$E$9+1,1))-AVERAGE(OFFSET($H$3,0,0,'Données projet'!$E$9+1,1))</f>
        <v>234.83702199169585</v>
      </c>
      <c r="T59" s="59">
        <f t="shared" si="34"/>
        <v>248.83008816685089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218.94232998978654</v>
      </c>
      <c r="AA59" s="21">
        <f>EXP(-LN(2)/25)*AA58+(1-EXP(-LN(2)/25))/(LN(2)/25)*Calculateur!V59*Calculateur!X59*VLOOKUP('Données projet'!$B$9,Paramètres!$A$1:$I$89,3,0)*0.475*44/12</f>
        <v>55.946483552564139</v>
      </c>
      <c r="AB59" s="21">
        <f>EXP(-LN(2)/2)*AB58+(1-EXP(-LN(2)/2))/(LN(2)/2)*V59*Y59*VLOOKUP('Données projet'!$B$9,Paramètres!$A$1:$I$89,3,0)*0.475*44/12</f>
        <v>13.559555198928933</v>
      </c>
      <c r="AC59" s="22">
        <f t="shared" si="3"/>
        <v>288.44836874127964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21.4</v>
      </c>
      <c r="AI59" s="13">
        <f>IF('Données projet'!$A$62&gt;35,AI58+AH59-AQ58,IF(A59&lt;'Données projet'!$A$62,$AF$205^A59,IF(A59='Données projet'!$A$62,'Données projet'!$B$62,AI58+AH59-AQ58)))</f>
        <v>604.40000000000032</v>
      </c>
      <c r="AJ59" s="13">
        <f>AI59*VLOOKUP('Données projet'!$B$10,Paramètres!$A$1:$I$89,3,0)*VLOOKUP('Données projet'!$B$10,Paramètres!$A$1:$I$89,5,0)</f>
        <v>243.57320000000013</v>
      </c>
      <c r="AK59" s="13">
        <f t="shared" si="35"/>
        <v>59.207659372174987</v>
      </c>
      <c r="AL59" s="20">
        <f t="shared" si="4"/>
        <v>527.34333007320492</v>
      </c>
      <c r="AM59" s="59">
        <f t="shared" si="5"/>
        <v>820.67666340653818</v>
      </c>
      <c r="AN59" s="59">
        <f ca="1">AVERAGE(OFFSET($AM$3,0,0,'Données projet'!$E$10+1,1))-AVERAGE(OFFSET($H$3,0,0,'Données projet'!$E$10+1,1))</f>
        <v>314.16268026911069</v>
      </c>
      <c r="AO59" s="59">
        <f t="shared" si="36"/>
        <v>265.23571072429735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45.733796016264748</v>
      </c>
      <c r="AV59" s="21">
        <f>EXP(-LN(2)/25)*AV58+(1-EXP(-LN(2)/25))/(LN(2)/25)*Calculateur!AQ59*Calculateur!AS59*VLOOKUP('Données projet'!$B$10,Paramètres!$A$1:$I$89,3,0)*0.475*44/12</f>
        <v>27.12782454401864</v>
      </c>
      <c r="AW59" s="21">
        <f>EXP(-LN(2)/2)*AW58+(1-EXP(-LN(2)/2))/(LN(2)/2)*AQ59*AT59*VLOOKUP('Données projet'!$B$10,Paramètres!$A$1:$I$89,3,0)*0.475*44/12</f>
        <v>5.0625505722837927</v>
      </c>
      <c r="AX59" s="21">
        <f t="shared" si="6"/>
        <v>77.924171132567182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364.27887459963966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2.2737367544323206E-13</v>
      </c>
      <c r="O60" s="13">
        <f>N60*VLOOKUP('Données projet'!$B$9,Paramètres!$A$1:$I$89,3,0)*VLOOKUP('Données projet'!$B$9,Paramètres!$A$1:$I$89,5,0)</f>
        <v>1.064108801074326E-13</v>
      </c>
      <c r="P60" s="13">
        <f t="shared" si="33"/>
        <v>1.5870730813698654E-12</v>
      </c>
      <c r="Q60" s="20">
        <f t="shared" si="53"/>
        <v>2.9494845662396269E-12</v>
      </c>
      <c r="R60" s="59">
        <f t="shared" si="0"/>
        <v>293.33333333333627</v>
      </c>
      <c r="S60" s="59">
        <f ca="1">AVERAGE(OFFSET($R$3,0,0,'Données projet'!$E$9+1,1))-AVERAGE(OFFSET($H$3,0,0,'Données projet'!$E$9+1,1))</f>
        <v>234.83702199169585</v>
      </c>
      <c r="T60" s="59">
        <f t="shared" si="34"/>
        <v>248.83008816685089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214.64900444032199</v>
      </c>
      <c r="AA60" s="21">
        <f>EXP(-LN(2)/25)*AA59+(1-EXP(-LN(2)/25))/(LN(2)/25)*Calculateur!V60*Calculateur!X60*VLOOKUP('Données projet'!$B$9,Paramètres!$A$1:$I$89,3,0)*0.475*44/12</f>
        <v>54.416624017721567</v>
      </c>
      <c r="AB60" s="21">
        <f>EXP(-LN(2)/2)*AB59+(1-EXP(-LN(2)/2))/(LN(2)/2)*V60*Y60*VLOOKUP('Données projet'!$B$9,Paramètres!$A$1:$I$89,3,0)*0.475*44/12</f>
        <v>9.588053431035954</v>
      </c>
      <c r="AC60" s="22">
        <f t="shared" si="3"/>
        <v>278.65368188907951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21.4</v>
      </c>
      <c r="AI60" s="13">
        <f>IF('Données projet'!$A$62&gt;35,AI59+AH60-AQ59,IF(A60&lt;'Données projet'!$A$62,$AF$205^A60,IF(A60='Données projet'!$A$62,'Données projet'!$B$62,AI59+AH60-AQ59)))</f>
        <v>625.8000000000003</v>
      </c>
      <c r="AJ60" s="13">
        <f>AI60*VLOOKUP('Données projet'!$B$10,Paramètres!$A$1:$I$89,3,0)*VLOOKUP('Données projet'!$B$10,Paramètres!$A$1:$I$89,5,0)</f>
        <v>252.19740000000016</v>
      </c>
      <c r="AK60" s="13">
        <f t="shared" si="35"/>
        <v>61.05624106670264</v>
      </c>
      <c r="AL60" s="20">
        <f t="shared" si="4"/>
        <v>545.58342485784067</v>
      </c>
      <c r="AM60" s="59">
        <f t="shared" si="5"/>
        <v>838.91675819117404</v>
      </c>
      <c r="AN60" s="59">
        <f ca="1">AVERAGE(OFFSET($AM$3,0,0,'Données projet'!$E$10+1,1))-AVERAGE(OFFSET($H$3,0,0,'Données projet'!$E$10+1,1))</f>
        <v>314.16268026911069</v>
      </c>
      <c r="AO60" s="59">
        <f t="shared" si="36"/>
        <v>265.23571072429735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44.836984171246975</v>
      </c>
      <c r="AV60" s="21">
        <f>EXP(-LN(2)/25)*AV59+(1-EXP(-LN(2)/25))/(LN(2)/25)*Calculateur!AQ60*Calculateur!AS60*VLOOKUP('Données projet'!$B$10,Paramètres!$A$1:$I$89,3,0)*0.475*44/12</f>
        <v>26.386012755272159</v>
      </c>
      <c r="AW60" s="21">
        <f>EXP(-LN(2)/2)*AW59+(1-EXP(-LN(2)/2))/(LN(2)/2)*AQ60*AT60*VLOOKUP('Données projet'!$B$10,Paramètres!$A$1:$I$89,3,0)*0.475*44/12</f>
        <v>3.5797638397617071</v>
      </c>
      <c r="AX60" s="21">
        <f t="shared" si="6"/>
        <v>74.802760766280841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365.48908226470269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2.2737367544323206E-13</v>
      </c>
      <c r="O61" s="13">
        <f>N61*VLOOKUP('Données projet'!$B$9,Paramètres!$A$1:$I$89,3,0)*VLOOKUP('Données projet'!$B$9,Paramètres!$A$1:$I$89,5,0)</f>
        <v>1.064108801074326E-13</v>
      </c>
      <c r="P61" s="13">
        <f t="shared" si="33"/>
        <v>1.5870730813698654E-12</v>
      </c>
      <c r="Q61" s="20">
        <f t="shared" si="53"/>
        <v>2.9494845662396269E-12</v>
      </c>
      <c r="R61" s="59">
        <f t="shared" si="0"/>
        <v>293.33333333333627</v>
      </c>
      <c r="S61" s="59">
        <f ca="1">AVERAGE(OFFSET($R$3,0,0,'Données projet'!$E$9+1,1))-AVERAGE(OFFSET($H$3,0,0,'Données projet'!$E$9+1,1))</f>
        <v>234.83702199169585</v>
      </c>
      <c r="T61" s="59">
        <f t="shared" si="34"/>
        <v>248.83008816685089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210.43986838621242</v>
      </c>
      <c r="AA61" s="21">
        <f>EXP(-LN(2)/25)*AA60+(1-EXP(-LN(2)/25))/(LN(2)/25)*Calculateur!V61*Calculateur!X61*VLOOKUP('Données projet'!$B$9,Paramètres!$A$1:$I$89,3,0)*0.475*44/12</f>
        <v>52.928598572311081</v>
      </c>
      <c r="AB61" s="21">
        <f>EXP(-LN(2)/2)*AB60+(1-EXP(-LN(2)/2))/(LN(2)/2)*V61*Y61*VLOOKUP('Données projet'!$B$9,Paramètres!$A$1:$I$89,3,0)*0.475*44/12</f>
        <v>6.7797775994644667</v>
      </c>
      <c r="AC61" s="22">
        <f t="shared" si="3"/>
        <v>270.14824455798799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21.4</v>
      </c>
      <c r="AI61" s="13">
        <f>IF('Données projet'!$A$62&gt;35,AI60+AH61-AQ60,IF(A61&lt;'Données projet'!$A$62,$AF$205^A61,IF(A61='Données projet'!$A$62,'Données projet'!$B$62,AI60+AH61-AQ60)))</f>
        <v>647.20000000000027</v>
      </c>
      <c r="AJ61" s="13">
        <f>AI61*VLOOKUP('Données projet'!$B$10,Paramètres!$A$1:$I$89,3,0)*VLOOKUP('Données projet'!$B$10,Paramètres!$A$1:$I$89,5,0)</f>
        <v>260.8216000000001</v>
      </c>
      <c r="AK61" s="13">
        <f t="shared" si="35"/>
        <v>62.897477703506013</v>
      </c>
      <c r="AL61" s="20">
        <f t="shared" si="4"/>
        <v>563.81072700027312</v>
      </c>
      <c r="AM61" s="59">
        <f t="shared" si="5"/>
        <v>857.14406033360638</v>
      </c>
      <c r="AN61" s="59">
        <f ca="1">AVERAGE(OFFSET($AM$3,0,0,'Données projet'!$E$10+1,1))-AVERAGE(OFFSET($H$3,0,0,'Données projet'!$E$10+1,1))</f>
        <v>314.16268026911069</v>
      </c>
      <c r="AO61" s="59">
        <f t="shared" si="36"/>
        <v>265.23571072429735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43.957758259508786</v>
      </c>
      <c r="AV61" s="21">
        <f>EXP(-LN(2)/25)*AV60+(1-EXP(-LN(2)/25))/(LN(2)/25)*Calculateur!AQ61*Calculateur!AS61*VLOOKUP('Données projet'!$B$10,Paramètres!$A$1:$I$89,3,0)*0.475*44/12</f>
        <v>25.664485848899137</v>
      </c>
      <c r="AW61" s="21">
        <f>EXP(-LN(2)/2)*AW60+(1-EXP(-LN(2)/2))/(LN(2)/2)*AQ61*AT61*VLOOKUP('Données projet'!$B$10,Paramètres!$A$1:$I$89,3,0)*0.475*44/12</f>
        <v>2.5312752861418968</v>
      </c>
      <c r="AX61" s="21">
        <f t="shared" si="6"/>
        <v>72.153519394549818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366.69877012097305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2.2737367544323206E-13</v>
      </c>
      <c r="O62" s="13">
        <f>N62*VLOOKUP('Données projet'!$B$9,Paramètres!$A$1:$I$89,3,0)*VLOOKUP('Données projet'!$B$9,Paramètres!$A$1:$I$89,5,0)</f>
        <v>1.064108801074326E-13</v>
      </c>
      <c r="P62" s="13">
        <f t="shared" si="33"/>
        <v>1.5870730813698654E-12</v>
      </c>
      <c r="Q62" s="20">
        <f t="shared" si="53"/>
        <v>2.9494845662396269E-12</v>
      </c>
      <c r="R62" s="59">
        <f t="shared" si="0"/>
        <v>293.33333333333627</v>
      </c>
      <c r="S62" s="59">
        <f ca="1">AVERAGE(OFFSET($R$3,0,0,'Données projet'!$E$9+1,1))-AVERAGE(OFFSET($H$3,0,0,'Données projet'!$E$9+1,1))</f>
        <v>234.83702199169585</v>
      </c>
      <c r="T62" s="59">
        <f t="shared" si="34"/>
        <v>248.83008816685089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206.31327092280443</v>
      </c>
      <c r="AA62" s="21">
        <f>EXP(-LN(2)/25)*AA61+(1-EXP(-LN(2)/25))/(LN(2)/25)*Calculateur!V62*Calculateur!X62*VLOOKUP('Données projet'!$B$9,Paramètres!$A$1:$I$89,3,0)*0.475*44/12</f>
        <v>51.481263260957206</v>
      </c>
      <c r="AB62" s="21">
        <f>EXP(-LN(2)/2)*AB61+(1-EXP(-LN(2)/2))/(LN(2)/2)*V62*Y62*VLOOKUP('Données projet'!$B$9,Paramètres!$A$1:$I$89,3,0)*0.475*44/12</f>
        <v>4.794026715517977</v>
      </c>
      <c r="AC62" s="22">
        <f t="shared" si="3"/>
        <v>262.58856089927963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21.4</v>
      </c>
      <c r="AI62" s="13">
        <f>IF('Données projet'!$A$62&gt;35,AI61+AH62-AQ61,IF(A62&lt;'Données projet'!$A$62,$AF$205^A62,IF(A62='Données projet'!$A$62,'Données projet'!$B$62,AI61+AH62-AQ61)))</f>
        <v>668.60000000000025</v>
      </c>
      <c r="AJ62" s="13">
        <f>AI62*VLOOKUP('Données projet'!$B$10,Paramètres!$A$1:$I$89,3,0)*VLOOKUP('Données projet'!$B$10,Paramètres!$A$1:$I$89,5,0)</f>
        <v>269.44580000000013</v>
      </c>
      <c r="AK62" s="13">
        <f t="shared" si="35"/>
        <v>64.731639999605832</v>
      </c>
      <c r="AL62" s="20">
        <f t="shared" si="4"/>
        <v>582.02570799931368</v>
      </c>
      <c r="AM62" s="59">
        <f t="shared" si="5"/>
        <v>875.35904133264694</v>
      </c>
      <c r="AN62" s="59">
        <f ca="1">AVERAGE(OFFSET($AM$3,0,0,'Données projet'!$E$10+1,1))-AVERAGE(OFFSET($H$3,0,0,'Données projet'!$E$10+1,1))</f>
        <v>314.16268026911069</v>
      </c>
      <c r="AO62" s="59">
        <f t="shared" si="36"/>
        <v>265.23571072429735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43.095773431624934</v>
      </c>
      <c r="AV62" s="21">
        <f>EXP(-LN(2)/25)*AV61+(1-EXP(-LN(2)/25))/(LN(2)/25)*Calculateur!AQ62*Calculateur!AS62*VLOOKUP('Données projet'!$B$10,Paramètres!$A$1:$I$89,3,0)*0.475*44/12</f>
        <v>24.962689133724336</v>
      </c>
      <c r="AW62" s="21">
        <f>EXP(-LN(2)/2)*AW61+(1-EXP(-LN(2)/2))/(LN(2)/2)*AQ62*AT62*VLOOKUP('Données projet'!$B$10,Paramètres!$A$1:$I$89,3,0)*0.475*44/12</f>
        <v>1.7898819198808538</v>
      </c>
      <c r="AX62" s="21">
        <f t="shared" si="6"/>
        <v>69.848344485230129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367.90794799554254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2.2737367544323206E-13</v>
      </c>
      <c r="O63" s="13">
        <f>N63*VLOOKUP('Données projet'!$B$9,Paramètres!$A$1:$I$89,3,0)*VLOOKUP('Données projet'!$B$9,Paramètres!$A$1:$I$89,5,0)</f>
        <v>1.064108801074326E-13</v>
      </c>
      <c r="P63" s="13">
        <f t="shared" si="33"/>
        <v>1.5870730813698654E-12</v>
      </c>
      <c r="Q63" s="20">
        <f t="shared" si="53"/>
        <v>2.9494845662396269E-12</v>
      </c>
      <c r="R63" s="59">
        <f t="shared" si="0"/>
        <v>293.33333333333627</v>
      </c>
      <c r="S63" s="59">
        <f ca="1">AVERAGE(OFFSET($R$3,0,0,'Données projet'!$E$9+1,1))-AVERAGE(OFFSET($H$3,0,0,'Données projet'!$E$9+1,1))</f>
        <v>234.83702199169585</v>
      </c>
      <c r="T63" s="59">
        <f t="shared" si="34"/>
        <v>248.83008816685089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202.26759351867796</v>
      </c>
      <c r="AA63" s="21">
        <f>EXP(-LN(2)/25)*AA62+(1-EXP(-LN(2)/25))/(LN(2)/25)*Calculateur!V63*Calculateur!X63*VLOOKUP('Données projet'!$B$9,Paramètres!$A$1:$I$89,3,0)*0.475*44/12</f>
        <v>50.073505409804362</v>
      </c>
      <c r="AB63" s="21">
        <f>EXP(-LN(2)/2)*AB62+(1-EXP(-LN(2)/2))/(LN(2)/2)*V63*Y63*VLOOKUP('Données projet'!$B$9,Paramètres!$A$1:$I$89,3,0)*0.475*44/12</f>
        <v>3.3898887997322333</v>
      </c>
      <c r="AC63" s="22">
        <f t="shared" si="3"/>
        <v>255.73098772821456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690</v>
      </c>
      <c r="AG63" s="12">
        <f>VLOOKUP(A63,'Données projet'!$A$61:$I$81,9,0)</f>
        <v>21.4</v>
      </c>
      <c r="AH63" s="12">
        <f t="array" ref="AH63">INDEX(AG:AG,MIN(IF(ISNUMBER(AG63:AG259),ROW(AG63:AG259),"")))</f>
        <v>21.4</v>
      </c>
      <c r="AI63" s="13">
        <f>IF('Données projet'!$A$62&gt;35,AI62+AH63-AQ62,IF(A63&lt;'Données projet'!$A$62,$AF$205^A63,IF(A63='Données projet'!$A$62,'Données projet'!$B$62,AI62+AH63-AQ62)))</f>
        <v>690.00000000000023</v>
      </c>
      <c r="AJ63" s="13">
        <f>AI63*VLOOKUP('Données projet'!$B$10,Paramètres!$A$1:$I$89,3,0)*VLOOKUP('Données projet'!$B$10,Paramètres!$A$1:$I$89,5,0)</f>
        <v>278.07000000000011</v>
      </c>
      <c r="AK63" s="13">
        <f t="shared" si="35"/>
        <v>66.558980358276997</v>
      </c>
      <c r="AL63" s="20">
        <f t="shared" si="4"/>
        <v>600.22880745733255</v>
      </c>
      <c r="AM63" s="59">
        <f t="shared" si="5"/>
        <v>893.56214079066581</v>
      </c>
      <c r="AN63" s="59">
        <f ca="1">AVERAGE(OFFSET($AM$3,0,0,'Données projet'!$E$10+1,1))-AVERAGE(OFFSET($H$3,0,0,'Données projet'!$E$10+1,1))</f>
        <v>314.16268026911069</v>
      </c>
      <c r="AO63" s="59">
        <f t="shared" si="36"/>
        <v>265.23571072429735</v>
      </c>
      <c r="AP63" s="15">
        <f>IF(ISNA(VLOOKUP(A63,'Données projet'!$A$61:$I$81,3,0)),0,VLOOKUP(A63,'Données projet'!$A$61:$I$81,3,0))</f>
        <v>9</v>
      </c>
      <c r="AQ63" s="15">
        <f>IF(ISNA(VLOOKUP(A63,'Données projet'!$A$61:$I$81,4,0)),0,VLOOKUP(A63,'Données projet'!$A$61:$I$81,4,0))</f>
        <v>56</v>
      </c>
      <c r="AR63" s="16">
        <f>IF(ISNA(VLOOKUP(A63,'Données projet'!$A$61:$I$81,5,0)),0%,VLOOKUP(A63,'Données projet'!$A$61:$I$81,5,0)*VLOOKUP('Données projet'!$B$10,Paramètres!$A$1:$I$89,7,0))</f>
        <v>0.33</v>
      </c>
      <c r="AS63" s="16">
        <f>IF(ISNA(VLOOKUP(A63,'Données projet'!$A$61:$I$81,6,0)),0%,VLOOKUP(A63,'Données projet'!$A$61:$I$81,6,0)*VLOOKUP('Données projet'!$B$10,Paramètres!$A$1:$I$89,7,0))</f>
        <v>0.11000000000000001</v>
      </c>
      <c r="AT63" s="16">
        <f>IF(ISNA(VLOOKUP(A63,'Données projet'!$A$61:$I$81,7,0)),0%,VLOOKUP(A63,'Données projet'!$A$61:$I$81,7,0))</f>
        <v>0.2</v>
      </c>
      <c r="AU63" s="21">
        <f>EXP(-LN(2)/35)*AU62+(1-EXP(-LN(2)/35))/(LN(2)/35)*AQ63*AR63*VLOOKUP('Données projet'!$B$10,Paramètres!$A$1:$I$89,3,0)*0.475*44/12</f>
        <v>52.130200788475705</v>
      </c>
      <c r="AV63" s="21">
        <f>EXP(-LN(2)/25)*AV62+(1-EXP(-LN(2)/25))/(LN(2)/25)*Calculateur!AQ63*Calculateur!AS63*VLOOKUP('Données projet'!$B$10,Paramètres!$A$1:$I$89,3,0)*0.475*44/12</f>
        <v>27.560286351950975</v>
      </c>
      <c r="AW63" s="21">
        <f>EXP(-LN(2)/2)*AW62+(1-EXP(-LN(2)/2))/(LN(2)/2)*AQ63*AT63*VLOOKUP('Données projet'!$B$10,Paramètres!$A$1:$I$89,3,0)*0.475*44/12</f>
        <v>6.3760813411864046</v>
      </c>
      <c r="AX63" s="21">
        <f t="shared" si="6"/>
        <v>86.066568481613089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369.11662536915674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2.2737367544323206E-13</v>
      </c>
      <c r="O64" s="13">
        <f>N64*VLOOKUP('Données projet'!$B$9,Paramètres!$A$1:$I$89,3,0)*VLOOKUP('Données projet'!$B$9,Paramètres!$A$1:$I$89,5,0)</f>
        <v>1.064108801074326E-13</v>
      </c>
      <c r="P64" s="13">
        <f t="shared" si="33"/>
        <v>1.5870730813698654E-12</v>
      </c>
      <c r="Q64" s="20">
        <f t="shared" si="53"/>
        <v>2.9494845662396269E-12</v>
      </c>
      <c r="R64" s="59">
        <f t="shared" si="0"/>
        <v>293.33333333333627</v>
      </c>
      <c r="S64" s="59">
        <f ca="1">AVERAGE(OFFSET($R$3,0,0,'Données projet'!$E$9+1,1))-AVERAGE(OFFSET($H$3,0,0,'Données projet'!$E$9+1,1))</f>
        <v>234.83702199169585</v>
      </c>
      <c r="T64" s="59">
        <f t="shared" si="34"/>
        <v>248.83008816685089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198.30124938082685</v>
      </c>
      <c r="AA64" s="21">
        <f>EXP(-LN(2)/25)*AA63+(1-EXP(-LN(2)/25))/(LN(2)/25)*Calculateur!V64*Calculateur!X64*VLOOKUP('Données projet'!$B$9,Paramètres!$A$1:$I$89,3,0)*0.475*44/12</f>
        <v>48.704242771122054</v>
      </c>
      <c r="AB64" s="21">
        <f>EXP(-LN(2)/2)*AB63+(1-EXP(-LN(2)/2))/(LN(2)/2)*V64*Y64*VLOOKUP('Données projet'!$B$9,Paramètres!$A$1:$I$89,3,0)*0.475*44/12</f>
        <v>2.3970133577589885</v>
      </c>
      <c r="AC64" s="22">
        <f t="shared" si="3"/>
        <v>249.40250550970788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20</v>
      </c>
      <c r="AI64" s="13">
        <f>IF('Données projet'!$A$62&gt;35,AI63+AH64-AQ63,IF(A64&lt;'Données projet'!$A$62,$AF$205^A64,IF(A64='Données projet'!$A$62,'Données projet'!$B$62,AI63+AH64-AQ63)))</f>
        <v>654.00000000000023</v>
      </c>
      <c r="AJ64" s="13">
        <f>AI64*VLOOKUP('Données projet'!$B$10,Paramètres!$A$1:$I$89,3,0)*VLOOKUP('Données projet'!$B$10,Paramètres!$A$1:$I$89,5,0)</f>
        <v>263.56200000000007</v>
      </c>
      <c r="AK64" s="13">
        <f t="shared" si="35"/>
        <v>63.481050076870346</v>
      </c>
      <c r="AL64" s="20">
        <f t="shared" si="4"/>
        <v>569.59997888388273</v>
      </c>
      <c r="AM64" s="59">
        <f t="shared" si="5"/>
        <v>862.9333122172161</v>
      </c>
      <c r="AN64" s="59">
        <f ca="1">AVERAGE(OFFSET($AM$3,0,0,'Données projet'!$E$10+1,1))-AVERAGE(OFFSET($H$3,0,0,'Données projet'!$E$10+1,1))</f>
        <v>314.16268026911069</v>
      </c>
      <c r="AO64" s="59">
        <f t="shared" si="36"/>
        <v>265.23571072429735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51.107959347296557</v>
      </c>
      <c r="AV64" s="21">
        <f>EXP(-LN(2)/25)*AV63+(1-EXP(-LN(2)/25))/(LN(2)/25)*Calculateur!AQ64*Calculateur!AS64*VLOOKUP('Données projet'!$B$10,Paramètres!$A$1:$I$89,3,0)*0.475*44/12</f>
        <v>26.806648872324406</v>
      </c>
      <c r="AW64" s="21">
        <f>EXP(-LN(2)/2)*AW63+(1-EXP(-LN(2)/2))/(LN(2)/2)*AQ64*AT64*VLOOKUP('Données projet'!$B$10,Paramètres!$A$1:$I$89,3,0)*0.475*44/12</f>
        <v>4.5085703537499233</v>
      </c>
      <c r="AX64" s="21">
        <f t="shared" si="6"/>
        <v>82.423178573370876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370.32481139389552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2.2737367544323206E-13</v>
      </c>
      <c r="O65" s="13">
        <f>N65*VLOOKUP('Données projet'!$B$9,Paramètres!$A$1:$I$89,3,0)*VLOOKUP('Données projet'!$B$9,Paramètres!$A$1:$I$89,5,0)</f>
        <v>1.064108801074326E-13</v>
      </c>
      <c r="P65" s="13">
        <f t="shared" si="33"/>
        <v>1.5870730813698654E-12</v>
      </c>
      <c r="Q65" s="20">
        <f t="shared" si="53"/>
        <v>2.9494845662396269E-12</v>
      </c>
      <c r="R65" s="59">
        <f t="shared" si="0"/>
        <v>293.33333333333627</v>
      </c>
      <c r="S65" s="59">
        <f ca="1">AVERAGE(OFFSET($R$3,0,0,'Données projet'!$E$9+1,1))-AVERAGE(OFFSET($H$3,0,0,'Données projet'!$E$9+1,1))</f>
        <v>234.83702199169585</v>
      </c>
      <c r="T65" s="59">
        <f t="shared" si="34"/>
        <v>248.83008816685089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194.41268283228794</v>
      </c>
      <c r="AA65" s="21">
        <f>EXP(-LN(2)/25)*AA64+(1-EXP(-LN(2)/25))/(LN(2)/25)*Calculateur!V65*Calculateur!X65*VLOOKUP('Données projet'!$B$9,Paramètres!$A$1:$I$89,3,0)*0.475*44/12</f>
        <v>47.372422691300912</v>
      </c>
      <c r="AB65" s="21">
        <f>EXP(-LN(2)/2)*AB64+(1-EXP(-LN(2)/2))/(LN(2)/2)*V65*Y65*VLOOKUP('Données projet'!$B$9,Paramètres!$A$1:$I$89,3,0)*0.475*44/12</f>
        <v>1.6949443998661167</v>
      </c>
      <c r="AC65" s="22">
        <f t="shared" si="3"/>
        <v>243.480049923455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20</v>
      </c>
      <c r="AI65" s="13">
        <f>IF('Données projet'!$A$62&gt;35,AI64+AH65-AQ64,IF(A65&lt;'Données projet'!$A$62,$AF$205^A65,IF(A65='Données projet'!$A$62,'Données projet'!$B$62,AI64+AH65-AQ64)))</f>
        <v>674.00000000000023</v>
      </c>
      <c r="AJ65" s="13">
        <f>AI65*VLOOKUP('Données projet'!$B$10,Paramètres!$A$1:$I$89,3,0)*VLOOKUP('Données projet'!$B$10,Paramètres!$A$1:$I$89,5,0)</f>
        <v>271.62200000000013</v>
      </c>
      <c r="AK65" s="13">
        <f t="shared" si="35"/>
        <v>65.193378539290933</v>
      </c>
      <c r="AL65" s="20">
        <f t="shared" si="4"/>
        <v>586.62011762259851</v>
      </c>
      <c r="AM65" s="59">
        <f t="shared" si="5"/>
        <v>879.95345095593188</v>
      </c>
      <c r="AN65" s="59">
        <f ca="1">AVERAGE(OFFSET($AM$3,0,0,'Données projet'!$E$10+1,1))-AVERAGE(OFFSET($H$3,0,0,'Données projet'!$E$10+1,1))</f>
        <v>314.16268026911069</v>
      </c>
      <c r="AO65" s="59">
        <f t="shared" si="36"/>
        <v>265.23571072429735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50.105763437273218</v>
      </c>
      <c r="AV65" s="21">
        <f>EXP(-LN(2)/25)*AV64+(1-EXP(-LN(2)/25))/(LN(2)/25)*Calculateur!AQ65*Calculateur!AS65*VLOOKUP('Données projet'!$B$10,Paramètres!$A$1:$I$89,3,0)*0.475*44/12</f>
        <v>26.073619649210297</v>
      </c>
      <c r="AW65" s="21">
        <f>EXP(-LN(2)/2)*AW64+(1-EXP(-LN(2)/2))/(LN(2)/2)*AQ65*AT65*VLOOKUP('Données projet'!$B$10,Paramètres!$A$1:$I$89,3,0)*0.475*44/12</f>
        <v>3.1880406705932023</v>
      </c>
      <c r="AX65" s="21">
        <f t="shared" si="6"/>
        <v>79.367423757076708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371.53251490968091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2.2737367544323206E-13</v>
      </c>
      <c r="O66" s="13">
        <f>N66*VLOOKUP('Données projet'!$B$9,Paramètres!$A$1:$I$89,3,0)*VLOOKUP('Données projet'!$B$9,Paramètres!$A$1:$I$89,5,0)</f>
        <v>1.064108801074326E-13</v>
      </c>
      <c r="P66" s="13">
        <f t="shared" si="33"/>
        <v>1.5870730813698654E-12</v>
      </c>
      <c r="Q66" s="20">
        <f t="shared" si="53"/>
        <v>2.9494845662396269E-12</v>
      </c>
      <c r="R66" s="59">
        <f t="shared" si="0"/>
        <v>293.33333333333627</v>
      </c>
      <c r="S66" s="59">
        <f ca="1">AVERAGE(OFFSET($R$3,0,0,'Données projet'!$E$9+1,1))-AVERAGE(OFFSET($H$3,0,0,'Données projet'!$E$9+1,1))</f>
        <v>234.83702199169585</v>
      </c>
      <c r="T66" s="59">
        <f t="shared" si="34"/>
        <v>248.83008816685089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190.6003687019745</v>
      </c>
      <c r="AA66" s="21">
        <f>EXP(-LN(2)/25)*AA65+(1-EXP(-LN(2)/25))/(LN(2)/25)*Calculateur!V66*Calculateur!X66*VLOOKUP('Données projet'!$B$9,Paramètres!$A$1:$I$89,3,0)*0.475*44/12</f>
        <v>46.077021301599849</v>
      </c>
      <c r="AB66" s="21">
        <f>EXP(-LN(2)/2)*AB65+(1-EXP(-LN(2)/2))/(LN(2)/2)*V66*Y66*VLOOKUP('Données projet'!$B$9,Paramètres!$A$1:$I$89,3,0)*0.475*44/12</f>
        <v>1.1985066788794942</v>
      </c>
      <c r="AC66" s="22">
        <f t="shared" si="3"/>
        <v>237.87589668245383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20</v>
      </c>
      <c r="AI66" s="13">
        <f>IF('Données projet'!$A$62&gt;35,AI65+AH66-AQ65,IF(A66&lt;'Données projet'!$A$62,$AF$205^A66,IF(A66='Données projet'!$A$62,'Données projet'!$B$62,AI65+AH66-AQ65)))</f>
        <v>694.00000000000023</v>
      </c>
      <c r="AJ66" s="13">
        <f>AI66*VLOOKUP('Données projet'!$B$10,Paramètres!$A$1:$I$89,3,0)*VLOOKUP('Données projet'!$B$10,Paramètres!$A$1:$I$89,5,0)</f>
        <v>279.68200000000013</v>
      </c>
      <c r="AK66" s="13">
        <f t="shared" si="35"/>
        <v>66.899801895819508</v>
      </c>
      <c r="AL66" s="20">
        <f t="shared" si="4"/>
        <v>603.62997163521914</v>
      </c>
      <c r="AM66" s="59">
        <f t="shared" si="5"/>
        <v>896.96330496855239</v>
      </c>
      <c r="AN66" s="59">
        <f ca="1">AVERAGE(OFFSET($AM$3,0,0,'Données projet'!$E$10+1,1))-AVERAGE(OFFSET($H$3,0,0,'Données projet'!$E$10+1,1))</f>
        <v>314.16268026911069</v>
      </c>
      <c r="AO66" s="59">
        <f t="shared" si="36"/>
        <v>265.23571072429735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49.12321997776629</v>
      </c>
      <c r="AV66" s="21">
        <f>EXP(-LN(2)/25)*AV65+(1-EXP(-LN(2)/25))/(LN(2)/25)*Calculateur!AQ66*Calculateur!AS66*VLOOKUP('Données projet'!$B$10,Paramètres!$A$1:$I$89,3,0)*0.475*44/12</f>
        <v>25.360635148750575</v>
      </c>
      <c r="AW66" s="21">
        <f>EXP(-LN(2)/2)*AW65+(1-EXP(-LN(2)/2))/(LN(2)/2)*AQ66*AT66*VLOOKUP('Données projet'!$B$10,Paramètres!$A$1:$I$89,3,0)*0.475*44/12</f>
        <v>2.2542851768749617</v>
      </c>
      <c r="AX66" s="21">
        <f t="shared" si="6"/>
        <v>76.738140303391816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372.73974445970646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2.2737367544323206E-13</v>
      </c>
      <c r="O67" s="13">
        <f>N67*VLOOKUP('Données projet'!$B$9,Paramètres!$A$1:$I$89,3,0)*VLOOKUP('Données projet'!$B$9,Paramètres!$A$1:$I$89,5,0)</f>
        <v>1.064108801074326E-13</v>
      </c>
      <c r="P67" s="13">
        <f t="shared" si="33"/>
        <v>1.5870730813698654E-12</v>
      </c>
      <c r="Q67" s="20">
        <f t="shared" ref="Q67:Q98" si="54">(O67+P67)*0.475*44/12</f>
        <v>2.9494845662396269E-12</v>
      </c>
      <c r="R67" s="59">
        <f t="shared" ref="R67:R130" si="55">Q67+(I67+J67)*44/12</f>
        <v>293.33333333333627</v>
      </c>
      <c r="S67" s="59">
        <f ca="1">AVERAGE(OFFSET($R$3,0,0,'Données projet'!$E$9+1,1))-AVERAGE(OFFSET($H$3,0,0,'Données projet'!$E$9+1,1))</f>
        <v>234.83702199169585</v>
      </c>
      <c r="T67" s="59">
        <f t="shared" si="34"/>
        <v>248.83008816685089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186.86281172647449</v>
      </c>
      <c r="AA67" s="21">
        <f>EXP(-LN(2)/25)*AA66+(1-EXP(-LN(2)/25))/(LN(2)/25)*Calculateur!V67*Calculateur!X67*VLOOKUP('Données projet'!$B$9,Paramètres!$A$1:$I$89,3,0)*0.475*44/12</f>
        <v>44.817042731022362</v>
      </c>
      <c r="AB67" s="21">
        <f>EXP(-LN(2)/2)*AB66+(1-EXP(-LN(2)/2))/(LN(2)/2)*V67*Y67*VLOOKUP('Données projet'!$B$9,Paramètres!$A$1:$I$89,3,0)*0.475*44/12</f>
        <v>0.84747219993305833</v>
      </c>
      <c r="AC67" s="22">
        <f t="shared" si="3"/>
        <v>232.52732665742991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20</v>
      </c>
      <c r="AI67" s="13">
        <f>IF('Données projet'!$A$62&gt;35,AI66+AH67-AQ66,IF(A67&lt;'Données projet'!$A$62,$AF$205^A67,IF(A67='Données projet'!$A$62,'Données projet'!$B$62,AI66+AH67-AQ66)))</f>
        <v>714.00000000000023</v>
      </c>
      <c r="AJ67" s="13">
        <f>AI67*VLOOKUP('Données projet'!$B$10,Paramètres!$A$1:$I$89,3,0)*VLOOKUP('Données projet'!$B$10,Paramètres!$A$1:$I$89,5,0)</f>
        <v>287.74200000000008</v>
      </c>
      <c r="AK67" s="13">
        <f t="shared" si="35"/>
        <v>68.600509865830645</v>
      </c>
      <c r="AL67" s="20">
        <f t="shared" si="4"/>
        <v>620.62987134965522</v>
      </c>
      <c r="AM67" s="59">
        <f t="shared" si="5"/>
        <v>913.96320468298859</v>
      </c>
      <c r="AN67" s="59">
        <f ca="1">AVERAGE(OFFSET($AM$3,0,0,'Données projet'!$E$10+1,1))-AVERAGE(OFFSET($H$3,0,0,'Données projet'!$E$10+1,1))</f>
        <v>314.16268026911069</v>
      </c>
      <c r="AO67" s="59">
        <f t="shared" si="36"/>
        <v>265.23571072429735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48.15994359620796</v>
      </c>
      <c r="AV67" s="21">
        <f>EXP(-LN(2)/25)*AV66+(1-EXP(-LN(2)/25))/(LN(2)/25)*Calculateur!AQ67*Calculateur!AS67*VLOOKUP('Données projet'!$B$10,Paramètres!$A$1:$I$89,3,0)*0.475*44/12</f>
        <v>24.667147246950151</v>
      </c>
      <c r="AW67" s="21">
        <f>EXP(-LN(2)/2)*AW66+(1-EXP(-LN(2)/2))/(LN(2)/2)*AQ67*AT67*VLOOKUP('Données projet'!$B$10,Paramètres!$A$1:$I$89,3,0)*0.475*44/12</f>
        <v>1.5940203352966011</v>
      </c>
      <c r="AX67" s="21">
        <f t="shared" si="6"/>
        <v>74.421111178454723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373.94650830487547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2.2737367544323206E-13</v>
      </c>
      <c r="O68" s="13">
        <f>N68*VLOOKUP('Données projet'!$B$9,Paramètres!$A$1:$I$89,3,0)*VLOOKUP('Données projet'!$B$9,Paramètres!$A$1:$I$89,5,0)</f>
        <v>1.064108801074326E-13</v>
      </c>
      <c r="P68" s="13">
        <f t="shared" si="33"/>
        <v>1.5870730813698654E-12</v>
      </c>
      <c r="Q68" s="20">
        <f t="shared" si="54"/>
        <v>2.9494845662396269E-12</v>
      </c>
      <c r="R68" s="59">
        <f t="shared" si="55"/>
        <v>293.33333333333627</v>
      </c>
      <c r="S68" s="59">
        <f ca="1">AVERAGE(OFFSET($R$3,0,0,'Données projet'!$E$9+1,1))-AVERAGE(OFFSET($H$3,0,0,'Données projet'!$E$9+1,1))</f>
        <v>234.83702199169585</v>
      </c>
      <c r="T68" s="59">
        <f t="shared" si="34"/>
        <v>248.83008816685089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183.19854596357936</v>
      </c>
      <c r="AA68" s="21">
        <f>EXP(-LN(2)/25)*AA67+(1-EXP(-LN(2)/25))/(LN(2)/25)*Calculateur!V68*Calculateur!X68*VLOOKUP('Données projet'!$B$9,Paramètres!$A$1:$I$89,3,0)*0.475*44/12</f>
        <v>43.591518340716711</v>
      </c>
      <c r="AB68" s="21">
        <f>EXP(-LN(2)/2)*AB67+(1-EXP(-LN(2)/2))/(LN(2)/2)*V68*Y68*VLOOKUP('Données projet'!$B$9,Paramètres!$A$1:$I$89,3,0)*0.475*44/12</f>
        <v>0.59925333943974712</v>
      </c>
      <c r="AC68" s="22">
        <f t="shared" ref="AC68:AC131" si="57">SUM(Z68:AB68)</f>
        <v>227.38931764373581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>
        <f>VLOOKUP(A68,'Données projet'!$A$61:$I$81,2,0)</f>
        <v>734</v>
      </c>
      <c r="AG68" s="12">
        <f>VLOOKUP(A68,'Données projet'!$A$61:$I$81,9,0)</f>
        <v>20</v>
      </c>
      <c r="AH68" s="12">
        <f t="array" ref="AH68">INDEX(AG:AG,MIN(IF(ISNUMBER(AG68:AG264),ROW(AG68:AG264),"")))</f>
        <v>20</v>
      </c>
      <c r="AI68" s="13">
        <f>IF('Données projet'!$A$62&gt;35,AI67+AH68-AQ67,IF(A68&lt;'Données projet'!$A$62,$AF$205^A68,IF(A68='Données projet'!$A$62,'Données projet'!$B$62,AI67+AH68-AQ67)))</f>
        <v>734.00000000000023</v>
      </c>
      <c r="AJ68" s="13">
        <f>AI68*VLOOKUP('Données projet'!$B$10,Paramètres!$A$1:$I$89,3,0)*VLOOKUP('Données projet'!$B$10,Paramètres!$A$1:$I$89,5,0)</f>
        <v>295.80200000000013</v>
      </c>
      <c r="AK68" s="13">
        <f t="shared" si="35"/>
        <v>70.295680935455152</v>
      </c>
      <c r="AL68" s="20">
        <f t="shared" ref="AL68:AL131" si="58">(AJ68+AK68)*0.475*44/12</f>
        <v>637.62012762925121</v>
      </c>
      <c r="AM68" s="59">
        <f t="shared" ref="AM68:AM131" si="59">AL68+(AD68+AE68)*44/12</f>
        <v>930.95346096258459</v>
      </c>
      <c r="AN68" s="59">
        <f ca="1">AVERAGE(OFFSET($AM$3,0,0,'Données projet'!$E$10+1,1))-AVERAGE(OFFSET($H$3,0,0,'Données projet'!$E$10+1,1))</f>
        <v>314.16268026911069</v>
      </c>
      <c r="AO68" s="59">
        <f t="shared" si="36"/>
        <v>265.23571072429735</v>
      </c>
      <c r="AP68" s="15">
        <f>IF(ISNA(VLOOKUP(A68,'Données projet'!$A$61:$I$81,3,0)),0,VLOOKUP(A68,'Données projet'!$A$61:$I$81,3,0))</f>
        <v>10</v>
      </c>
      <c r="AQ68" s="15">
        <f>IF(ISNA(VLOOKUP(A68,'Données projet'!$A$61:$I$81,4,0)),0,VLOOKUP(A68,'Données projet'!$A$61:$I$81,4,0))</f>
        <v>52</v>
      </c>
      <c r="AR68" s="16">
        <f>IF(ISNA(VLOOKUP(A68,'Données projet'!$A$61:$I$81,5,0)),0%,VLOOKUP(A68,'Données projet'!$A$61:$I$81,5,0)*VLOOKUP('Données projet'!$B$10,Paramètres!$A$1:$I$89,7,0))</f>
        <v>0.33</v>
      </c>
      <c r="AS68" s="16">
        <f>IF(ISNA(VLOOKUP(A68,'Données projet'!$A$61:$I$81,6,0)),0%,VLOOKUP(A68,'Données projet'!$A$61:$I$81,6,0)*VLOOKUP('Données projet'!$B$10,Paramètres!$A$1:$I$89,7,0))</f>
        <v>0.11000000000000001</v>
      </c>
      <c r="AT68" s="16">
        <f>IF(ISNA(VLOOKUP(A68,'Données projet'!$A$61:$I$81,7,0)),0%,VLOOKUP(A68,'Données projet'!$A$61:$I$81,7,0))</f>
        <v>0.2</v>
      </c>
      <c r="AU68" s="21">
        <f>EXP(-LN(2)/35)*AU67+(1-EXP(-LN(2)/35))/(LN(2)/35)*AQ68*AR68*VLOOKUP('Données projet'!$B$10,Paramètres!$A$1:$I$89,3,0)*0.475*44/12</f>
        <v>56.389386437254437</v>
      </c>
      <c r="AV68" s="21">
        <f>EXP(-LN(2)/25)*AV67+(1-EXP(-LN(2)/25))/(LN(2)/25)*Calculateur!AQ68*Calculateur!AS68*VLOOKUP('Données projet'!$B$10,Paramètres!$A$1:$I$89,3,0)*0.475*44/12</f>
        <v>27.038525840375424</v>
      </c>
      <c r="AW68" s="21">
        <f>EXP(-LN(2)/2)*AW67+(1-EXP(-LN(2)/2))/(LN(2)/2)*AQ68*AT68*VLOOKUP('Données projet'!$B$10,Paramètres!$A$1:$I$89,3,0)*0.475*44/12</f>
        <v>5.8725545938304045</v>
      </c>
      <c r="AX68" s="21">
        <f t="shared" ref="AX68:AX131" si="60">SUM(AU68:AW68)</f>
        <v>89.300466871460259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375.15281443732528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2.2737367544323206E-13</v>
      </c>
      <c r="O69" s="13">
        <f>N69*VLOOKUP('Données projet'!$B$9,Paramètres!$A$1:$I$89,3,0)*VLOOKUP('Données projet'!$B$9,Paramètres!$A$1:$I$89,5,0)</f>
        <v>1.064108801074326E-13</v>
      </c>
      <c r="P69" s="13">
        <f t="shared" ref="P69:P132" si="87">EXP(-1.0587+0.8836*LN(O69)+0.284)</f>
        <v>1.5870730813698654E-12</v>
      </c>
      <c r="Q69" s="20">
        <f t="shared" si="54"/>
        <v>2.9494845662396269E-12</v>
      </c>
      <c r="R69" s="59">
        <f t="shared" si="55"/>
        <v>293.33333333333627</v>
      </c>
      <c r="S69" s="59">
        <f ca="1">AVERAGE(OFFSET($R$3,0,0,'Données projet'!$E$9+1,1))-AVERAGE(OFFSET($H$3,0,0,'Données projet'!$E$9+1,1))</f>
        <v>234.83702199169585</v>
      </c>
      <c r="T69" s="59">
        <f t="shared" ref="T69:T132" si="88">$T$3</f>
        <v>248.83008816685089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179.60613421731318</v>
      </c>
      <c r="AA69" s="21">
        <f>EXP(-LN(2)/25)*AA68+(1-EXP(-LN(2)/25))/(LN(2)/25)*Calculateur!V69*Calculateur!X69*VLOOKUP('Données projet'!$B$9,Paramètres!$A$1:$I$89,3,0)*0.475*44/12</f>
        <v>42.399505979311492</v>
      </c>
      <c r="AB69" s="21">
        <f>EXP(-LN(2)/2)*AB68+(1-EXP(-LN(2)/2))/(LN(2)/2)*V69*Y69*VLOOKUP('Données projet'!$B$9,Paramètres!$A$1:$I$89,3,0)*0.475*44/12</f>
        <v>0.42373609996652917</v>
      </c>
      <c r="AC69" s="22">
        <f t="shared" si="57"/>
        <v>222.42937629659122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18.2</v>
      </c>
      <c r="AI69" s="13">
        <f>IF('Données projet'!$A$62&gt;35,AI68+AH69-AQ68,IF(A69&lt;'Données projet'!$A$62,$AF$205^A69,IF(A69='Données projet'!$A$62,'Données projet'!$B$62,AI68+AH69-AQ68)))</f>
        <v>700.20000000000027</v>
      </c>
      <c r="AJ69" s="13">
        <f>AI69*VLOOKUP('Données projet'!$B$10,Paramètres!$A$1:$I$89,3,0)*VLOOKUP('Données projet'!$B$10,Paramètres!$A$1:$I$89,5,0)</f>
        <v>282.18060000000014</v>
      </c>
      <c r="AK69" s="13">
        <f t="shared" ref="AK69:AK132" si="89">EXP(-1.0587+0.8836*LN(AJ69)+0.284)</f>
        <v>67.427624079036946</v>
      </c>
      <c r="AL69" s="20">
        <f t="shared" si="58"/>
        <v>608.90099027098961</v>
      </c>
      <c r="AM69" s="59">
        <f t="shared" si="59"/>
        <v>902.23432360432298</v>
      </c>
      <c r="AN69" s="59">
        <f ca="1">AVERAGE(OFFSET($AM$3,0,0,'Données projet'!$E$10+1,1))-AVERAGE(OFFSET($H$3,0,0,'Données projet'!$E$10+1,1))</f>
        <v>314.16268026911069</v>
      </c>
      <c r="AO69" s="59">
        <f t="shared" ref="AO69:AO132" si="90">$AO$3</f>
        <v>265.23571072429735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55.283624963349467</v>
      </c>
      <c r="AV69" s="21">
        <f>EXP(-LN(2)/25)*AV68+(1-EXP(-LN(2)/25))/(LN(2)/25)*Calculateur!AQ69*Calculateur!AS69*VLOOKUP('Données projet'!$B$10,Paramètres!$A$1:$I$89,3,0)*0.475*44/12</f>
        <v>26.299155929376081</v>
      </c>
      <c r="AW69" s="21">
        <f>EXP(-LN(2)/2)*AW68+(1-EXP(-LN(2)/2))/(LN(2)/2)*AQ69*AT69*VLOOKUP('Données projet'!$B$10,Paramètres!$A$1:$I$89,3,0)*0.475*44/12</f>
        <v>4.1525231761856904</v>
      </c>
      <c r="AX69" s="21">
        <f t="shared" si="60"/>
        <v>85.735304068911248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376.3586705931088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2.2737367544323206E-13</v>
      </c>
      <c r="O70" s="13">
        <f>N70*VLOOKUP('Données projet'!$B$9,Paramètres!$A$1:$I$89,3,0)*VLOOKUP('Données projet'!$B$9,Paramètres!$A$1:$I$89,5,0)</f>
        <v>1.064108801074326E-13</v>
      </c>
      <c r="P70" s="13">
        <f t="shared" si="87"/>
        <v>1.5870730813698654E-12</v>
      </c>
      <c r="Q70" s="20">
        <f t="shared" si="54"/>
        <v>2.9494845662396269E-12</v>
      </c>
      <c r="R70" s="59">
        <f t="shared" si="55"/>
        <v>293.33333333333627</v>
      </c>
      <c r="S70" s="59">
        <f ca="1">AVERAGE(OFFSET($R$3,0,0,'Données projet'!$E$9+1,1))-AVERAGE(OFFSET($H$3,0,0,'Données projet'!$E$9+1,1))</f>
        <v>234.83702199169585</v>
      </c>
      <c r="T70" s="59">
        <f t="shared" si="88"/>
        <v>248.83008816685089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176.08416747423649</v>
      </c>
      <c r="AA70" s="21">
        <f>EXP(-LN(2)/25)*AA69+(1-EXP(-LN(2)/25))/(LN(2)/25)*Calculateur!V70*Calculateur!X70*VLOOKUP('Données projet'!$B$9,Paramètres!$A$1:$I$89,3,0)*0.475*44/12</f>
        <v>41.240089258614105</v>
      </c>
      <c r="AB70" s="21">
        <f>EXP(-LN(2)/2)*AB69+(1-EXP(-LN(2)/2))/(LN(2)/2)*V70*Y70*VLOOKUP('Données projet'!$B$9,Paramètres!$A$1:$I$89,3,0)*0.475*44/12</f>
        <v>0.29962666971987356</v>
      </c>
      <c r="AC70" s="22">
        <f t="shared" si="57"/>
        <v>217.62388340257047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18.2</v>
      </c>
      <c r="AI70" s="13">
        <f>IF('Données projet'!$A$62&gt;35,AI69+AH70-AQ69,IF(A70&lt;'Données projet'!$A$62,$AF$205^A70,IF(A70='Données projet'!$A$62,'Données projet'!$B$62,AI69+AH70-AQ69)))</f>
        <v>718.40000000000032</v>
      </c>
      <c r="AJ70" s="13">
        <f>AI70*VLOOKUP('Données projet'!$B$10,Paramètres!$A$1:$I$89,3,0)*VLOOKUP('Données projet'!$B$10,Paramètres!$A$1:$I$89,5,0)</f>
        <v>289.51520000000011</v>
      </c>
      <c r="AK70" s="13">
        <f t="shared" si="89"/>
        <v>68.973916544706199</v>
      </c>
      <c r="AL70" s="20">
        <f t="shared" si="58"/>
        <v>624.3685446486968</v>
      </c>
      <c r="AM70" s="59">
        <f t="shared" si="59"/>
        <v>917.70187798203006</v>
      </c>
      <c r="AN70" s="59">
        <f ca="1">AVERAGE(OFFSET($AM$3,0,0,'Données projet'!$E$10+1,1))-AVERAGE(OFFSET($H$3,0,0,'Données projet'!$E$10+1,1))</f>
        <v>314.16268026911069</v>
      </c>
      <c r="AO70" s="59">
        <f t="shared" si="90"/>
        <v>265.23571072429735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54.19954679749987</v>
      </c>
      <c r="AV70" s="21">
        <f>EXP(-LN(2)/25)*AV69+(1-EXP(-LN(2)/25))/(LN(2)/25)*Calculateur!AQ70*Calculateur!AS70*VLOOKUP('Données projet'!$B$10,Paramètres!$A$1:$I$89,3,0)*0.475*44/12</f>
        <v>25.58000412747479</v>
      </c>
      <c r="AW70" s="21">
        <f>EXP(-LN(2)/2)*AW69+(1-EXP(-LN(2)/2))/(LN(2)/2)*AQ70*AT70*VLOOKUP('Données projet'!$B$10,Paramètres!$A$1:$I$89,3,0)*0.475*44/12</f>
        <v>2.9362772969152027</v>
      </c>
      <c r="AX70" s="21">
        <f t="shared" si="60"/>
        <v>82.715828221889865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377.56408426409683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2.2737367544323206E-13</v>
      </c>
      <c r="O71" s="13">
        <f>N71*VLOOKUP('Données projet'!$B$9,Paramètres!$A$1:$I$89,3,0)*VLOOKUP('Données projet'!$B$9,Paramètres!$A$1:$I$89,5,0)</f>
        <v>1.064108801074326E-13</v>
      </c>
      <c r="P71" s="13">
        <f t="shared" si="87"/>
        <v>1.5870730813698654E-12</v>
      </c>
      <c r="Q71" s="20">
        <f t="shared" si="54"/>
        <v>2.9494845662396269E-12</v>
      </c>
      <c r="R71" s="59">
        <f t="shared" si="55"/>
        <v>293.33333333333627</v>
      </c>
      <c r="S71" s="59">
        <f ca="1">AVERAGE(OFFSET($R$3,0,0,'Données projet'!$E$9+1,1))-AVERAGE(OFFSET($H$3,0,0,'Données projet'!$E$9+1,1))</f>
        <v>234.83702199169585</v>
      </c>
      <c r="T71" s="59">
        <f t="shared" si="88"/>
        <v>248.83008816685089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172.63126435080395</v>
      </c>
      <c r="AA71" s="21">
        <f>EXP(-LN(2)/25)*AA70+(1-EXP(-LN(2)/25))/(LN(2)/25)*Calculateur!V71*Calculateur!X71*VLOOKUP('Données projet'!$B$9,Paramètres!$A$1:$I$89,3,0)*0.475*44/12</f>
        <v>40.112376849115265</v>
      </c>
      <c r="AB71" s="21">
        <f>EXP(-LN(2)/2)*AB70+(1-EXP(-LN(2)/2))/(LN(2)/2)*V71*Y71*VLOOKUP('Données projet'!$B$9,Paramètres!$A$1:$I$89,3,0)*0.475*44/12</f>
        <v>0.21186804998326458</v>
      </c>
      <c r="AC71" s="22">
        <f t="shared" si="57"/>
        <v>212.95550924990246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18.2</v>
      </c>
      <c r="AI71" s="13">
        <f>IF('Données projet'!$A$62&gt;35,AI70+AH71-AQ70,IF(A71&lt;'Données projet'!$A$62,$AF$205^A71,IF(A71='Données projet'!$A$62,'Données projet'!$B$62,AI70+AH71-AQ70)))</f>
        <v>736.60000000000036</v>
      </c>
      <c r="AJ71" s="13">
        <f>AI71*VLOOKUP('Données projet'!$B$10,Paramètres!$A$1:$I$89,3,0)*VLOOKUP('Données projet'!$B$10,Paramètres!$A$1:$I$89,5,0)</f>
        <v>296.84980000000019</v>
      </c>
      <c r="AK71" s="13">
        <f t="shared" si="89"/>
        <v>70.515655371384696</v>
      </c>
      <c r="AL71" s="20">
        <f t="shared" si="58"/>
        <v>639.82816810516192</v>
      </c>
      <c r="AM71" s="59">
        <f t="shared" si="59"/>
        <v>933.16150143849518</v>
      </c>
      <c r="AN71" s="59">
        <f ca="1">AVERAGE(OFFSET($AM$3,0,0,'Données projet'!$E$10+1,1))-AVERAGE(OFFSET($H$3,0,0,'Données projet'!$E$10+1,1))</f>
        <v>314.16268026911069</v>
      </c>
      <c r="AO71" s="59">
        <f t="shared" si="90"/>
        <v>265.23571072429735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53.136726743260191</v>
      </c>
      <c r="AV71" s="21">
        <f>EXP(-LN(2)/25)*AV70+(1-EXP(-LN(2)/25))/(LN(2)/25)*Calculateur!AQ71*Calculateur!AS71*VLOOKUP('Données projet'!$B$10,Paramètres!$A$1:$I$89,3,0)*0.475*44/12</f>
        <v>24.880517569415041</v>
      </c>
      <c r="AW71" s="21">
        <f>EXP(-LN(2)/2)*AW70+(1-EXP(-LN(2)/2))/(LN(2)/2)*AQ71*AT71*VLOOKUP('Données projet'!$B$10,Paramètres!$A$1:$I$89,3,0)*0.475*44/12</f>
        <v>2.0762615880928457</v>
      </c>
      <c r="AX71" s="21">
        <f t="shared" si="60"/>
        <v>80.093505900768079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378.76906270916135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2.2737367544323206E-13</v>
      </c>
      <c r="O72" s="13">
        <f>N72*VLOOKUP('Données projet'!$B$9,Paramètres!$A$1:$I$89,3,0)*VLOOKUP('Données projet'!$B$9,Paramètres!$A$1:$I$89,5,0)</f>
        <v>1.064108801074326E-13</v>
      </c>
      <c r="P72" s="13">
        <f t="shared" si="87"/>
        <v>1.5870730813698654E-12</v>
      </c>
      <c r="Q72" s="20">
        <f t="shared" si="54"/>
        <v>2.9494845662396269E-12</v>
      </c>
      <c r="R72" s="59">
        <f t="shared" si="55"/>
        <v>293.33333333333627</v>
      </c>
      <c r="S72" s="59">
        <f ca="1">AVERAGE(OFFSET($R$3,0,0,'Données projet'!$E$9+1,1))-AVERAGE(OFFSET($H$3,0,0,'Données projet'!$E$9+1,1))</f>
        <v>234.83702199169585</v>
      </c>
      <c r="T72" s="59">
        <f t="shared" si="88"/>
        <v>248.83008816685089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169.24607055155894</v>
      </c>
      <c r="AA72" s="21">
        <f>EXP(-LN(2)/25)*AA71+(1-EXP(-LN(2)/25))/(LN(2)/25)*Calculateur!V72*Calculateur!X72*VLOOKUP('Données projet'!$B$9,Paramètres!$A$1:$I$89,3,0)*0.475*44/12</f>
        <v>39.015501794757988</v>
      </c>
      <c r="AB72" s="21">
        <f>EXP(-LN(2)/2)*AB71+(1-EXP(-LN(2)/2))/(LN(2)/2)*V72*Y72*VLOOKUP('Données projet'!$B$9,Paramètres!$A$1:$I$89,3,0)*0.475*44/12</f>
        <v>0.14981333485993678</v>
      </c>
      <c r="AC72" s="22">
        <f t="shared" si="57"/>
        <v>208.41138568117688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18.2</v>
      </c>
      <c r="AI72" s="13">
        <f>IF('Données projet'!$A$62&gt;35,AI71+AH72-AQ71,IF(A72&lt;'Données projet'!$A$62,$AF$205^A72,IF(A72='Données projet'!$A$62,'Données projet'!$B$62,AI71+AH72-AQ71)))</f>
        <v>754.80000000000041</v>
      </c>
      <c r="AJ72" s="13">
        <f>AI72*VLOOKUP('Données projet'!$B$10,Paramètres!$A$1:$I$89,3,0)*VLOOKUP('Données projet'!$B$10,Paramètres!$A$1:$I$89,5,0)</f>
        <v>304.18440000000015</v>
      </c>
      <c r="AK72" s="13">
        <f t="shared" si="89"/>
        <v>72.052966012669543</v>
      </c>
      <c r="AL72" s="20">
        <f t="shared" si="58"/>
        <v>655.28007913873296</v>
      </c>
      <c r="AM72" s="59">
        <f t="shared" si="59"/>
        <v>948.61341247206633</v>
      </c>
      <c r="AN72" s="59">
        <f ca="1">AVERAGE(OFFSET($AM$3,0,0,'Données projet'!$E$10+1,1))-AVERAGE(OFFSET($H$3,0,0,'Données projet'!$E$10+1,1))</f>
        <v>314.16268026911069</v>
      </c>
      <c r="AO72" s="59">
        <f t="shared" si="90"/>
        <v>265.23571072429735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52.094747942027929</v>
      </c>
      <c r="AV72" s="21">
        <f>EXP(-LN(2)/25)*AV71+(1-EXP(-LN(2)/25))/(LN(2)/25)*Calculateur!AQ72*Calculateur!AS72*VLOOKUP('Données projet'!$B$10,Paramètres!$A$1:$I$89,3,0)*0.475*44/12</f>
        <v>24.200158508069833</v>
      </c>
      <c r="AW72" s="21">
        <f>EXP(-LN(2)/2)*AW71+(1-EXP(-LN(2)/2))/(LN(2)/2)*AQ72*AT72*VLOOKUP('Données projet'!$B$10,Paramètres!$A$1:$I$89,3,0)*0.475*44/12</f>
        <v>1.4681386484576016</v>
      </c>
      <c r="AX72" s="21">
        <f t="shared" si="60"/>
        <v>77.763045098555352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379.97361296469114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2.2737367544323206E-13</v>
      </c>
      <c r="O73" s="13">
        <f>N73*VLOOKUP('Données projet'!$B$9,Paramètres!$A$1:$I$89,3,0)*VLOOKUP('Données projet'!$B$9,Paramètres!$A$1:$I$89,5,0)</f>
        <v>1.064108801074326E-13</v>
      </c>
      <c r="P73" s="13">
        <f t="shared" si="87"/>
        <v>1.5870730813698654E-12</v>
      </c>
      <c r="Q73" s="20">
        <f t="shared" si="54"/>
        <v>2.9494845662396269E-12</v>
      </c>
      <c r="R73" s="59">
        <f t="shared" si="55"/>
        <v>293.33333333333627</v>
      </c>
      <c r="S73" s="59">
        <f ca="1">AVERAGE(OFFSET($R$3,0,0,'Données projet'!$E$9+1,1))-AVERAGE(OFFSET($H$3,0,0,'Données projet'!$E$9+1,1))</f>
        <v>234.83702199169585</v>
      </c>
      <c r="T73" s="59">
        <f t="shared" si="88"/>
        <v>248.83008816685089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165.92725833795279</v>
      </c>
      <c r="AA73" s="21">
        <f>EXP(-LN(2)/25)*AA72+(1-EXP(-LN(2)/25))/(LN(2)/25)*Calculateur!V73*Calculateur!X73*VLOOKUP('Données projet'!$B$9,Paramètres!$A$1:$I$89,3,0)*0.475*44/12</f>
        <v>37.948620846444264</v>
      </c>
      <c r="AB73" s="21">
        <f>EXP(-LN(2)/2)*AB72+(1-EXP(-LN(2)/2))/(LN(2)/2)*V73*Y73*VLOOKUP('Données projet'!$B$9,Paramètres!$A$1:$I$89,3,0)*0.475*44/12</f>
        <v>0.10593402499163229</v>
      </c>
      <c r="AC73" s="22">
        <f t="shared" si="57"/>
        <v>203.98181320938869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773</v>
      </c>
      <c r="AG73" s="12">
        <f>VLOOKUP(A73,'Données projet'!$A$61:$I$81,9,0)</f>
        <v>18.2</v>
      </c>
      <c r="AH73" s="12">
        <f t="array" ref="AH73">INDEX(AG:AG,MIN(IF(ISNUMBER(AG73:AG269),ROW(AG73:AG269),"")))</f>
        <v>18.2</v>
      </c>
      <c r="AI73" s="13">
        <f>IF('Données projet'!$A$62&gt;35,AI72+AH73-AQ72,IF(A73&lt;'Données projet'!$A$62,$AF$205^A73,IF(A73='Données projet'!$A$62,'Données projet'!$B$62,AI72+AH73-AQ72)))</f>
        <v>773.00000000000045</v>
      </c>
      <c r="AJ73" s="13">
        <f>AI73*VLOOKUP('Données projet'!$B$10,Paramètres!$A$1:$I$89,3,0)*VLOOKUP('Données projet'!$B$10,Paramètres!$A$1:$I$89,5,0)</f>
        <v>311.51900000000018</v>
      </c>
      <c r="AK73" s="13">
        <f t="shared" si="89"/>
        <v>73.585967527198179</v>
      </c>
      <c r="AL73" s="20">
        <f t="shared" si="58"/>
        <v>670.72448510987044</v>
      </c>
      <c r="AM73" s="59">
        <f t="shared" si="59"/>
        <v>964.05781844320381</v>
      </c>
      <c r="AN73" s="59">
        <f ca="1">AVERAGE(OFFSET($AM$3,0,0,'Données projet'!$E$10+1,1))-AVERAGE(OFFSET($H$3,0,0,'Données projet'!$E$10+1,1))</f>
        <v>314.16268026911069</v>
      </c>
      <c r="AO73" s="59">
        <f t="shared" si="90"/>
        <v>265.23571072429735</v>
      </c>
      <c r="AP73" s="15">
        <f>IF(ISNA(VLOOKUP(A73,'Données projet'!$A$61:$I$81,3,0)),0,VLOOKUP(A73,'Données projet'!$A$61:$I$81,3,0))</f>
        <v>11</v>
      </c>
      <c r="AQ73" s="15">
        <f>IF(ISNA(VLOOKUP(A73,'Données projet'!$A$61:$I$81,4,0)),0,VLOOKUP(A73,'Données projet'!$A$61:$I$81,4,0))</f>
        <v>49</v>
      </c>
      <c r="AR73" s="16">
        <f>IF(ISNA(VLOOKUP(A73,'Données projet'!$A$61:$I$81,5,0)),0%,VLOOKUP(A73,'Données projet'!$A$61:$I$81,5,0)*VLOOKUP('Données projet'!$B$10,Paramètres!$A$1:$I$89,7,0))</f>
        <v>0.33</v>
      </c>
      <c r="AS73" s="16">
        <f>IF(ISNA(VLOOKUP(A73,'Données projet'!$A$61:$I$81,6,0)),0%,VLOOKUP(A73,'Données projet'!$A$61:$I$81,6,0)*VLOOKUP('Données projet'!$B$10,Paramètres!$A$1:$I$89,7,0))</f>
        <v>0.11000000000000001</v>
      </c>
      <c r="AT73" s="16">
        <f>IF(ISNA(VLOOKUP(A73,'Données projet'!$A$61:$I$81,7,0)),0%,VLOOKUP(A73,'Données projet'!$A$61:$I$81,7,0))</f>
        <v>0.2</v>
      </c>
      <c r="AU73" s="21">
        <f>EXP(-LN(2)/35)*AU72+(1-EXP(-LN(2)/35))/(LN(2)/35)*AQ73*AR73*VLOOKUP('Données projet'!$B$10,Paramètres!$A$1:$I$89,3,0)*0.475*44/12</f>
        <v>59.717772249059834</v>
      </c>
      <c r="AV73" s="21">
        <f>EXP(-LN(2)/25)*AV72+(1-EXP(-LN(2)/25))/(LN(2)/25)*Calculateur!AQ73*Calculateur!AS73*VLOOKUP('Données projet'!$B$10,Paramètres!$A$1:$I$89,3,0)*0.475*44/12</f>
        <v>26.40858175818985</v>
      </c>
      <c r="AW73" s="21">
        <f>EXP(-LN(2)/2)*AW72+(1-EXP(-LN(2)/2))/(LN(2)/2)*AQ73*AT73*VLOOKUP('Données projet'!$B$10,Paramètres!$A$1:$I$89,3,0)*0.475*44/12</f>
        <v>5.5097690298974467</v>
      </c>
      <c r="AX73" s="21">
        <f t="shared" si="60"/>
        <v>91.636123037147129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381.17774185449025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2.2737367544323206E-13</v>
      </c>
      <c r="O74" s="13">
        <f>N74*VLOOKUP('Données projet'!$B$9,Paramètres!$A$1:$I$89,3,0)*VLOOKUP('Données projet'!$B$9,Paramètres!$A$1:$I$89,5,0)</f>
        <v>1.064108801074326E-13</v>
      </c>
      <c r="P74" s="13">
        <f t="shared" si="87"/>
        <v>1.5870730813698654E-12</v>
      </c>
      <c r="Q74" s="20">
        <f t="shared" si="54"/>
        <v>2.9494845662396269E-12</v>
      </c>
      <c r="R74" s="59">
        <f t="shared" si="55"/>
        <v>293.33333333333627</v>
      </c>
      <c r="S74" s="59">
        <f ca="1">AVERAGE(OFFSET($R$3,0,0,'Données projet'!$E$9+1,1))-AVERAGE(OFFSET($H$3,0,0,'Données projet'!$E$9+1,1))</f>
        <v>234.83702199169585</v>
      </c>
      <c r="T74" s="59">
        <f t="shared" si="88"/>
        <v>248.83008816685089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162.67352600757991</v>
      </c>
      <c r="AA74" s="21">
        <f>EXP(-LN(2)/25)*AA73+(1-EXP(-LN(2)/25))/(LN(2)/25)*Calculateur!V74*Calculateur!X74*VLOOKUP('Données projet'!$B$9,Paramètres!$A$1:$I$89,3,0)*0.475*44/12</f>
        <v>36.91091381376701</v>
      </c>
      <c r="AB74" s="21">
        <f>EXP(-LN(2)/2)*AB73+(1-EXP(-LN(2)/2))/(LN(2)/2)*V74*Y74*VLOOKUP('Données projet'!$B$9,Paramètres!$A$1:$I$89,3,0)*0.475*44/12</f>
        <v>7.490666742996839E-2</v>
      </c>
      <c r="AC74" s="22">
        <f t="shared" si="57"/>
        <v>199.65934648877686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17</v>
      </c>
      <c r="AI74" s="13">
        <f>IF('Données projet'!$A$62&gt;35,AI73+AH74-AQ73,IF(A74&lt;'Données projet'!$A$62,$AF$205^A74,IF(A74='Données projet'!$A$62,'Données projet'!$B$62,AI73+AH74-AQ73)))</f>
        <v>741.00000000000045</v>
      </c>
      <c r="AJ74" s="13">
        <f>AI74*VLOOKUP('Données projet'!$B$10,Paramètres!$A$1:$I$89,3,0)*VLOOKUP('Données projet'!$B$10,Paramètres!$A$1:$I$89,5,0)</f>
        <v>298.62300000000022</v>
      </c>
      <c r="AK74" s="13">
        <f t="shared" si="89"/>
        <v>70.88771413720896</v>
      </c>
      <c r="AL74" s="20">
        <f t="shared" si="58"/>
        <v>643.56449378897264</v>
      </c>
      <c r="AM74" s="59">
        <f t="shared" si="59"/>
        <v>936.8978271223059</v>
      </c>
      <c r="AN74" s="59">
        <f ca="1">AVERAGE(OFFSET($AM$3,0,0,'Données projet'!$E$10+1,1))-AVERAGE(OFFSET($H$3,0,0,'Données projet'!$E$10+1,1))</f>
        <v>314.16268026911069</v>
      </c>
      <c r="AO74" s="59">
        <f t="shared" si="90"/>
        <v>265.23571072429735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58.546743159500245</v>
      </c>
      <c r="AV74" s="21">
        <f>EXP(-LN(2)/25)*AV73+(1-EXP(-LN(2)/25))/(LN(2)/25)*Calculateur!AQ74*Calculateur!AS74*VLOOKUP('Données projet'!$B$10,Paramètres!$A$1:$I$89,3,0)*0.475*44/12</f>
        <v>25.686437701245193</v>
      </c>
      <c r="AW74" s="21">
        <f>EXP(-LN(2)/2)*AW73+(1-EXP(-LN(2)/2))/(LN(2)/2)*AQ74*AT74*VLOOKUP('Données projet'!$B$10,Paramètres!$A$1:$I$89,3,0)*0.475*44/12</f>
        <v>3.8959950438121105</v>
      </c>
      <c r="AX74" s="21">
        <f t="shared" si="60"/>
        <v>88.129175904557542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382.38145599910195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2.2737367544323206E-13</v>
      </c>
      <c r="O75" s="13">
        <f>N75*VLOOKUP('Données projet'!$B$9,Paramètres!$A$1:$I$89,3,0)*VLOOKUP('Données projet'!$B$9,Paramètres!$A$1:$I$89,5,0)</f>
        <v>1.064108801074326E-13</v>
      </c>
      <c r="P75" s="13">
        <f t="shared" si="87"/>
        <v>1.5870730813698654E-12</v>
      </c>
      <c r="Q75" s="20">
        <f t="shared" si="54"/>
        <v>2.9494845662396269E-12</v>
      </c>
      <c r="R75" s="59">
        <f t="shared" si="55"/>
        <v>293.33333333333627</v>
      </c>
      <c r="S75" s="59">
        <f ca="1">AVERAGE(OFFSET($R$3,0,0,'Données projet'!$E$9+1,1))-AVERAGE(OFFSET($H$3,0,0,'Données projet'!$E$9+1,1))</f>
        <v>234.83702199169585</v>
      </c>
      <c r="T75" s="59">
        <f t="shared" si="88"/>
        <v>248.83008816685089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159.48359738362487</v>
      </c>
      <c r="AA75" s="21">
        <f>EXP(-LN(2)/25)*AA74+(1-EXP(-LN(2)/25))/(LN(2)/25)*Calculateur!V75*Calculateur!X75*VLOOKUP('Données projet'!$B$9,Paramètres!$A$1:$I$89,3,0)*0.475*44/12</f>
        <v>35.901582934468955</v>
      </c>
      <c r="AB75" s="21">
        <f>EXP(-LN(2)/2)*AB74+(1-EXP(-LN(2)/2))/(LN(2)/2)*V75*Y75*VLOOKUP('Données projet'!$B$9,Paramètres!$A$1:$I$89,3,0)*0.475*44/12</f>
        <v>5.2967012495816146E-2</v>
      </c>
      <c r="AC75" s="22">
        <f t="shared" si="57"/>
        <v>195.43814733058966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17</v>
      </c>
      <c r="AI75" s="13">
        <f>IF('Données projet'!$A$62&gt;35,AI74+AH75-AQ74,IF(A75&lt;'Données projet'!$A$62,$AF$205^A75,IF(A75='Données projet'!$A$62,'Données projet'!$B$62,AI74+AH75-AQ74)))</f>
        <v>758.00000000000045</v>
      </c>
      <c r="AJ75" s="13">
        <f>AI75*VLOOKUP('Données projet'!$B$10,Paramètres!$A$1:$I$89,3,0)*VLOOKUP('Données projet'!$B$10,Paramètres!$A$1:$I$89,5,0)</f>
        <v>305.47400000000016</v>
      </c>
      <c r="AK75" s="13">
        <f t="shared" si="89"/>
        <v>72.322813671358773</v>
      </c>
      <c r="AL75" s="20">
        <f t="shared" si="58"/>
        <v>657.9961171442834</v>
      </c>
      <c r="AM75" s="59">
        <f t="shared" si="59"/>
        <v>951.32945047761677</v>
      </c>
      <c r="AN75" s="59">
        <f ca="1">AVERAGE(OFFSET($AM$3,0,0,'Données projet'!$E$10+1,1))-AVERAGE(OFFSET($H$3,0,0,'Données projet'!$E$10+1,1))</f>
        <v>314.16268026911069</v>
      </c>
      <c r="AO75" s="59">
        <f t="shared" si="90"/>
        <v>265.23571072429735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57.398677236129707</v>
      </c>
      <c r="AV75" s="21">
        <f>EXP(-LN(2)/25)*AV74+(1-EXP(-LN(2)/25))/(LN(2)/25)*Calculateur!AQ75*Calculateur!AS75*VLOOKUP('Données projet'!$B$10,Paramètres!$A$1:$I$89,3,0)*0.475*44/12</f>
        <v>24.984040711513593</v>
      </c>
      <c r="AW75" s="21">
        <f>EXP(-LN(2)/2)*AW74+(1-EXP(-LN(2)/2))/(LN(2)/2)*AQ75*AT75*VLOOKUP('Données projet'!$B$10,Paramètres!$A$1:$I$89,3,0)*0.475*44/12</f>
        <v>2.7548845149487238</v>
      </c>
      <c r="AX75" s="21">
        <f t="shared" si="60"/>
        <v>85.137602462592028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383.58476182460123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2.2737367544323206E-13</v>
      </c>
      <c r="O76" s="13">
        <f>N76*VLOOKUP('Données projet'!$B$9,Paramètres!$A$1:$I$89,3,0)*VLOOKUP('Données projet'!$B$9,Paramètres!$A$1:$I$89,5,0)</f>
        <v>1.064108801074326E-13</v>
      </c>
      <c r="P76" s="13">
        <f t="shared" si="87"/>
        <v>1.5870730813698654E-12</v>
      </c>
      <c r="Q76" s="20">
        <f t="shared" si="54"/>
        <v>2.9494845662396269E-12</v>
      </c>
      <c r="R76" s="59">
        <f t="shared" si="55"/>
        <v>293.33333333333627</v>
      </c>
      <c r="S76" s="59">
        <f ca="1">AVERAGE(OFFSET($R$3,0,0,'Données projet'!$E$9+1,1))-AVERAGE(OFFSET($H$3,0,0,'Données projet'!$E$9+1,1))</f>
        <v>234.83702199169585</v>
      </c>
      <c r="T76" s="59">
        <f t="shared" si="88"/>
        <v>248.83008816685089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156.35622131432123</v>
      </c>
      <c r="AA76" s="21">
        <f>EXP(-LN(2)/25)*AA75+(1-EXP(-LN(2)/25))/(LN(2)/25)*Calculateur!V76*Calculateur!X76*VLOOKUP('Données projet'!$B$9,Paramètres!$A$1:$I$89,3,0)*0.475*44/12</f>
        <v>34.91985226114371</v>
      </c>
      <c r="AB76" s="21">
        <f>EXP(-LN(2)/2)*AB75+(1-EXP(-LN(2)/2))/(LN(2)/2)*V76*Y76*VLOOKUP('Données projet'!$B$9,Paramètres!$A$1:$I$89,3,0)*0.475*44/12</f>
        <v>3.7453333714984195E-2</v>
      </c>
      <c r="AC76" s="22">
        <f t="shared" si="57"/>
        <v>191.31352690917993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17</v>
      </c>
      <c r="AI76" s="13">
        <f>IF('Données projet'!$A$62&gt;35,AI75+AH76-AQ75,IF(A76&lt;'Données projet'!$A$62,$AF$205^A76,IF(A76='Données projet'!$A$62,'Données projet'!$B$62,AI75+AH76-AQ75)))</f>
        <v>775.00000000000045</v>
      </c>
      <c r="AJ76" s="13">
        <f>AI76*VLOOKUP('Données projet'!$B$10,Paramètres!$A$1:$I$89,3,0)*VLOOKUP('Données projet'!$B$10,Paramètres!$A$1:$I$89,5,0)</f>
        <v>312.32500000000022</v>
      </c>
      <c r="AK76" s="13">
        <f t="shared" si="89"/>
        <v>73.754171354844971</v>
      </c>
      <c r="AL76" s="20">
        <f t="shared" si="58"/>
        <v>672.42122344302209</v>
      </c>
      <c r="AM76" s="59">
        <f t="shared" si="59"/>
        <v>965.75455677635546</v>
      </c>
      <c r="AN76" s="59">
        <f ca="1">AVERAGE(OFFSET($AM$3,0,0,'Données projet'!$E$10+1,1))-AVERAGE(OFFSET($H$3,0,0,'Données projet'!$E$10+1,1))</f>
        <v>314.16268026911069</v>
      </c>
      <c r="AO76" s="59">
        <f t="shared" si="90"/>
        <v>265.23571072429735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56.273124185265395</v>
      </c>
      <c r="AV76" s="21">
        <f>EXP(-LN(2)/25)*AV75+(1-EXP(-LN(2)/25))/(LN(2)/25)*Calculateur!AQ76*Calculateur!AS76*VLOOKUP('Données projet'!$B$10,Paramètres!$A$1:$I$89,3,0)*0.475*44/12</f>
        <v>24.300850804403655</v>
      </c>
      <c r="AW76" s="21">
        <f>EXP(-LN(2)/2)*AW75+(1-EXP(-LN(2)/2))/(LN(2)/2)*AQ76*AT76*VLOOKUP('Données projet'!$B$10,Paramètres!$A$1:$I$89,3,0)*0.475*44/12</f>
        <v>1.9479975219060555</v>
      </c>
      <c r="AX76" s="21">
        <f t="shared" si="60"/>
        <v>82.521972511575115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384.78766557089068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2.2737367544323206E-13</v>
      </c>
      <c r="O77" s="13">
        <f>N77*VLOOKUP('Données projet'!$B$9,Paramètres!$A$1:$I$89,3,0)*VLOOKUP('Données projet'!$B$9,Paramètres!$A$1:$I$89,5,0)</f>
        <v>1.064108801074326E-13</v>
      </c>
      <c r="P77" s="13">
        <f t="shared" si="87"/>
        <v>1.5870730813698654E-12</v>
      </c>
      <c r="Q77" s="20">
        <f t="shared" si="54"/>
        <v>2.9494845662396269E-12</v>
      </c>
      <c r="R77" s="59">
        <f t="shared" si="55"/>
        <v>293.33333333333627</v>
      </c>
      <c r="S77" s="59">
        <f ca="1">AVERAGE(OFFSET($R$3,0,0,'Données projet'!$E$9+1,1))-AVERAGE(OFFSET($H$3,0,0,'Données projet'!$E$9+1,1))</f>
        <v>234.83702199169585</v>
      </c>
      <c r="T77" s="59">
        <f t="shared" si="88"/>
        <v>248.83008816685089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153.29017118222561</v>
      </c>
      <c r="AA77" s="21">
        <f>EXP(-LN(2)/25)*AA76+(1-EXP(-LN(2)/25))/(LN(2)/25)*Calculateur!V77*Calculateur!X77*VLOOKUP('Données projet'!$B$9,Paramètres!$A$1:$I$89,3,0)*0.475*44/12</f>
        <v>33.964967064707515</v>
      </c>
      <c r="AB77" s="21">
        <f>EXP(-LN(2)/2)*AB76+(1-EXP(-LN(2)/2))/(LN(2)/2)*V77*Y77*VLOOKUP('Données projet'!$B$9,Paramètres!$A$1:$I$89,3,0)*0.475*44/12</f>
        <v>2.6483506247908073E-2</v>
      </c>
      <c r="AC77" s="22">
        <f t="shared" si="57"/>
        <v>187.28162175318101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17</v>
      </c>
      <c r="AI77" s="13">
        <f>IF('Données projet'!$A$62&gt;35,AI76+AH77-AQ76,IF(A77&lt;'Données projet'!$A$62,$AF$205^A77,IF(A77='Données projet'!$A$62,'Données projet'!$B$62,AI76+AH77-AQ76)))</f>
        <v>792.00000000000045</v>
      </c>
      <c r="AJ77" s="13">
        <f>AI77*VLOOKUP('Données projet'!$B$10,Paramètres!$A$1:$I$89,3,0)*VLOOKUP('Données projet'!$B$10,Paramètres!$A$1:$I$89,5,0)</f>
        <v>319.17600000000022</v>
      </c>
      <c r="AK77" s="13">
        <f t="shared" si="89"/>
        <v>75.181878718947743</v>
      </c>
      <c r="AL77" s="20">
        <f t="shared" si="58"/>
        <v>686.83997210216774</v>
      </c>
      <c r="AM77" s="59">
        <f t="shared" si="59"/>
        <v>980.17330543550111</v>
      </c>
      <c r="AN77" s="59">
        <f ca="1">AVERAGE(OFFSET($AM$3,0,0,'Données projet'!$E$10+1,1))-AVERAGE(OFFSET($H$3,0,0,'Données projet'!$E$10+1,1))</f>
        <v>314.16268026911069</v>
      </c>
      <c r="AO77" s="59">
        <f t="shared" si="90"/>
        <v>265.23571072429735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55.169642543208958</v>
      </c>
      <c r="AV77" s="21">
        <f>EXP(-LN(2)/25)*AV76+(1-EXP(-LN(2)/25))/(LN(2)/25)*Calculateur!AQ77*Calculateur!AS77*VLOOKUP('Données projet'!$B$10,Paramètres!$A$1:$I$89,3,0)*0.475*44/12</f>
        <v>23.636342761231035</v>
      </c>
      <c r="AW77" s="21">
        <f>EXP(-LN(2)/2)*AW76+(1-EXP(-LN(2)/2))/(LN(2)/2)*AQ77*AT77*VLOOKUP('Données projet'!$B$10,Paramètres!$A$1:$I$89,3,0)*0.475*44/12</f>
        <v>1.3774422574743621</v>
      </c>
      <c r="AX77" s="21">
        <f t="shared" si="60"/>
        <v>80.183427561914343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385.99017329953574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2.2737367544323206E-13</v>
      </c>
      <c r="O78" s="13">
        <f>N78*VLOOKUP('Données projet'!$B$9,Paramètres!$A$1:$I$89,3,0)*VLOOKUP('Données projet'!$B$9,Paramètres!$A$1:$I$89,5,0)</f>
        <v>1.064108801074326E-13</v>
      </c>
      <c r="P78" s="13">
        <f t="shared" si="87"/>
        <v>1.5870730813698654E-12</v>
      </c>
      <c r="Q78" s="20">
        <f t="shared" si="54"/>
        <v>2.9494845662396269E-12</v>
      </c>
      <c r="R78" s="59">
        <f t="shared" si="55"/>
        <v>293.33333333333627</v>
      </c>
      <c r="S78" s="59">
        <f ca="1">AVERAGE(OFFSET($R$3,0,0,'Données projet'!$E$9+1,1))-AVERAGE(OFFSET($H$3,0,0,'Données projet'!$E$9+1,1))</f>
        <v>234.83702199169585</v>
      </c>
      <c r="T78" s="59">
        <f t="shared" si="88"/>
        <v>248.83008816685089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150.28424442311444</v>
      </c>
      <c r="AA78" s="21">
        <f>EXP(-LN(2)/25)*AA77+(1-EXP(-LN(2)/25))/(LN(2)/25)*Calculateur!V78*Calculateur!X78*VLOOKUP('Données projet'!$B$9,Paramètres!$A$1:$I$89,3,0)*0.475*44/12</f>
        <v>33.036193254183097</v>
      </c>
      <c r="AB78" s="21">
        <f>EXP(-LN(2)/2)*AB77+(1-EXP(-LN(2)/2))/(LN(2)/2)*V78*Y78*VLOOKUP('Données projet'!$B$9,Paramètres!$A$1:$I$89,3,0)*0.475*44/12</f>
        <v>1.8726666857492098E-2</v>
      </c>
      <c r="AC78" s="22">
        <f t="shared" si="57"/>
        <v>183.33916434415505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>
        <f>VLOOKUP(A78,'Données projet'!$A$61:$I$81,2,0)</f>
        <v>809</v>
      </c>
      <c r="AG78" s="12">
        <f>VLOOKUP(A78,'Données projet'!$A$61:$I$81,9,0)</f>
        <v>17</v>
      </c>
      <c r="AH78" s="12">
        <f t="array" ref="AH78">INDEX(AG:AG,MIN(IF(ISNUMBER(AG78:AG274),ROW(AG78:AG274),"")))</f>
        <v>17</v>
      </c>
      <c r="AI78" s="13">
        <f>IF('Données projet'!$A$62&gt;35,AI77+AH78-AQ77,IF(A78&lt;'Données projet'!$A$62,$AF$205^A78,IF(A78='Données projet'!$A$62,'Données projet'!$B$62,AI77+AH78-AQ77)))</f>
        <v>809.00000000000045</v>
      </c>
      <c r="AJ78" s="13">
        <f>AI78*VLOOKUP('Données projet'!$B$10,Paramètres!$A$1:$I$89,3,0)*VLOOKUP('Données projet'!$B$10,Paramètres!$A$1:$I$89,5,0)</f>
        <v>326.02700000000016</v>
      </c>
      <c r="AK78" s="13">
        <f t="shared" si="89"/>
        <v>76.606023141116538</v>
      </c>
      <c r="AL78" s="20">
        <f t="shared" si="58"/>
        <v>701.25251530411163</v>
      </c>
      <c r="AM78" s="59">
        <f t="shared" si="59"/>
        <v>994.585848637445</v>
      </c>
      <c r="AN78" s="59">
        <f ca="1">AVERAGE(OFFSET($AM$3,0,0,'Données projet'!$E$10+1,1))-AVERAGE(OFFSET($H$3,0,0,'Données projet'!$E$10+1,1))</f>
        <v>314.16268026911069</v>
      </c>
      <c r="AO78" s="59">
        <f t="shared" si="90"/>
        <v>265.23571072429735</v>
      </c>
      <c r="AP78" s="15">
        <f>IF(ISNA(VLOOKUP(A78,'Données projet'!$A$61:$I$81,3,0)),0,VLOOKUP(A78,'Données projet'!$A$61:$I$81,3,0))</f>
        <v>12</v>
      </c>
      <c r="AQ78" s="15">
        <f>IF(ISNA(VLOOKUP(A78,'Données projet'!$A$61:$I$81,4,0)),0,VLOOKUP(A78,'Données projet'!$A$61:$I$81,4,0))</f>
        <v>47</v>
      </c>
      <c r="AR78" s="16">
        <f>IF(ISNA(VLOOKUP(A78,'Données projet'!$A$61:$I$81,5,0)),0%,VLOOKUP(A78,'Données projet'!$A$61:$I$81,5,0)*VLOOKUP('Données projet'!$B$10,Paramètres!$A$1:$I$89,7,0))</f>
        <v>0.33</v>
      </c>
      <c r="AS78" s="16">
        <f>IF(ISNA(VLOOKUP(A78,'Données projet'!$A$61:$I$81,6,0)),0%,VLOOKUP(A78,'Données projet'!$A$61:$I$81,6,0)*VLOOKUP('Données projet'!$B$10,Paramètres!$A$1:$I$89,7,0))</f>
        <v>0.11000000000000001</v>
      </c>
      <c r="AT78" s="16">
        <f>IF(ISNA(VLOOKUP(A78,'Données projet'!$A$61:$I$81,7,0)),0%,VLOOKUP(A78,'Données projet'!$A$61:$I$81,7,0))</f>
        <v>0.2</v>
      </c>
      <c r="AU78" s="21">
        <f>EXP(-LN(2)/35)*AU77+(1-EXP(-LN(2)/35))/(LN(2)/35)*AQ78*AR78*VLOOKUP('Données projet'!$B$10,Paramètres!$A$1:$I$89,3,0)*0.475*44/12</f>
        <v>62.379530428754414</v>
      </c>
      <c r="AV78" s="21">
        <f>EXP(-LN(2)/25)*AV77+(1-EXP(-LN(2)/25))/(LN(2)/25)*Calculateur!AQ78*Calculateur!AS78*VLOOKUP('Données projet'!$B$10,Paramètres!$A$1:$I$89,3,0)*0.475*44/12</f>
        <v>25.7430334659796</v>
      </c>
      <c r="AW78" s="21">
        <f>EXP(-LN(2)/2)*AW77+(1-EXP(-LN(2)/2))/(LN(2)/2)*AQ78*AT78*VLOOKUP('Données projet'!$B$10,Paramètres!$A$1:$I$89,3,0)*0.475*44/12</f>
        <v>5.2631211504427853</v>
      </c>
      <c r="AX78" s="21">
        <f t="shared" si="60"/>
        <v>93.3856850451768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387.19229090117022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2.2737367544323206E-13</v>
      </c>
      <c r="O79" s="13">
        <f>N79*VLOOKUP('Données projet'!$B$9,Paramètres!$A$1:$I$89,3,0)*VLOOKUP('Données projet'!$B$9,Paramètres!$A$1:$I$89,5,0)</f>
        <v>1.064108801074326E-13</v>
      </c>
      <c r="P79" s="13">
        <f t="shared" si="87"/>
        <v>1.5870730813698654E-12</v>
      </c>
      <c r="Q79" s="20">
        <f t="shared" si="54"/>
        <v>2.9494845662396269E-12</v>
      </c>
      <c r="R79" s="59">
        <f t="shared" si="55"/>
        <v>293.33333333333627</v>
      </c>
      <c r="S79" s="59">
        <f ca="1">AVERAGE(OFFSET($R$3,0,0,'Données projet'!$E$9+1,1))-AVERAGE(OFFSET($H$3,0,0,'Données projet'!$E$9+1,1))</f>
        <v>234.83702199169585</v>
      </c>
      <c r="T79" s="59">
        <f t="shared" si="88"/>
        <v>248.83008816685089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147.33726205431518</v>
      </c>
      <c r="AA79" s="21">
        <f>EXP(-LN(2)/25)*AA78+(1-EXP(-LN(2)/25))/(LN(2)/25)*Calculateur!V79*Calculateur!X79*VLOOKUP('Données projet'!$B$9,Paramètres!$A$1:$I$89,3,0)*0.475*44/12</f>
        <v>32.13281681234956</v>
      </c>
      <c r="AB79" s="21">
        <f>EXP(-LN(2)/2)*AB78+(1-EXP(-LN(2)/2))/(LN(2)/2)*V79*Y79*VLOOKUP('Données projet'!$B$9,Paramètres!$A$1:$I$89,3,0)*0.475*44/12</f>
        <v>1.3241753123954036E-2</v>
      </c>
      <c r="AC79" s="22">
        <f t="shared" si="57"/>
        <v>179.48332061978869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15.6</v>
      </c>
      <c r="AI79" s="13">
        <f>IF('Données projet'!$A$62&gt;35,AI78+AH79-AQ78,IF(A79&lt;'Données projet'!$A$62,$AF$205^A79,IF(A79='Données projet'!$A$62,'Données projet'!$B$62,AI78+AH79-AQ78)))</f>
        <v>777.60000000000048</v>
      </c>
      <c r="AJ79" s="13">
        <f>AI79*VLOOKUP('Données projet'!$B$10,Paramètres!$A$1:$I$89,3,0)*VLOOKUP('Données projet'!$B$10,Paramètres!$A$1:$I$89,5,0)</f>
        <v>313.37280000000021</v>
      </c>
      <c r="AK79" s="13">
        <f t="shared" si="89"/>
        <v>73.972760827003711</v>
      </c>
      <c r="AL79" s="20">
        <f t="shared" si="58"/>
        <v>674.62685177369838</v>
      </c>
      <c r="AM79" s="59">
        <f t="shared" si="59"/>
        <v>967.96018510703175</v>
      </c>
      <c r="AN79" s="59">
        <f ca="1">AVERAGE(OFFSET($AM$3,0,0,'Données projet'!$E$10+1,1))-AVERAGE(OFFSET($H$3,0,0,'Données projet'!$E$10+1,1))</f>
        <v>314.16268026911069</v>
      </c>
      <c r="AO79" s="59">
        <f t="shared" si="90"/>
        <v>265.23571072429735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61.156305884803196</v>
      </c>
      <c r="AV79" s="21">
        <f>EXP(-LN(2)/25)*AV78+(1-EXP(-LN(2)/25))/(LN(2)/25)*Calculateur!AQ79*Calculateur!AS79*VLOOKUP('Données projet'!$B$10,Paramètres!$A$1:$I$89,3,0)*0.475*44/12</f>
        <v>25.039088862085094</v>
      </c>
      <c r="AW79" s="21">
        <f>EXP(-LN(2)/2)*AW78+(1-EXP(-LN(2)/2))/(LN(2)/2)*AQ79*AT79*VLOOKUP('Données projet'!$B$10,Paramètres!$A$1:$I$89,3,0)*0.475*44/12</f>
        <v>3.7215886556844371</v>
      </c>
      <c r="AX79" s="21">
        <f t="shared" si="60"/>
        <v>89.91698340257274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388.39402410250074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2.2737367544323206E-13</v>
      </c>
      <c r="O80" s="13">
        <f>N80*VLOOKUP('Données projet'!$B$9,Paramètres!$A$1:$I$89,3,0)*VLOOKUP('Données projet'!$B$9,Paramètres!$A$1:$I$89,5,0)</f>
        <v>1.064108801074326E-13</v>
      </c>
      <c r="P80" s="13">
        <f t="shared" si="87"/>
        <v>1.5870730813698654E-12</v>
      </c>
      <c r="Q80" s="20">
        <f t="shared" si="54"/>
        <v>2.9494845662396269E-12</v>
      </c>
      <c r="R80" s="59">
        <f t="shared" si="55"/>
        <v>293.33333333333627</v>
      </c>
      <c r="S80" s="59">
        <f ca="1">AVERAGE(OFFSET($R$3,0,0,'Données projet'!$E$9+1,1))-AVERAGE(OFFSET($H$3,0,0,'Données projet'!$E$9+1,1))</f>
        <v>234.83702199169585</v>
      </c>
      <c r="T80" s="59">
        <f t="shared" si="88"/>
        <v>248.83008816685089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144.4480682122863</v>
      </c>
      <c r="AA80" s="21">
        <f>EXP(-LN(2)/25)*AA79+(1-EXP(-LN(2)/25))/(LN(2)/25)*Calculateur!V80*Calculateur!X80*VLOOKUP('Données projet'!$B$9,Paramètres!$A$1:$I$89,3,0)*0.475*44/12</f>
        <v>31.254143246824466</v>
      </c>
      <c r="AB80" s="21">
        <f>EXP(-LN(2)/2)*AB79+(1-EXP(-LN(2)/2))/(LN(2)/2)*V80*Y80*VLOOKUP('Données projet'!$B$9,Paramètres!$A$1:$I$89,3,0)*0.475*44/12</f>
        <v>9.3633334287460488E-3</v>
      </c>
      <c r="AC80" s="22">
        <f t="shared" si="57"/>
        <v>175.71157479253952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15.6</v>
      </c>
      <c r="AI80" s="13">
        <f>IF('Données projet'!$A$62&gt;35,AI79+AH80-AQ79,IF(A80&lt;'Données projet'!$A$62,$AF$205^A80,IF(A80='Données projet'!$A$62,'Données projet'!$B$62,AI79+AH80-AQ79)))</f>
        <v>793.2000000000005</v>
      </c>
      <c r="AJ80" s="13">
        <f>AI80*VLOOKUP('Données projet'!$B$10,Paramètres!$A$1:$I$89,3,0)*VLOOKUP('Données projet'!$B$10,Paramètres!$A$1:$I$89,5,0)</f>
        <v>319.65960000000024</v>
      </c>
      <c r="AK80" s="13">
        <f t="shared" si="89"/>
        <v>75.282522436153386</v>
      </c>
      <c r="AL80" s="20">
        <f t="shared" si="58"/>
        <v>687.8575299096342</v>
      </c>
      <c r="AM80" s="59">
        <f t="shared" si="59"/>
        <v>981.19086324296745</v>
      </c>
      <c r="AN80" s="59">
        <f ca="1">AVERAGE(OFFSET($AM$3,0,0,'Données projet'!$E$10+1,1))-AVERAGE(OFFSET($H$3,0,0,'Données projet'!$E$10+1,1))</f>
        <v>314.16268026911069</v>
      </c>
      <c r="AO80" s="59">
        <f t="shared" si="90"/>
        <v>265.23571072429735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59.957068028065564</v>
      </c>
      <c r="AV80" s="21">
        <f>EXP(-LN(2)/25)*AV79+(1-EXP(-LN(2)/25))/(LN(2)/25)*Calculateur!AQ80*Calculateur!AS80*VLOOKUP('Données projet'!$B$10,Paramètres!$A$1:$I$89,3,0)*0.475*44/12</f>
        <v>24.354393660402923</v>
      </c>
      <c r="AW80" s="21">
        <f>EXP(-LN(2)/2)*AW79+(1-EXP(-LN(2)/2))/(LN(2)/2)*AQ80*AT80*VLOOKUP('Données projet'!$B$10,Paramètres!$A$1:$I$89,3,0)*0.475*44/12</f>
        <v>2.6315605752213931</v>
      </c>
      <c r="AX80" s="21">
        <f t="shared" si="60"/>
        <v>86.943022263689883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389.59537847293694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2.2737367544323206E-13</v>
      </c>
      <c r="O81" s="13">
        <f>N81*VLOOKUP('Données projet'!$B$9,Paramètres!$A$1:$I$89,3,0)*VLOOKUP('Données projet'!$B$9,Paramètres!$A$1:$I$89,5,0)</f>
        <v>1.064108801074326E-13</v>
      </c>
      <c r="P81" s="13">
        <f t="shared" si="87"/>
        <v>1.5870730813698654E-12</v>
      </c>
      <c r="Q81" s="20">
        <f t="shared" si="54"/>
        <v>2.9494845662396269E-12</v>
      </c>
      <c r="R81" s="59">
        <f t="shared" si="55"/>
        <v>293.33333333333627</v>
      </c>
      <c r="S81" s="59">
        <f ca="1">AVERAGE(OFFSET($R$3,0,0,'Données projet'!$E$9+1,1))-AVERAGE(OFFSET($H$3,0,0,'Données projet'!$E$9+1,1))</f>
        <v>234.83702199169585</v>
      </c>
      <c r="T81" s="59">
        <f t="shared" si="88"/>
        <v>248.83008816685089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141.61552969926538</v>
      </c>
      <c r="AA81" s="21">
        <f>EXP(-LN(2)/25)*AA80+(1-EXP(-LN(2)/25))/(LN(2)/25)*Calculateur!V81*Calculateur!X81*VLOOKUP('Données projet'!$B$9,Paramètres!$A$1:$I$89,3,0)*0.475*44/12</f>
        <v>30.39949705615609</v>
      </c>
      <c r="AB81" s="21">
        <f>EXP(-LN(2)/2)*AB80+(1-EXP(-LN(2)/2))/(LN(2)/2)*V81*Y81*VLOOKUP('Données projet'!$B$9,Paramètres!$A$1:$I$89,3,0)*0.475*44/12</f>
        <v>6.6208765619770182E-3</v>
      </c>
      <c r="AC81" s="22">
        <f t="shared" si="57"/>
        <v>172.02164763198346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15.6</v>
      </c>
      <c r="AI81" s="13">
        <f>IF('Données projet'!$A$62&gt;35,AI80+AH81-AQ80,IF(A81&lt;'Données projet'!$A$62,$AF$205^A81,IF(A81='Données projet'!$A$62,'Données projet'!$B$62,AI80+AH81-AQ80)))</f>
        <v>808.80000000000052</v>
      </c>
      <c r="AJ81" s="13">
        <f>AI81*VLOOKUP('Données projet'!$B$10,Paramètres!$A$1:$I$89,3,0)*VLOOKUP('Données projet'!$B$10,Paramètres!$A$1:$I$89,5,0)</f>
        <v>325.94640000000021</v>
      </c>
      <c r="AK81" s="13">
        <f t="shared" si="89"/>
        <v>76.589288887456121</v>
      </c>
      <c r="AL81" s="20">
        <f t="shared" si="58"/>
        <v>701.0829914789864</v>
      </c>
      <c r="AM81" s="59">
        <f t="shared" si="59"/>
        <v>994.41632481231977</v>
      </c>
      <c r="AN81" s="59">
        <f ca="1">AVERAGE(OFFSET($AM$3,0,0,'Données projet'!$E$10+1,1))-AVERAGE(OFFSET($H$3,0,0,'Données projet'!$E$10+1,1))</f>
        <v>314.16268026911069</v>
      </c>
      <c r="AO81" s="59">
        <f t="shared" si="90"/>
        <v>265.23571072429735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58.781346494235684</v>
      </c>
      <c r="AV81" s="21">
        <f>EXP(-LN(2)/25)*AV80+(1-EXP(-LN(2)/25))/(LN(2)/25)*Calculateur!AQ81*Calculateur!AS81*VLOOKUP('Données projet'!$B$10,Paramètres!$A$1:$I$89,3,0)*0.475*44/12</f>
        <v>23.688421485017304</v>
      </c>
      <c r="AW81" s="21">
        <f>EXP(-LN(2)/2)*AW80+(1-EXP(-LN(2)/2))/(LN(2)/2)*AQ81*AT81*VLOOKUP('Données projet'!$B$10,Paramètres!$A$1:$I$89,3,0)*0.475*44/12</f>
        <v>1.8607943278422188</v>
      </c>
      <c r="AX81" s="21">
        <f t="shared" si="60"/>
        <v>84.330562307095207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390.79635943087231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2.2737367544323206E-13</v>
      </c>
      <c r="O82" s="13">
        <f>N82*VLOOKUP('Données projet'!$B$9,Paramètres!$A$1:$I$89,3,0)*VLOOKUP('Données projet'!$B$9,Paramètres!$A$1:$I$89,5,0)</f>
        <v>1.064108801074326E-13</v>
      </c>
      <c r="P82" s="13">
        <f t="shared" si="87"/>
        <v>1.5870730813698654E-12</v>
      </c>
      <c r="Q82" s="20">
        <f t="shared" si="54"/>
        <v>2.9494845662396269E-12</v>
      </c>
      <c r="R82" s="59">
        <f t="shared" si="55"/>
        <v>293.33333333333627</v>
      </c>
      <c r="S82" s="59">
        <f ca="1">AVERAGE(OFFSET($R$3,0,0,'Données projet'!$E$9+1,1))-AVERAGE(OFFSET($H$3,0,0,'Données projet'!$E$9+1,1))</f>
        <v>234.83702199169585</v>
      </c>
      <c r="T82" s="59">
        <f t="shared" si="88"/>
        <v>248.83008816685089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138.83853553880689</v>
      </c>
      <c r="AA82" s="21">
        <f>EXP(-LN(2)/25)*AA81+(1-EXP(-LN(2)/25))/(LN(2)/25)*Calculateur!V82*Calculateur!X82*VLOOKUP('Données projet'!$B$9,Paramètres!$A$1:$I$89,3,0)*0.475*44/12</f>
        <v>29.568221210515432</v>
      </c>
      <c r="AB82" s="21">
        <f>EXP(-LN(2)/2)*AB81+(1-EXP(-LN(2)/2))/(LN(2)/2)*V82*Y82*VLOOKUP('Données projet'!$B$9,Paramètres!$A$1:$I$89,3,0)*0.475*44/12</f>
        <v>4.6816667143730244E-3</v>
      </c>
      <c r="AC82" s="22">
        <f t="shared" si="57"/>
        <v>168.41143841603667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15.6</v>
      </c>
      <c r="AI82" s="13">
        <f>IF('Données projet'!$A$62&gt;35,AI81+AH82-AQ81,IF(A82&lt;'Données projet'!$A$62,$AF$205^A82,IF(A82='Données projet'!$A$62,'Données projet'!$B$62,AI81+AH82-AQ81)))</f>
        <v>824.40000000000055</v>
      </c>
      <c r="AJ82" s="13">
        <f>AI82*VLOOKUP('Données projet'!$B$10,Paramètres!$A$1:$I$89,3,0)*VLOOKUP('Données projet'!$B$10,Paramètres!$A$1:$I$89,5,0)</f>
        <v>332.23320000000024</v>
      </c>
      <c r="AK82" s="13">
        <f t="shared" si="89"/>
        <v>77.893124611174727</v>
      </c>
      <c r="AL82" s="20">
        <f t="shared" si="58"/>
        <v>714.30334869779642</v>
      </c>
      <c r="AM82" s="59">
        <f t="shared" si="59"/>
        <v>1007.6366820311298</v>
      </c>
      <c r="AN82" s="59">
        <f ca="1">AVERAGE(OFFSET($AM$3,0,0,'Données projet'!$E$10+1,1))-AVERAGE(OFFSET($H$3,0,0,'Données projet'!$E$10+1,1))</f>
        <v>314.16268026911069</v>
      </c>
      <c r="AO82" s="59">
        <f t="shared" si="90"/>
        <v>265.23571072429735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57.628680142564889</v>
      </c>
      <c r="AV82" s="21">
        <f>EXP(-LN(2)/25)*AV81+(1-EXP(-LN(2)/25))/(LN(2)/25)*Calculateur!AQ82*Calculateur!AS82*VLOOKUP('Données projet'!$B$10,Paramètres!$A$1:$I$89,3,0)*0.475*44/12</f>
        <v>23.040660353789562</v>
      </c>
      <c r="AW82" s="21">
        <f>EXP(-LN(2)/2)*AW81+(1-EXP(-LN(2)/2))/(LN(2)/2)*AQ82*AT82*VLOOKUP('Données projet'!$B$10,Paramètres!$A$1:$I$89,3,0)*0.475*44/12</f>
        <v>1.3157802876106965</v>
      </c>
      <c r="AX82" s="21">
        <f t="shared" si="60"/>
        <v>81.985120783965144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391.99697224963751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2.2737367544323206E-13</v>
      </c>
      <c r="O83" s="13">
        <f>N83*VLOOKUP('Données projet'!$B$9,Paramètres!$A$1:$I$89,3,0)*VLOOKUP('Données projet'!$B$9,Paramètres!$A$1:$I$89,5,0)</f>
        <v>1.064108801074326E-13</v>
      </c>
      <c r="P83" s="13">
        <f t="shared" si="87"/>
        <v>1.5870730813698654E-12</v>
      </c>
      <c r="Q83" s="20">
        <f t="shared" si="54"/>
        <v>2.9494845662396269E-12</v>
      </c>
      <c r="R83" s="59">
        <f t="shared" si="55"/>
        <v>293.33333333333627</v>
      </c>
      <c r="S83" s="59">
        <f ca="1">AVERAGE(OFFSET($R$3,0,0,'Données projet'!$E$9+1,1))-AVERAGE(OFFSET($H$3,0,0,'Données projet'!$E$9+1,1))</f>
        <v>234.83702199169585</v>
      </c>
      <c r="T83" s="59">
        <f t="shared" si="88"/>
        <v>248.83008816685089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136.11599654003581</v>
      </c>
      <c r="AA83" s="21">
        <f>EXP(-LN(2)/25)*AA82+(1-EXP(-LN(2)/25))/(LN(2)/25)*Calculateur!V83*Calculateur!X83*VLOOKUP('Données projet'!$B$9,Paramètres!$A$1:$I$89,3,0)*0.475*44/12</f>
        <v>28.759676646588712</v>
      </c>
      <c r="AB83" s="21">
        <f>EXP(-LN(2)/2)*AB82+(1-EXP(-LN(2)/2))/(LN(2)/2)*V83*Y83*VLOOKUP('Données projet'!$B$9,Paramètres!$A$1:$I$89,3,0)*0.475*44/12</f>
        <v>3.3104382809885091E-3</v>
      </c>
      <c r="AC83" s="22">
        <f t="shared" si="57"/>
        <v>164.87898362490549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840</v>
      </c>
      <c r="AG83" s="12">
        <f>VLOOKUP(A83,'Données projet'!$A$61:$I$81,9,0)</f>
        <v>15.6</v>
      </c>
      <c r="AH83" s="12">
        <f t="array" ref="AH83">INDEX(AG:AG,MIN(IF(ISNUMBER(AG83:AG279),ROW(AG83:AG279),"")))</f>
        <v>15.6</v>
      </c>
      <c r="AI83" s="13">
        <f>IF('Données projet'!$A$62&gt;35,AI82+AH83-AQ82,IF(A83&lt;'Données projet'!$A$62,$AF$205^A83,IF(A83='Données projet'!$A$62,'Données projet'!$B$62,AI82+AH83-AQ82)))</f>
        <v>840.00000000000057</v>
      </c>
      <c r="AJ83" s="13">
        <f>AI83*VLOOKUP('Données projet'!$B$10,Paramètres!$A$1:$I$89,3,0)*VLOOKUP('Données projet'!$B$10,Paramètres!$A$1:$I$89,5,0)</f>
        <v>338.52000000000021</v>
      </c>
      <c r="AK83" s="13">
        <f t="shared" si="89"/>
        <v>79.194091459626776</v>
      </c>
      <c r="AL83" s="20">
        <f t="shared" si="58"/>
        <v>727.51870929218364</v>
      </c>
      <c r="AM83" s="59">
        <f t="shared" si="59"/>
        <v>1020.852042625517</v>
      </c>
      <c r="AN83" s="59">
        <f ca="1">AVERAGE(OFFSET($AM$3,0,0,'Données projet'!$E$10+1,1))-AVERAGE(OFFSET($H$3,0,0,'Données projet'!$E$10+1,1))</f>
        <v>314.16268026911069</v>
      </c>
      <c r="AO83" s="59">
        <f t="shared" si="90"/>
        <v>265.23571072429735</v>
      </c>
      <c r="AP83" s="15">
        <f>IF(ISNA(VLOOKUP(A83,'Données projet'!$A$61:$I$81,3,0)),0,VLOOKUP(A83,'Données projet'!$A$61:$I$81,3,0))</f>
        <v>13</v>
      </c>
      <c r="AQ83" s="15">
        <f>IF(ISNA(VLOOKUP(A83,'Données projet'!$A$61:$I$81,4,0)),0,VLOOKUP(A83,'Données projet'!$A$61:$I$81,4,0))</f>
        <v>840</v>
      </c>
      <c r="AR83" s="16">
        <f>IF(ISNA(VLOOKUP(A83,'Données projet'!$A$61:$I$81,5,0)),0%,VLOOKUP(A83,'Données projet'!$A$61:$I$81,5,0)*VLOOKUP('Données projet'!$B$10,Paramètres!$A$1:$I$89,7,0))</f>
        <v>0.33</v>
      </c>
      <c r="AS83" s="16">
        <f>IF(ISNA(VLOOKUP(A83,'Données projet'!$A$61:$I$81,6,0)),0%,VLOOKUP(A83,'Données projet'!$A$61:$I$81,6,0)*VLOOKUP('Données projet'!$B$10,Paramètres!$A$1:$I$89,7,0))</f>
        <v>0.11000000000000001</v>
      </c>
      <c r="AT83" s="16">
        <f>IF(ISNA(VLOOKUP(A83,'Données projet'!$A$61:$I$81,7,0)),0%,VLOOKUP(A83,'Données projet'!$A$61:$I$81,7,0))</f>
        <v>0.2</v>
      </c>
      <c r="AU83" s="21">
        <f>EXP(-LN(2)/35)*AU82+(1-EXP(-LN(2)/35))/(LN(2)/35)*AQ83*AR83*VLOOKUP('Données projet'!$B$10,Paramètres!$A$1:$I$89,3,0)*0.475*44/12</f>
        <v>204.69125469527305</v>
      </c>
      <c r="AV83" s="21">
        <f>EXP(-LN(2)/25)*AV82+(1-EXP(-LN(2)/25))/(LN(2)/25)*Calculateur!AQ83*Calculateur!AS83*VLOOKUP('Données projet'!$B$10,Paramètres!$A$1:$I$89,3,0)*0.475*44/12</f>
        <v>71.613661264545996</v>
      </c>
      <c r="AW83" s="21">
        <f>EXP(-LN(2)/2)*AW82+(1-EXP(-LN(2)/2))/(LN(2)/2)*AQ83*AT83*VLOOKUP('Données projet'!$B$10,Paramètres!$A$1:$I$89,3,0)*0.475*44/12</f>
        <v>77.587052635652952</v>
      </c>
      <c r="AX83" s="21">
        <f t="shared" si="60"/>
        <v>353.89196859547201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393.19722206314799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2.2737367544323206E-13</v>
      </c>
      <c r="O84" s="13">
        <f>N84*VLOOKUP('Données projet'!$B$9,Paramètres!$A$1:$I$89,3,0)*VLOOKUP('Données projet'!$B$9,Paramètres!$A$1:$I$89,5,0)</f>
        <v>1.064108801074326E-13</v>
      </c>
      <c r="P84" s="13">
        <f t="shared" si="87"/>
        <v>1.5870730813698654E-12</v>
      </c>
      <c r="Q84" s="20">
        <f t="shared" si="54"/>
        <v>2.9494845662396269E-12</v>
      </c>
      <c r="R84" s="59">
        <f t="shared" si="55"/>
        <v>293.33333333333627</v>
      </c>
      <c r="S84" s="59">
        <f ca="1">AVERAGE(OFFSET($R$3,0,0,'Données projet'!$E$9+1,1))-AVERAGE(OFFSET($H$3,0,0,'Données projet'!$E$9+1,1))</f>
        <v>234.83702199169585</v>
      </c>
      <c r="T84" s="59">
        <f t="shared" si="88"/>
        <v>248.83008816685089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133.4468448704458</v>
      </c>
      <c r="AA84" s="21">
        <f>EXP(-LN(2)/25)*AA83+(1-EXP(-LN(2)/25))/(LN(2)/25)*Calculateur!V84*Calculateur!X84*VLOOKUP('Données projet'!$B$9,Paramètres!$A$1:$I$89,3,0)*0.475*44/12</f>
        <v>27.97324177628208</v>
      </c>
      <c r="AB84" s="21">
        <f>EXP(-LN(2)/2)*AB83+(1-EXP(-LN(2)/2))/(LN(2)/2)*V84*Y84*VLOOKUP('Données projet'!$B$9,Paramètres!$A$1:$I$89,3,0)*0.475*44/12</f>
        <v>2.3408333571865122E-3</v>
      </c>
      <c r="AC84" s="22">
        <f t="shared" si="57"/>
        <v>161.42242748008508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5.6843418860808015E-13</v>
      </c>
      <c r="AJ84" s="13">
        <f>AI84*VLOOKUP('Données projet'!$B$10,Paramètres!$A$1:$I$89,3,0)*VLOOKUP('Données projet'!$B$10,Paramètres!$A$1:$I$89,5,0)</f>
        <v>2.2907897800905631E-13</v>
      </c>
      <c r="AK84" s="13">
        <f t="shared" si="89"/>
        <v>3.1248920576624499E-12</v>
      </c>
      <c r="AL84" s="20">
        <f t="shared" si="58"/>
        <v>5.8414995537945398E-12</v>
      </c>
      <c r="AM84" s="59">
        <f t="shared" si="59"/>
        <v>293.33333333333917</v>
      </c>
      <c r="AN84" s="59">
        <f ca="1">AVERAGE(OFFSET($AM$3,0,0,'Données projet'!$E$10+1,1))-AVERAGE(OFFSET($H$3,0,0,'Données projet'!$E$10+1,1))</f>
        <v>314.16268026911069</v>
      </c>
      <c r="AO84" s="59">
        <f t="shared" si="90"/>
        <v>265.23571072429735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200.67738404003626</v>
      </c>
      <c r="AV84" s="21">
        <f>EXP(-LN(2)/25)*AV83+(1-EXP(-LN(2)/25))/(LN(2)/25)*Calculateur!AQ84*Calculateur!AS84*VLOOKUP('Données projet'!$B$10,Paramètres!$A$1:$I$89,3,0)*0.475*44/12</f>
        <v>69.655381931268209</v>
      </c>
      <c r="AW84" s="21">
        <f>EXP(-LN(2)/2)*AW83+(1-EXP(-LN(2)/2))/(LN(2)/2)*AQ84*AT84*VLOOKUP('Données projet'!$B$10,Paramètres!$A$1:$I$89,3,0)*0.475*44/12</f>
        <v>54.862331050947802</v>
      </c>
      <c r="AX84" s="21">
        <f t="shared" si="60"/>
        <v>325.1950970222523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394.39711387126425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2.2737367544323206E-13</v>
      </c>
      <c r="O85" s="13">
        <f>N85*VLOOKUP('Données projet'!$B$9,Paramètres!$A$1:$I$89,3,0)*VLOOKUP('Données projet'!$B$9,Paramètres!$A$1:$I$89,5,0)</f>
        <v>1.064108801074326E-13</v>
      </c>
      <c r="P85" s="13">
        <f t="shared" si="87"/>
        <v>1.5870730813698654E-12</v>
      </c>
      <c r="Q85" s="20">
        <f t="shared" si="54"/>
        <v>2.9494845662396269E-12</v>
      </c>
      <c r="R85" s="59">
        <f t="shared" si="55"/>
        <v>293.33333333333627</v>
      </c>
      <c r="S85" s="59">
        <f ca="1">AVERAGE(OFFSET($R$3,0,0,'Données projet'!$E$9+1,1))-AVERAGE(OFFSET($H$3,0,0,'Données projet'!$E$9+1,1))</f>
        <v>234.83702199169585</v>
      </c>
      <c r="T85" s="59">
        <f t="shared" si="88"/>
        <v>248.83008816685089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130.83003363707468</v>
      </c>
      <c r="AA85" s="21">
        <f>EXP(-LN(2)/25)*AA84+(1-EXP(-LN(2)/25))/(LN(2)/25)*Calculateur!V85*Calculateur!X85*VLOOKUP('Données projet'!$B$9,Paramètres!$A$1:$I$89,3,0)*0.475*44/12</f>
        <v>27.208312008860794</v>
      </c>
      <c r="AB85" s="21">
        <f>EXP(-LN(2)/2)*AB84+(1-EXP(-LN(2)/2))/(LN(2)/2)*V85*Y85*VLOOKUP('Données projet'!$B$9,Paramètres!$A$1:$I$89,3,0)*0.475*44/12</f>
        <v>1.6552191404942546E-3</v>
      </c>
      <c r="AC85" s="22">
        <f t="shared" si="57"/>
        <v>158.04000086507597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5.6843418860808015E-13</v>
      </c>
      <c r="AJ85" s="13">
        <f>AI85*VLOOKUP('Données projet'!$B$10,Paramètres!$A$1:$I$89,3,0)*VLOOKUP('Données projet'!$B$10,Paramètres!$A$1:$I$89,5,0)</f>
        <v>2.2907897800905631E-13</v>
      </c>
      <c r="AK85" s="13">
        <f t="shared" si="89"/>
        <v>3.1248920576624499E-12</v>
      </c>
      <c r="AL85" s="20">
        <f t="shared" si="58"/>
        <v>5.8414995537945398E-12</v>
      </c>
      <c r="AM85" s="59">
        <f t="shared" si="59"/>
        <v>293.33333333333917</v>
      </c>
      <c r="AN85" s="59">
        <f ca="1">AVERAGE(OFFSET($AM$3,0,0,'Données projet'!$E$10+1,1))-AVERAGE(OFFSET($H$3,0,0,'Données projet'!$E$10+1,1))</f>
        <v>314.16268026911069</v>
      </c>
      <c r="AO85" s="59">
        <f t="shared" si="90"/>
        <v>265.23571072429735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196.7422229401293</v>
      </c>
      <c r="AV85" s="21">
        <f>EXP(-LN(2)/25)*AV84+(1-EXP(-LN(2)/25))/(LN(2)/25)*Calculateur!AQ85*Calculateur!AS85*VLOOKUP('Données projet'!$B$10,Paramètres!$A$1:$I$89,3,0)*0.475*44/12</f>
        <v>67.750651849340343</v>
      </c>
      <c r="AW85" s="21">
        <f>EXP(-LN(2)/2)*AW84+(1-EXP(-LN(2)/2))/(LN(2)/2)*AQ85*AT85*VLOOKUP('Données projet'!$B$10,Paramètres!$A$1:$I$89,3,0)*0.475*44/12</f>
        <v>38.793526317826483</v>
      </c>
      <c r="AX85" s="21">
        <f t="shared" si="60"/>
        <v>303.28640110729611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395.59665254488391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2.2737367544323206E-13</v>
      </c>
      <c r="O86" s="13">
        <f>N86*VLOOKUP('Données projet'!$B$9,Paramètres!$A$1:$I$89,3,0)*VLOOKUP('Données projet'!$B$9,Paramètres!$A$1:$I$89,5,0)</f>
        <v>1.064108801074326E-13</v>
      </c>
      <c r="P86" s="13">
        <f t="shared" si="87"/>
        <v>1.5870730813698654E-12</v>
      </c>
      <c r="Q86" s="20">
        <f t="shared" si="54"/>
        <v>2.9494845662396269E-12</v>
      </c>
      <c r="R86" s="59">
        <f t="shared" si="55"/>
        <v>293.33333333333627</v>
      </c>
      <c r="S86" s="59">
        <f ca="1">AVERAGE(OFFSET($R$3,0,0,'Données projet'!$E$9+1,1))-AVERAGE(OFFSET($H$3,0,0,'Données projet'!$E$9+1,1))</f>
        <v>234.83702199169585</v>
      </c>
      <c r="T86" s="59">
        <f t="shared" si="88"/>
        <v>248.83008816685089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128.26453647589273</v>
      </c>
      <c r="AA86" s="21">
        <f>EXP(-LN(2)/25)*AA85+(1-EXP(-LN(2)/25))/(LN(2)/25)*Calculateur!V86*Calculateur!X86*VLOOKUP('Données projet'!$B$9,Paramètres!$A$1:$I$89,3,0)*0.475*44/12</f>
        <v>26.464299286155551</v>
      </c>
      <c r="AB86" s="21">
        <f>EXP(-LN(2)/2)*AB85+(1-EXP(-LN(2)/2))/(LN(2)/2)*V86*Y86*VLOOKUP('Données projet'!$B$9,Paramètres!$A$1:$I$89,3,0)*0.475*44/12</f>
        <v>1.1704166785932561E-3</v>
      </c>
      <c r="AC86" s="22">
        <f t="shared" si="57"/>
        <v>154.73000617872688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5.6843418860808015E-13</v>
      </c>
      <c r="AJ86" s="13">
        <f>AI86*VLOOKUP('Données projet'!$B$10,Paramètres!$A$1:$I$89,3,0)*VLOOKUP('Données projet'!$B$10,Paramètres!$A$1:$I$89,5,0)</f>
        <v>2.2907897800905631E-13</v>
      </c>
      <c r="AK86" s="13">
        <f t="shared" si="89"/>
        <v>3.1248920576624499E-12</v>
      </c>
      <c r="AL86" s="20">
        <f t="shared" si="58"/>
        <v>5.8414995537945398E-12</v>
      </c>
      <c r="AM86" s="59">
        <f t="shared" si="59"/>
        <v>293.33333333333917</v>
      </c>
      <c r="AN86" s="59">
        <f ca="1">AVERAGE(OFFSET($AM$3,0,0,'Données projet'!$E$10+1,1))-AVERAGE(OFFSET($H$3,0,0,'Données projet'!$E$10+1,1))</f>
        <v>314.16268026911069</v>
      </c>
      <c r="AO86" s="59">
        <f t="shared" si="90"/>
        <v>265.23571072429735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192.88422794918026</v>
      </c>
      <c r="AV86" s="21">
        <f>EXP(-LN(2)/25)*AV85+(1-EXP(-LN(2)/25))/(LN(2)/25)*Calculateur!AQ86*Calculateur!AS86*VLOOKUP('Données projet'!$B$10,Paramètres!$A$1:$I$89,3,0)*0.475*44/12</f>
        <v>65.898006711668202</v>
      </c>
      <c r="AW86" s="21">
        <f>EXP(-LN(2)/2)*AW85+(1-EXP(-LN(2)/2))/(LN(2)/2)*AQ86*AT86*VLOOKUP('Données projet'!$B$10,Paramètres!$A$1:$I$89,3,0)*0.475*44/12</f>
        <v>27.431165525473904</v>
      </c>
      <c r="AX86" s="21">
        <f t="shared" si="60"/>
        <v>286.21340018632236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396.79584283078037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2.2737367544323206E-13</v>
      </c>
      <c r="O87" s="13">
        <f>N87*VLOOKUP('Données projet'!$B$9,Paramètres!$A$1:$I$89,3,0)*VLOOKUP('Données projet'!$B$9,Paramètres!$A$1:$I$89,5,0)</f>
        <v>1.064108801074326E-13</v>
      </c>
      <c r="P87" s="13">
        <f t="shared" si="87"/>
        <v>1.5870730813698654E-12</v>
      </c>
      <c r="Q87" s="20">
        <f t="shared" si="54"/>
        <v>2.9494845662396269E-12</v>
      </c>
      <c r="R87" s="59">
        <f t="shared" si="55"/>
        <v>293.33333333333627</v>
      </c>
      <c r="S87" s="59">
        <f ca="1">AVERAGE(OFFSET($R$3,0,0,'Données projet'!$E$9+1,1))-AVERAGE(OFFSET($H$3,0,0,'Données projet'!$E$9+1,1))</f>
        <v>234.83702199169585</v>
      </c>
      <c r="T87" s="59">
        <f t="shared" si="88"/>
        <v>248.83008816685089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125.74934714924279</v>
      </c>
      <c r="AA87" s="21">
        <f>EXP(-LN(2)/25)*AA86+(1-EXP(-LN(2)/25))/(LN(2)/25)*Calculateur!V87*Calculateur!X87*VLOOKUP('Données projet'!$B$9,Paramètres!$A$1:$I$89,3,0)*0.475*44/12</f>
        <v>25.740631630478614</v>
      </c>
      <c r="AB87" s="21">
        <f>EXP(-LN(2)/2)*AB86+(1-EXP(-LN(2)/2))/(LN(2)/2)*V87*Y87*VLOOKUP('Données projet'!$B$9,Paramètres!$A$1:$I$89,3,0)*0.475*44/12</f>
        <v>8.2760957024712728E-4</v>
      </c>
      <c r="AC87" s="22">
        <f t="shared" si="57"/>
        <v>151.49080638929166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5.6843418860808015E-13</v>
      </c>
      <c r="AJ87" s="13">
        <f>AI87*VLOOKUP('Données projet'!$B$10,Paramètres!$A$1:$I$89,3,0)*VLOOKUP('Données projet'!$B$10,Paramètres!$A$1:$I$89,5,0)</f>
        <v>2.2907897800905631E-13</v>
      </c>
      <c r="AK87" s="13">
        <f t="shared" si="89"/>
        <v>3.1248920576624499E-12</v>
      </c>
      <c r="AL87" s="20">
        <f t="shared" si="58"/>
        <v>5.8414995537945398E-12</v>
      </c>
      <c r="AM87" s="59">
        <f t="shared" si="59"/>
        <v>293.33333333333917</v>
      </c>
      <c r="AN87" s="59">
        <f ca="1">AVERAGE(OFFSET($AM$3,0,0,'Données projet'!$E$10+1,1))-AVERAGE(OFFSET($H$3,0,0,'Données projet'!$E$10+1,1))</f>
        <v>314.16268026911069</v>
      </c>
      <c r="AO87" s="59">
        <f t="shared" si="90"/>
        <v>265.23571072429735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189.10188588685912</v>
      </c>
      <c r="AV87" s="21">
        <f>EXP(-LN(2)/25)*AV86+(1-EXP(-LN(2)/25))/(LN(2)/25)*Calculateur!AQ87*Calculateur!AS87*VLOOKUP('Données projet'!$B$10,Paramètres!$A$1:$I$89,3,0)*0.475*44/12</f>
        <v>64.096022252712075</v>
      </c>
      <c r="AW87" s="21">
        <f>EXP(-LN(2)/2)*AW86+(1-EXP(-LN(2)/2))/(LN(2)/2)*AQ87*AT87*VLOOKUP('Données projet'!$B$10,Paramètres!$A$1:$I$89,3,0)*0.475*44/12</f>
        <v>19.396763158913242</v>
      </c>
      <c r="AX87" s="21">
        <f t="shared" si="60"/>
        <v>272.59467129848446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397.99468935620564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2.2737367544323206E-13</v>
      </c>
      <c r="O88" s="13">
        <f>N88*VLOOKUP('Données projet'!$B$9,Paramètres!$A$1:$I$89,3,0)*VLOOKUP('Données projet'!$B$9,Paramètres!$A$1:$I$89,5,0)</f>
        <v>1.064108801074326E-13</v>
      </c>
      <c r="P88" s="13">
        <f t="shared" si="87"/>
        <v>1.5870730813698654E-12</v>
      </c>
      <c r="Q88" s="20">
        <f t="shared" si="54"/>
        <v>2.9494845662396269E-12</v>
      </c>
      <c r="R88" s="59">
        <f t="shared" si="55"/>
        <v>293.33333333333627</v>
      </c>
      <c r="S88" s="59">
        <f ca="1">AVERAGE(OFFSET($R$3,0,0,'Données projet'!$E$9+1,1))-AVERAGE(OFFSET($H$3,0,0,'Données projet'!$E$9+1,1))</f>
        <v>234.83702199169585</v>
      </c>
      <c r="T88" s="59">
        <f t="shared" si="88"/>
        <v>248.83008816685089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123.28347915117446</v>
      </c>
      <c r="AA88" s="21">
        <f>EXP(-LN(2)/25)*AA87+(1-EXP(-LN(2)/25))/(LN(2)/25)*Calculateur!V88*Calculateur!X88*VLOOKUP('Données projet'!$B$9,Paramètres!$A$1:$I$89,3,0)*0.475*44/12</f>
        <v>25.036752704902188</v>
      </c>
      <c r="AB88" s="21">
        <f>EXP(-LN(2)/2)*AB87+(1-EXP(-LN(2)/2))/(LN(2)/2)*V88*Y88*VLOOKUP('Données projet'!$B$9,Paramètres!$A$1:$I$89,3,0)*0.475*44/12</f>
        <v>5.8520833929662805E-4</v>
      </c>
      <c r="AC88" s="22">
        <f t="shared" si="57"/>
        <v>148.32081706441593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5.6843418860808015E-13</v>
      </c>
      <c r="AJ88" s="13">
        <f>AI88*VLOOKUP('Données projet'!$B$10,Paramètres!$A$1:$I$89,3,0)*VLOOKUP('Données projet'!$B$10,Paramètres!$A$1:$I$89,5,0)</f>
        <v>2.2907897800905631E-13</v>
      </c>
      <c r="AK88" s="13">
        <f t="shared" si="89"/>
        <v>3.1248920576624499E-12</v>
      </c>
      <c r="AL88" s="20">
        <f t="shared" si="58"/>
        <v>5.8414995537945398E-12</v>
      </c>
      <c r="AM88" s="59">
        <f t="shared" si="59"/>
        <v>293.33333333333917</v>
      </c>
      <c r="AN88" s="59">
        <f ca="1">AVERAGE(OFFSET($AM$3,0,0,'Données projet'!$E$10+1,1))-AVERAGE(OFFSET($H$3,0,0,'Données projet'!$E$10+1,1))</f>
        <v>314.16268026911069</v>
      </c>
      <c r="AO88" s="59">
        <f t="shared" si="90"/>
        <v>265.23571072429735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185.39371324537925</v>
      </c>
      <c r="AV88" s="21">
        <f>EXP(-LN(2)/25)*AV87+(1-EXP(-LN(2)/25))/(LN(2)/25)*Calculateur!AQ88*Calculateur!AS88*VLOOKUP('Données projet'!$B$10,Paramètres!$A$1:$I$89,3,0)*0.475*44/12</f>
        <v>62.343313153548344</v>
      </c>
      <c r="AW88" s="21">
        <f>EXP(-LN(2)/2)*AW87+(1-EXP(-LN(2)/2))/(LN(2)/2)*AQ88*AT88*VLOOKUP('Données projet'!$B$10,Paramètres!$A$1:$I$89,3,0)*0.475*44/12</f>
        <v>13.715582762736952</v>
      </c>
      <c r="AX88" s="21">
        <f t="shared" si="60"/>
        <v>261.45260916166455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399.19319663326939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2.2737367544323206E-13</v>
      </c>
      <c r="O89" s="13">
        <f>N89*VLOOKUP('Données projet'!$B$9,Paramètres!$A$1:$I$89,3,0)*VLOOKUP('Données projet'!$B$9,Paramètres!$A$1:$I$89,5,0)</f>
        <v>1.064108801074326E-13</v>
      </c>
      <c r="P89" s="13">
        <f t="shared" si="87"/>
        <v>1.5870730813698654E-12</v>
      </c>
      <c r="Q89" s="20">
        <f t="shared" si="54"/>
        <v>2.9494845662396269E-12</v>
      </c>
      <c r="R89" s="59">
        <f t="shared" si="55"/>
        <v>293.33333333333627</v>
      </c>
      <c r="S89" s="59">
        <f ca="1">AVERAGE(OFFSET($R$3,0,0,'Données projet'!$E$9+1,1))-AVERAGE(OFFSET($H$3,0,0,'Données projet'!$E$9+1,1))</f>
        <v>234.83702199169585</v>
      </c>
      <c r="T89" s="59">
        <f t="shared" si="88"/>
        <v>248.83008816685089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120.86596532051728</v>
      </c>
      <c r="AA89" s="21">
        <f>EXP(-LN(2)/25)*AA88+(1-EXP(-LN(2)/25))/(LN(2)/25)*Calculateur!V89*Calculateur!X89*VLOOKUP('Données projet'!$B$9,Paramètres!$A$1:$I$89,3,0)*0.475*44/12</f>
        <v>24.352121385561034</v>
      </c>
      <c r="AB89" s="21">
        <f>EXP(-LN(2)/2)*AB88+(1-EXP(-LN(2)/2))/(LN(2)/2)*V89*Y89*VLOOKUP('Données projet'!$B$9,Paramètres!$A$1:$I$89,3,0)*0.475*44/12</f>
        <v>4.1380478512356364E-4</v>
      </c>
      <c r="AC89" s="22">
        <f t="shared" si="57"/>
        <v>145.21850051086344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5.6843418860808015E-13</v>
      </c>
      <c r="AJ89" s="13">
        <f>AI89*VLOOKUP('Données projet'!$B$10,Paramètres!$A$1:$I$89,3,0)*VLOOKUP('Données projet'!$B$10,Paramètres!$A$1:$I$89,5,0)</f>
        <v>2.2907897800905631E-13</v>
      </c>
      <c r="AK89" s="13">
        <f t="shared" si="89"/>
        <v>3.1248920576624499E-12</v>
      </c>
      <c r="AL89" s="20">
        <f t="shared" si="58"/>
        <v>5.8414995537945398E-12</v>
      </c>
      <c r="AM89" s="59">
        <f t="shared" si="59"/>
        <v>293.33333333333917</v>
      </c>
      <c r="AN89" s="59">
        <f ca="1">AVERAGE(OFFSET($AM$3,0,0,'Données projet'!$E$10+1,1))-AVERAGE(OFFSET($H$3,0,0,'Données projet'!$E$10+1,1))</f>
        <v>314.16268026911069</v>
      </c>
      <c r="AO89" s="59">
        <f t="shared" si="90"/>
        <v>265.23571072429735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181.75825560763681</v>
      </c>
      <c r="AV89" s="21">
        <f>EXP(-LN(2)/25)*AV88+(1-EXP(-LN(2)/25))/(LN(2)/25)*Calculateur!AQ89*Calculateur!AS89*VLOOKUP('Données projet'!$B$10,Paramètres!$A$1:$I$89,3,0)*0.475*44/12</f>
        <v>60.638531976872216</v>
      </c>
      <c r="AW89" s="21">
        <f>EXP(-LN(2)/2)*AW88+(1-EXP(-LN(2)/2))/(LN(2)/2)*AQ89*AT89*VLOOKUP('Données projet'!$B$10,Paramètres!$A$1:$I$89,3,0)*0.475*44/12</f>
        <v>9.6983815794566208</v>
      </c>
      <c r="AX89" s="21">
        <f t="shared" si="60"/>
        <v>252.09516916396564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400.39136906310915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2.2737367544323206E-13</v>
      </c>
      <c r="O90" s="13">
        <f>N90*VLOOKUP('Données projet'!$B$9,Paramètres!$A$1:$I$89,3,0)*VLOOKUP('Données projet'!$B$9,Paramètres!$A$1:$I$89,5,0)</f>
        <v>1.064108801074326E-13</v>
      </c>
      <c r="P90" s="13">
        <f t="shared" si="87"/>
        <v>1.5870730813698654E-12</v>
      </c>
      <c r="Q90" s="20">
        <f t="shared" si="54"/>
        <v>2.9494845662396269E-12</v>
      </c>
      <c r="R90" s="59">
        <f t="shared" si="55"/>
        <v>293.33333333333627</v>
      </c>
      <c r="S90" s="59">
        <f ca="1">AVERAGE(OFFSET($R$3,0,0,'Données projet'!$E$9+1,1))-AVERAGE(OFFSET($H$3,0,0,'Données projet'!$E$9+1,1))</f>
        <v>234.83702199169585</v>
      </c>
      <c r="T90" s="59">
        <f t="shared" si="88"/>
        <v>248.83008816685089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118.49585746154143</v>
      </c>
      <c r="AA90" s="21">
        <f>EXP(-LN(2)/25)*AA89+(1-EXP(-LN(2)/25))/(LN(2)/25)*Calculateur!V90*Calculateur!X90*VLOOKUP('Données projet'!$B$9,Paramètres!$A$1:$I$89,3,0)*0.475*44/12</f>
        <v>23.686211345650463</v>
      </c>
      <c r="AB90" s="21">
        <f>EXP(-LN(2)/2)*AB89+(1-EXP(-LN(2)/2))/(LN(2)/2)*V90*Y90*VLOOKUP('Données projet'!$B$9,Paramètres!$A$1:$I$89,3,0)*0.475*44/12</f>
        <v>2.9260416964831403E-4</v>
      </c>
      <c r="AC90" s="22">
        <f t="shared" si="57"/>
        <v>142.18236141136157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5.6843418860808015E-13</v>
      </c>
      <c r="AJ90" s="13">
        <f>AI90*VLOOKUP('Données projet'!$B$10,Paramètres!$A$1:$I$89,3,0)*VLOOKUP('Données projet'!$B$10,Paramètres!$A$1:$I$89,5,0)</f>
        <v>2.2907897800905631E-13</v>
      </c>
      <c r="AK90" s="13">
        <f t="shared" si="89"/>
        <v>3.1248920576624499E-12</v>
      </c>
      <c r="AL90" s="20">
        <f t="shared" si="58"/>
        <v>5.8414995537945398E-12</v>
      </c>
      <c r="AM90" s="59">
        <f t="shared" si="59"/>
        <v>293.33333333333917</v>
      </c>
      <c r="AN90" s="59">
        <f ca="1">AVERAGE(OFFSET($AM$3,0,0,'Données projet'!$E$10+1,1))-AVERAGE(OFFSET($H$3,0,0,'Données projet'!$E$10+1,1))</f>
        <v>314.16268026911069</v>
      </c>
      <c r="AO90" s="59">
        <f t="shared" si="90"/>
        <v>265.23571072429735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178.1940870767603</v>
      </c>
      <c r="AV90" s="21">
        <f>EXP(-LN(2)/25)*AV89+(1-EXP(-LN(2)/25))/(LN(2)/25)*Calculateur!AQ90*Calculateur!AS90*VLOOKUP('Données projet'!$B$10,Paramètres!$A$1:$I$89,3,0)*0.475*44/12</f>
        <v>58.980368131122837</v>
      </c>
      <c r="AW90" s="21">
        <f>EXP(-LN(2)/2)*AW89+(1-EXP(-LN(2)/2))/(LN(2)/2)*AQ90*AT90*VLOOKUP('Données projet'!$B$10,Paramètres!$A$1:$I$89,3,0)*0.475*44/12</f>
        <v>6.8577913813684761</v>
      </c>
      <c r="AX90" s="21">
        <f t="shared" si="60"/>
        <v>244.03224658925163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401.58921093986299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2.2737367544323206E-13</v>
      </c>
      <c r="O91" s="13">
        <f>N91*VLOOKUP('Données projet'!$B$9,Paramètres!$A$1:$I$89,3,0)*VLOOKUP('Données projet'!$B$9,Paramètres!$A$1:$I$89,5,0)</f>
        <v>1.064108801074326E-13</v>
      </c>
      <c r="P91" s="13">
        <f t="shared" si="87"/>
        <v>1.5870730813698654E-12</v>
      </c>
      <c r="Q91" s="20">
        <f t="shared" si="54"/>
        <v>2.9494845662396269E-12</v>
      </c>
      <c r="R91" s="59">
        <f t="shared" si="55"/>
        <v>293.33333333333627</v>
      </c>
      <c r="S91" s="59">
        <f ca="1">AVERAGE(OFFSET($R$3,0,0,'Données projet'!$E$9+1,1))-AVERAGE(OFFSET($H$3,0,0,'Données projet'!$E$9+1,1))</f>
        <v>234.83702199169585</v>
      </c>
      <c r="T91" s="59">
        <f t="shared" si="88"/>
        <v>248.83008816685089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116.17222597205706</v>
      </c>
      <c r="AA91" s="21">
        <f>EXP(-LN(2)/25)*AA90+(1-EXP(-LN(2)/25))/(LN(2)/25)*Calculateur!V91*Calculateur!X91*VLOOKUP('Données projet'!$B$9,Paramètres!$A$1:$I$89,3,0)*0.475*44/12</f>
        <v>23.038510650799932</v>
      </c>
      <c r="AB91" s="21">
        <f>EXP(-LN(2)/2)*AB90+(1-EXP(-LN(2)/2))/(LN(2)/2)*V91*Y91*VLOOKUP('Données projet'!$B$9,Paramètres!$A$1:$I$89,3,0)*0.475*44/12</f>
        <v>2.0690239256178182E-4</v>
      </c>
      <c r="AC91" s="22">
        <f t="shared" si="57"/>
        <v>139.21094352524955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5.6843418860808015E-13</v>
      </c>
      <c r="AJ91" s="13">
        <f>AI91*VLOOKUP('Données projet'!$B$10,Paramètres!$A$1:$I$89,3,0)*VLOOKUP('Données projet'!$B$10,Paramètres!$A$1:$I$89,5,0)</f>
        <v>2.2907897800905631E-13</v>
      </c>
      <c r="AK91" s="13">
        <f t="shared" si="89"/>
        <v>3.1248920576624499E-12</v>
      </c>
      <c r="AL91" s="20">
        <f t="shared" si="58"/>
        <v>5.8414995537945398E-12</v>
      </c>
      <c r="AM91" s="59">
        <f t="shared" si="59"/>
        <v>293.33333333333917</v>
      </c>
      <c r="AN91" s="59">
        <f ca="1">AVERAGE(OFFSET($AM$3,0,0,'Données projet'!$E$10+1,1))-AVERAGE(OFFSET($H$3,0,0,'Données projet'!$E$10+1,1))</f>
        <v>314.16268026911069</v>
      </c>
      <c r="AO91" s="59">
        <f t="shared" si="90"/>
        <v>265.23571072429735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174.69980971684612</v>
      </c>
      <c r="AV91" s="21">
        <f>EXP(-LN(2)/25)*AV90+(1-EXP(-LN(2)/25))/(LN(2)/25)*Calculateur!AQ91*Calculateur!AS91*VLOOKUP('Données projet'!$B$10,Paramètres!$A$1:$I$89,3,0)*0.475*44/12</f>
        <v>57.367546862934525</v>
      </c>
      <c r="AW91" s="21">
        <f>EXP(-LN(2)/2)*AW90+(1-EXP(-LN(2)/2))/(LN(2)/2)*AQ91*AT91*VLOOKUP('Données projet'!$B$10,Paramètres!$A$1:$I$89,3,0)*0.475*44/12</f>
        <v>4.8491907897283104</v>
      </c>
      <c r="AX91" s="21">
        <f t="shared" si="60"/>
        <v>236.91654736950895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402.78672645445664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2.2737367544323206E-13</v>
      </c>
      <c r="O92" s="13">
        <f>N92*VLOOKUP('Données projet'!$B$9,Paramètres!$A$1:$I$89,3,0)*VLOOKUP('Données projet'!$B$9,Paramètres!$A$1:$I$89,5,0)</f>
        <v>1.064108801074326E-13</v>
      </c>
      <c r="P92" s="13">
        <f t="shared" si="87"/>
        <v>1.5870730813698654E-12</v>
      </c>
      <c r="Q92" s="20">
        <f t="shared" si="54"/>
        <v>2.9494845662396269E-12</v>
      </c>
      <c r="R92" s="59">
        <f t="shared" si="55"/>
        <v>293.33333333333627</v>
      </c>
      <c r="S92" s="59">
        <f ca="1">AVERAGE(OFFSET($R$3,0,0,'Données projet'!$E$9+1,1))-AVERAGE(OFFSET($H$3,0,0,'Données projet'!$E$9+1,1))</f>
        <v>234.83702199169585</v>
      </c>
      <c r="T92" s="59">
        <f t="shared" si="88"/>
        <v>248.83008816685089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113.89415947880622</v>
      </c>
      <c r="AA92" s="21">
        <f>EXP(-LN(2)/25)*AA91+(1-EXP(-LN(2)/25))/(LN(2)/25)*Calculateur!V92*Calculateur!X92*VLOOKUP('Données projet'!$B$9,Paramètres!$A$1:$I$89,3,0)*0.475*44/12</f>
        <v>22.408521365511188</v>
      </c>
      <c r="AB92" s="21">
        <f>EXP(-LN(2)/2)*AB91+(1-EXP(-LN(2)/2))/(LN(2)/2)*V92*Y92*VLOOKUP('Données projet'!$B$9,Paramètres!$A$1:$I$89,3,0)*0.475*44/12</f>
        <v>1.4630208482415701E-4</v>
      </c>
      <c r="AC92" s="22">
        <f t="shared" si="57"/>
        <v>136.30282714640222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5.6843418860808015E-13</v>
      </c>
      <c r="AJ92" s="13">
        <f>AI92*VLOOKUP('Données projet'!$B$10,Paramètres!$A$1:$I$89,3,0)*VLOOKUP('Données projet'!$B$10,Paramètres!$A$1:$I$89,5,0)</f>
        <v>2.2907897800905631E-13</v>
      </c>
      <c r="AK92" s="13">
        <f t="shared" si="89"/>
        <v>3.1248920576624499E-12</v>
      </c>
      <c r="AL92" s="20">
        <f t="shared" si="58"/>
        <v>5.8414995537945398E-12</v>
      </c>
      <c r="AM92" s="59">
        <f t="shared" si="59"/>
        <v>293.33333333333917</v>
      </c>
      <c r="AN92" s="59">
        <f ca="1">AVERAGE(OFFSET($AM$3,0,0,'Données projet'!$E$10+1,1))-AVERAGE(OFFSET($H$3,0,0,'Données projet'!$E$10+1,1))</f>
        <v>314.16268026911069</v>
      </c>
      <c r="AO92" s="59">
        <f t="shared" si="90"/>
        <v>265.23571072429735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171.27405300466111</v>
      </c>
      <c r="AV92" s="21">
        <f>EXP(-LN(2)/25)*AV91+(1-EXP(-LN(2)/25))/(LN(2)/25)*Calculateur!AQ92*Calculateur!AS92*VLOOKUP('Données projet'!$B$10,Paramètres!$A$1:$I$89,3,0)*0.475*44/12</f>
        <v>55.798828277139407</v>
      </c>
      <c r="AW92" s="21">
        <f>EXP(-LN(2)/2)*AW91+(1-EXP(-LN(2)/2))/(LN(2)/2)*AQ92*AT92*VLOOKUP('Données projet'!$B$10,Paramètres!$A$1:$I$89,3,0)*0.475*44/12</f>
        <v>3.4288956906842381</v>
      </c>
      <c r="AX92" s="21">
        <f t="shared" si="60"/>
        <v>230.50177697248475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403.98391969821557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2.2737367544323206E-13</v>
      </c>
      <c r="O93" s="13">
        <f>N93*VLOOKUP('Données projet'!$B$9,Paramètres!$A$1:$I$89,3,0)*VLOOKUP('Données projet'!$B$9,Paramètres!$A$1:$I$89,5,0)</f>
        <v>1.064108801074326E-13</v>
      </c>
      <c r="P93" s="13">
        <f t="shared" si="87"/>
        <v>1.5870730813698654E-12</v>
      </c>
      <c r="Q93" s="20">
        <f t="shared" si="54"/>
        <v>2.9494845662396269E-12</v>
      </c>
      <c r="R93" s="59">
        <f t="shared" si="55"/>
        <v>293.33333333333627</v>
      </c>
      <c r="S93" s="59">
        <f ca="1">AVERAGE(OFFSET($R$3,0,0,'Données projet'!$E$9+1,1))-AVERAGE(OFFSET($H$3,0,0,'Données projet'!$E$9+1,1))</f>
        <v>234.83702199169585</v>
      </c>
      <c r="T93" s="59">
        <f t="shared" si="88"/>
        <v>248.83008816685089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111.66076448000466</v>
      </c>
      <c r="AA93" s="21">
        <f>EXP(-LN(2)/25)*AA92+(1-EXP(-LN(2)/25))/(LN(2)/25)*Calculateur!V93*Calculateur!X93*VLOOKUP('Données projet'!$B$9,Paramètres!$A$1:$I$89,3,0)*0.475*44/12</f>
        <v>21.795759170358362</v>
      </c>
      <c r="AB93" s="21">
        <f>EXP(-LN(2)/2)*AB92+(1-EXP(-LN(2)/2))/(LN(2)/2)*V93*Y93*VLOOKUP('Données projet'!$B$9,Paramètres!$A$1:$I$89,3,0)*0.475*44/12</f>
        <v>1.0345119628089091E-4</v>
      </c>
      <c r="AC93" s="22">
        <f t="shared" si="57"/>
        <v>133.45662710155929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5.6843418860808015E-13</v>
      </c>
      <c r="AJ93" s="13">
        <f>AI93*VLOOKUP('Données projet'!$B$10,Paramètres!$A$1:$I$89,3,0)*VLOOKUP('Données projet'!$B$10,Paramètres!$A$1:$I$89,5,0)</f>
        <v>2.2907897800905631E-13</v>
      </c>
      <c r="AK93" s="13">
        <f t="shared" si="89"/>
        <v>3.1248920576624499E-12</v>
      </c>
      <c r="AL93" s="20">
        <f t="shared" si="58"/>
        <v>5.8414995537945398E-12</v>
      </c>
      <c r="AM93" s="59">
        <f t="shared" si="59"/>
        <v>293.33333333333917</v>
      </c>
      <c r="AN93" s="59">
        <f ca="1">AVERAGE(OFFSET($AM$3,0,0,'Données projet'!$E$10+1,1))-AVERAGE(OFFSET($H$3,0,0,'Données projet'!$E$10+1,1))</f>
        <v>314.16268026911069</v>
      </c>
      <c r="AO93" s="59">
        <f t="shared" si="90"/>
        <v>265.23571072429735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167.91547329209681</v>
      </c>
      <c r="AV93" s="21">
        <f>EXP(-LN(2)/25)*AV92+(1-EXP(-LN(2)/25))/(LN(2)/25)*Calculateur!AQ93*Calculateur!AS93*VLOOKUP('Données projet'!$B$10,Paramètres!$A$1:$I$89,3,0)*0.475*44/12</f>
        <v>54.27300638356818</v>
      </c>
      <c r="AW93" s="21">
        <f>EXP(-LN(2)/2)*AW92+(1-EXP(-LN(2)/2))/(LN(2)/2)*AQ93*AT93*VLOOKUP('Données projet'!$B$10,Paramètres!$A$1:$I$89,3,0)*0.475*44/12</f>
        <v>2.4245953948641552</v>
      </c>
      <c r="AX93" s="21">
        <f t="shared" si="60"/>
        <v>224.61307507052913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405.18079466631161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2.2737367544323206E-13</v>
      </c>
      <c r="O94" s="13">
        <f>N94*VLOOKUP('Données projet'!$B$9,Paramètres!$A$1:$I$89,3,0)*VLOOKUP('Données projet'!$B$9,Paramètres!$A$1:$I$89,5,0)</f>
        <v>1.064108801074326E-13</v>
      </c>
      <c r="P94" s="13">
        <f t="shared" si="87"/>
        <v>1.5870730813698654E-12</v>
      </c>
      <c r="Q94" s="20">
        <f t="shared" si="54"/>
        <v>2.9494845662396269E-12</v>
      </c>
      <c r="R94" s="59">
        <f t="shared" si="55"/>
        <v>293.33333333333627</v>
      </c>
      <c r="S94" s="59">
        <f ca="1">AVERAGE(OFFSET($R$3,0,0,'Données projet'!$E$9+1,1))-AVERAGE(OFFSET($H$3,0,0,'Données projet'!$E$9+1,1))</f>
        <v>234.83702199169585</v>
      </c>
      <c r="T94" s="59">
        <f t="shared" si="88"/>
        <v>248.83008816685089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109.47116499489316</v>
      </c>
      <c r="AA94" s="21">
        <f>EXP(-LN(2)/25)*AA93+(1-EXP(-LN(2)/25))/(LN(2)/25)*Calculateur!V94*Calculateur!X94*VLOOKUP('Données projet'!$B$9,Paramètres!$A$1:$I$89,3,0)*0.475*44/12</f>
        <v>21.199752989655753</v>
      </c>
      <c r="AB94" s="21">
        <f>EXP(-LN(2)/2)*AB93+(1-EXP(-LN(2)/2))/(LN(2)/2)*V94*Y94*VLOOKUP('Données projet'!$B$9,Paramètres!$A$1:$I$89,3,0)*0.475*44/12</f>
        <v>7.3151042412078506E-5</v>
      </c>
      <c r="AC94" s="22">
        <f t="shared" si="57"/>
        <v>130.67099113559132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5.6843418860808015E-13</v>
      </c>
      <c r="AJ94" s="13">
        <f>AI94*VLOOKUP('Données projet'!$B$10,Paramètres!$A$1:$I$89,3,0)*VLOOKUP('Données projet'!$B$10,Paramètres!$A$1:$I$89,5,0)</f>
        <v>2.2907897800905631E-13</v>
      </c>
      <c r="AK94" s="13">
        <f t="shared" si="89"/>
        <v>3.1248920576624499E-12</v>
      </c>
      <c r="AL94" s="20">
        <f t="shared" si="58"/>
        <v>5.8414995537945398E-12</v>
      </c>
      <c r="AM94" s="59">
        <f t="shared" si="59"/>
        <v>293.33333333333917</v>
      </c>
      <c r="AN94" s="59">
        <f ca="1">AVERAGE(OFFSET($AM$3,0,0,'Données projet'!$E$10+1,1))-AVERAGE(OFFSET($H$3,0,0,'Données projet'!$E$10+1,1))</f>
        <v>314.16268026911069</v>
      </c>
      <c r="AO94" s="59">
        <f t="shared" si="90"/>
        <v>265.23571072429735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164.62275327916453</v>
      </c>
      <c r="AV94" s="21">
        <f>EXP(-LN(2)/25)*AV93+(1-EXP(-LN(2)/25))/(LN(2)/25)*Calculateur!AQ94*Calculateur!AS94*VLOOKUP('Données projet'!$B$10,Paramètres!$A$1:$I$89,3,0)*0.475*44/12</f>
        <v>52.788908169916148</v>
      </c>
      <c r="AW94" s="21">
        <f>EXP(-LN(2)/2)*AW93+(1-EXP(-LN(2)/2))/(LN(2)/2)*AQ94*AT94*VLOOKUP('Données projet'!$B$10,Paramètres!$A$1:$I$89,3,0)*0.475*44/12</f>
        <v>1.714447845342119</v>
      </c>
      <c r="AX94" s="21">
        <f t="shared" si="60"/>
        <v>219.12610929442278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406.37735526105428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2.2737367544323206E-13</v>
      </c>
      <c r="O95" s="13">
        <f>N95*VLOOKUP('Données projet'!$B$9,Paramètres!$A$1:$I$89,3,0)*VLOOKUP('Données projet'!$B$9,Paramètres!$A$1:$I$89,5,0)</f>
        <v>1.064108801074326E-13</v>
      </c>
      <c r="P95" s="13">
        <f t="shared" si="87"/>
        <v>1.5870730813698654E-12</v>
      </c>
      <c r="Q95" s="20">
        <f t="shared" si="54"/>
        <v>2.9494845662396269E-12</v>
      </c>
      <c r="R95" s="59">
        <f t="shared" si="55"/>
        <v>293.33333333333627</v>
      </c>
      <c r="S95" s="59">
        <f ca="1">AVERAGE(OFFSET($R$3,0,0,'Données projet'!$E$9+1,1))-AVERAGE(OFFSET($H$3,0,0,'Données projet'!$E$9+1,1))</f>
        <v>234.83702199169585</v>
      </c>
      <c r="T95" s="59">
        <f t="shared" si="88"/>
        <v>248.83008816685089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107.32450222016088</v>
      </c>
      <c r="AA95" s="21">
        <f>EXP(-LN(2)/25)*AA94+(1-EXP(-LN(2)/25))/(LN(2)/25)*Calculateur!V95*Calculateur!X95*VLOOKUP('Données projet'!$B$9,Paramètres!$A$1:$I$89,3,0)*0.475*44/12</f>
        <v>20.62004462930706</v>
      </c>
      <c r="AB95" s="21">
        <f>EXP(-LN(2)/2)*AB94+(1-EXP(-LN(2)/2))/(LN(2)/2)*V95*Y95*VLOOKUP('Données projet'!$B$9,Paramètres!$A$1:$I$89,3,0)*0.475*44/12</f>
        <v>5.1725598140445455E-5</v>
      </c>
      <c r="AC95" s="22">
        <f t="shared" si="57"/>
        <v>127.94459857506608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5.6843418860808015E-13</v>
      </c>
      <c r="AJ95" s="13">
        <f>AI95*VLOOKUP('Données projet'!$B$10,Paramètres!$A$1:$I$89,3,0)*VLOOKUP('Données projet'!$B$10,Paramètres!$A$1:$I$89,5,0)</f>
        <v>2.2907897800905631E-13</v>
      </c>
      <c r="AK95" s="13">
        <f t="shared" si="89"/>
        <v>3.1248920576624499E-12</v>
      </c>
      <c r="AL95" s="20">
        <f t="shared" si="58"/>
        <v>5.8414995537945398E-12</v>
      </c>
      <c r="AM95" s="59">
        <f t="shared" si="59"/>
        <v>293.33333333333917</v>
      </c>
      <c r="AN95" s="59">
        <f ca="1">AVERAGE(OFFSET($AM$3,0,0,'Données projet'!$E$10+1,1))-AVERAGE(OFFSET($H$3,0,0,'Données projet'!$E$10+1,1))</f>
        <v>314.16268026911069</v>
      </c>
      <c r="AO95" s="59">
        <f t="shared" si="90"/>
        <v>265.23571072429735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161.39460149732494</v>
      </c>
      <c r="AV95" s="21">
        <f>EXP(-LN(2)/25)*AV94+(1-EXP(-LN(2)/25))/(LN(2)/25)*Calculateur!AQ95*Calculateur!AS95*VLOOKUP('Données projet'!$B$10,Paramètres!$A$1:$I$89,3,0)*0.475*44/12</f>
        <v>51.345392699961764</v>
      </c>
      <c r="AW95" s="21">
        <f>EXP(-LN(2)/2)*AW94+(1-EXP(-LN(2)/2))/(LN(2)/2)*AQ95*AT95*VLOOKUP('Données projet'!$B$10,Paramètres!$A$1:$I$89,3,0)*0.475*44/12</f>
        <v>1.2122976974320776</v>
      </c>
      <c r="AX95" s="21">
        <f t="shared" si="60"/>
        <v>213.95229189471877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407.57360529503438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2.2737367544323206E-13</v>
      </c>
      <c r="O96" s="13">
        <f>N96*VLOOKUP('Données projet'!$B$9,Paramètres!$A$1:$I$89,3,0)*VLOOKUP('Données projet'!$B$9,Paramètres!$A$1:$I$89,5,0)</f>
        <v>1.064108801074326E-13</v>
      </c>
      <c r="P96" s="13">
        <f t="shared" si="87"/>
        <v>1.5870730813698654E-12</v>
      </c>
      <c r="Q96" s="20">
        <f t="shared" si="54"/>
        <v>2.9494845662396269E-12</v>
      </c>
      <c r="R96" s="59">
        <f t="shared" si="55"/>
        <v>293.33333333333627</v>
      </c>
      <c r="S96" s="59">
        <f ca="1">AVERAGE(OFFSET($R$3,0,0,'Données projet'!$E$9+1,1))-AVERAGE(OFFSET($H$3,0,0,'Données projet'!$E$9+1,1))</f>
        <v>234.83702199169585</v>
      </c>
      <c r="T96" s="59">
        <f t="shared" si="88"/>
        <v>248.83008816685089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105.2199341931061</v>
      </c>
      <c r="AA96" s="21">
        <f>EXP(-LN(2)/25)*AA95+(1-EXP(-LN(2)/25))/(LN(2)/25)*Calculateur!V96*Calculateur!X96*VLOOKUP('Données projet'!$B$9,Paramètres!$A$1:$I$89,3,0)*0.475*44/12</f>
        <v>20.056188424557639</v>
      </c>
      <c r="AB96" s="21">
        <f>EXP(-LN(2)/2)*AB95+(1-EXP(-LN(2)/2))/(LN(2)/2)*V96*Y96*VLOOKUP('Données projet'!$B$9,Paramètres!$A$1:$I$89,3,0)*0.475*44/12</f>
        <v>3.6575521206039253E-5</v>
      </c>
      <c r="AC96" s="22">
        <f t="shared" si="57"/>
        <v>125.27615919318494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5.6843418860808015E-13</v>
      </c>
      <c r="AJ96" s="13">
        <f>AI96*VLOOKUP('Données projet'!$B$10,Paramètres!$A$1:$I$89,3,0)*VLOOKUP('Données projet'!$B$10,Paramètres!$A$1:$I$89,5,0)</f>
        <v>2.2907897800905631E-13</v>
      </c>
      <c r="AK96" s="13">
        <f t="shared" si="89"/>
        <v>3.1248920576624499E-12</v>
      </c>
      <c r="AL96" s="20">
        <f t="shared" si="58"/>
        <v>5.8414995537945398E-12</v>
      </c>
      <c r="AM96" s="59">
        <f t="shared" si="59"/>
        <v>293.33333333333917</v>
      </c>
      <c r="AN96" s="59">
        <f ca="1">AVERAGE(OFFSET($AM$3,0,0,'Données projet'!$E$10+1,1))-AVERAGE(OFFSET($H$3,0,0,'Données projet'!$E$10+1,1))</f>
        <v>314.16268026911069</v>
      </c>
      <c r="AO96" s="59">
        <f t="shared" si="90"/>
        <v>265.23571072429735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158.22975180294907</v>
      </c>
      <c r="AV96" s="21">
        <f>EXP(-LN(2)/25)*AV95+(1-EXP(-LN(2)/25))/(LN(2)/25)*Calculateur!AQ96*Calculateur!AS96*VLOOKUP('Données projet'!$B$10,Paramètres!$A$1:$I$89,3,0)*0.475*44/12</f>
        <v>49.941350236444457</v>
      </c>
      <c r="AW96" s="21">
        <f>EXP(-LN(2)/2)*AW95+(1-EXP(-LN(2)/2))/(LN(2)/2)*AQ96*AT96*VLOOKUP('Données projet'!$B$10,Paramètres!$A$1:$I$89,3,0)*0.475*44/12</f>
        <v>0.85722392267105951</v>
      </c>
      <c r="AX96" s="21">
        <f t="shared" si="60"/>
        <v>209.0283259620646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408.76954849412908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2.2737367544323206E-13</v>
      </c>
      <c r="O97" s="13">
        <f>N97*VLOOKUP('Données projet'!$B$9,Paramètres!$A$1:$I$89,3,0)*VLOOKUP('Données projet'!$B$9,Paramètres!$A$1:$I$89,5,0)</f>
        <v>1.064108801074326E-13</v>
      </c>
      <c r="P97" s="13">
        <f t="shared" si="87"/>
        <v>1.5870730813698654E-12</v>
      </c>
      <c r="Q97" s="20">
        <f t="shared" si="54"/>
        <v>2.9494845662396269E-12</v>
      </c>
      <c r="R97" s="59">
        <f t="shared" si="55"/>
        <v>293.33333333333627</v>
      </c>
      <c r="S97" s="59">
        <f ca="1">AVERAGE(OFFSET($R$3,0,0,'Données projet'!$E$9+1,1))-AVERAGE(OFFSET($H$3,0,0,'Données projet'!$E$9+1,1))</f>
        <v>234.83702199169585</v>
      </c>
      <c r="T97" s="59">
        <f t="shared" si="88"/>
        <v>248.83008816685089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103.15663546140212</v>
      </c>
      <c r="AA97" s="21">
        <f>EXP(-LN(2)/25)*AA96+(1-EXP(-LN(2)/25))/(LN(2)/25)*Calculateur!V97*Calculateur!X97*VLOOKUP('Données projet'!$B$9,Paramètres!$A$1:$I$89,3,0)*0.475*44/12</f>
        <v>19.507750897379001</v>
      </c>
      <c r="AB97" s="21">
        <f>EXP(-LN(2)/2)*AB96+(1-EXP(-LN(2)/2))/(LN(2)/2)*V97*Y97*VLOOKUP('Données projet'!$B$9,Paramètres!$A$1:$I$89,3,0)*0.475*44/12</f>
        <v>2.5862799070222727E-5</v>
      </c>
      <c r="AC97" s="22">
        <f t="shared" si="57"/>
        <v>122.66441222158018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5.6843418860808015E-13</v>
      </c>
      <c r="AJ97" s="13">
        <f>AI97*VLOOKUP('Données projet'!$B$10,Paramètres!$A$1:$I$89,3,0)*VLOOKUP('Données projet'!$B$10,Paramètres!$A$1:$I$89,5,0)</f>
        <v>2.2907897800905631E-13</v>
      </c>
      <c r="AK97" s="13">
        <f t="shared" si="89"/>
        <v>3.1248920576624499E-12</v>
      </c>
      <c r="AL97" s="20">
        <f t="shared" si="58"/>
        <v>5.8414995537945398E-12</v>
      </c>
      <c r="AM97" s="59">
        <f t="shared" si="59"/>
        <v>293.33333333333917</v>
      </c>
      <c r="AN97" s="59">
        <f ca="1">AVERAGE(OFFSET($AM$3,0,0,'Données projet'!$E$10+1,1))-AVERAGE(OFFSET($H$3,0,0,'Données projet'!$E$10+1,1))</f>
        <v>314.16268026911069</v>
      </c>
      <c r="AO97" s="59">
        <f t="shared" si="90"/>
        <v>265.23571072429735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155.1269628807122</v>
      </c>
      <c r="AV97" s="21">
        <f>EXP(-LN(2)/25)*AV96+(1-EXP(-LN(2)/25))/(LN(2)/25)*Calculateur!AQ97*Calculateur!AS97*VLOOKUP('Données projet'!$B$10,Paramètres!$A$1:$I$89,3,0)*0.475*44/12</f>
        <v>48.575701387927417</v>
      </c>
      <c r="AW97" s="21">
        <f>EXP(-LN(2)/2)*AW96+(1-EXP(-LN(2)/2))/(LN(2)/2)*AQ97*AT97*VLOOKUP('Données projet'!$B$10,Paramètres!$A$1:$I$89,3,0)*0.475*44/12</f>
        <v>0.6061488487160388</v>
      </c>
      <c r="AX97" s="21">
        <f t="shared" si="60"/>
        <v>204.30881311735564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409.96518850037501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2.2737367544323206E-13</v>
      </c>
      <c r="O98" s="13">
        <f>N98*VLOOKUP('Données projet'!$B$9,Paramètres!$A$1:$I$89,3,0)*VLOOKUP('Données projet'!$B$9,Paramètres!$A$1:$I$89,5,0)</f>
        <v>1.064108801074326E-13</v>
      </c>
      <c r="P98" s="13">
        <f t="shared" si="87"/>
        <v>1.5870730813698654E-12</v>
      </c>
      <c r="Q98" s="20">
        <f t="shared" si="54"/>
        <v>2.9494845662396269E-12</v>
      </c>
      <c r="R98" s="59">
        <f t="shared" si="55"/>
        <v>293.33333333333627</v>
      </c>
      <c r="S98" s="59">
        <f ca="1">AVERAGE(OFFSET($R$3,0,0,'Données projet'!$E$9+1,1))-AVERAGE(OFFSET($H$3,0,0,'Données projet'!$E$9+1,1))</f>
        <v>234.83702199169585</v>
      </c>
      <c r="T98" s="59">
        <f t="shared" si="88"/>
        <v>248.83008816685089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101.13379675933889</v>
      </c>
      <c r="AA98" s="21">
        <f>EXP(-LN(2)/25)*AA97+(1-EXP(-LN(2)/25))/(LN(2)/25)*Calculateur!V98*Calculateur!X98*VLOOKUP('Données projet'!$B$9,Paramètres!$A$1:$I$89,3,0)*0.475*44/12</f>
        <v>18.974310423222139</v>
      </c>
      <c r="AB98" s="21">
        <f>EXP(-LN(2)/2)*AB97+(1-EXP(-LN(2)/2))/(LN(2)/2)*V98*Y98*VLOOKUP('Données projet'!$B$9,Paramètres!$A$1:$I$89,3,0)*0.475*44/12</f>
        <v>1.8287760603019627E-5</v>
      </c>
      <c r="AC98" s="22">
        <f t="shared" si="57"/>
        <v>120.10812547032162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5.6843418860808015E-13</v>
      </c>
      <c r="AJ98" s="13">
        <f>AI98*VLOOKUP('Données projet'!$B$10,Paramètres!$A$1:$I$89,3,0)*VLOOKUP('Données projet'!$B$10,Paramètres!$A$1:$I$89,5,0)</f>
        <v>2.2907897800905631E-13</v>
      </c>
      <c r="AK98" s="13">
        <f t="shared" si="89"/>
        <v>3.1248920576624499E-12</v>
      </c>
      <c r="AL98" s="20">
        <f t="shared" si="58"/>
        <v>5.8414995537945398E-12</v>
      </c>
      <c r="AM98" s="59">
        <f t="shared" si="59"/>
        <v>293.33333333333917</v>
      </c>
      <c r="AN98" s="59">
        <f ca="1">AVERAGE(OFFSET($AM$3,0,0,'Données projet'!$E$10+1,1))-AVERAGE(OFFSET($H$3,0,0,'Données projet'!$E$10+1,1))</f>
        <v>314.16268026911069</v>
      </c>
      <c r="AO98" s="59">
        <f t="shared" si="90"/>
        <v>265.23571072429735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152.08501775672602</v>
      </c>
      <c r="AV98" s="21">
        <f>EXP(-LN(2)/25)*AV97+(1-EXP(-LN(2)/25))/(LN(2)/25)*Calculateur!AQ98*Calculateur!AS98*VLOOKUP('Données projet'!$B$10,Paramètres!$A$1:$I$89,3,0)*0.475*44/12</f>
        <v>47.247396278989427</v>
      </c>
      <c r="AW98" s="21">
        <f>EXP(-LN(2)/2)*AW97+(1-EXP(-LN(2)/2))/(LN(2)/2)*AQ98*AT98*VLOOKUP('Données projet'!$B$10,Paramètres!$A$1:$I$89,3,0)*0.475*44/12</f>
        <v>0.42861196133552976</v>
      </c>
      <c r="AX98" s="21">
        <f t="shared" si="60"/>
        <v>199.76102599705095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411.1605288747171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2.2737367544323206E-13</v>
      </c>
      <c r="O99" s="13">
        <f>N99*VLOOKUP('Données projet'!$B$9,Paramètres!$A$1:$I$89,3,0)*VLOOKUP('Données projet'!$B$9,Paramètres!$A$1:$I$89,5,0)</f>
        <v>1.064108801074326E-13</v>
      </c>
      <c r="P99" s="13">
        <f t="shared" si="87"/>
        <v>1.5870730813698654E-12</v>
      </c>
      <c r="Q99" s="20">
        <f t="shared" ref="Q99:Q130" si="107">(O99+P99)*0.475*44/12</f>
        <v>2.9494845662396269E-12</v>
      </c>
      <c r="R99" s="59">
        <f t="shared" si="55"/>
        <v>293.33333333333627</v>
      </c>
      <c r="S99" s="59">
        <f ca="1">AVERAGE(OFFSET($R$3,0,0,'Données projet'!$E$9+1,1))-AVERAGE(OFFSET($H$3,0,0,'Données projet'!$E$9+1,1))</f>
        <v>234.83702199169585</v>
      </c>
      <c r="T99" s="59">
        <f t="shared" si="88"/>
        <v>248.83008816685089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99.150624690413338</v>
      </c>
      <c r="AA99" s="21">
        <f>EXP(-LN(2)/25)*AA98+(1-EXP(-LN(2)/25))/(LN(2)/25)*Calculateur!V99*Calculateur!X99*VLOOKUP('Données projet'!$B$9,Paramètres!$A$1:$I$89,3,0)*0.475*44/12</f>
        <v>18.455456906883512</v>
      </c>
      <c r="AB99" s="21">
        <f>EXP(-LN(2)/2)*AB98+(1-EXP(-LN(2)/2))/(LN(2)/2)*V99*Y99*VLOOKUP('Données projet'!$B$9,Paramètres!$A$1:$I$89,3,0)*0.475*44/12</f>
        <v>1.2931399535111364E-5</v>
      </c>
      <c r="AC99" s="22">
        <f t="shared" si="57"/>
        <v>117.60609452869639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5.6843418860808015E-13</v>
      </c>
      <c r="AJ99" s="13">
        <f>AI99*VLOOKUP('Données projet'!$B$10,Paramètres!$A$1:$I$89,3,0)*VLOOKUP('Données projet'!$B$10,Paramètres!$A$1:$I$89,5,0)</f>
        <v>2.2907897800905631E-13</v>
      </c>
      <c r="AK99" s="13">
        <f t="shared" si="89"/>
        <v>3.1248920576624499E-12</v>
      </c>
      <c r="AL99" s="20">
        <f t="shared" si="58"/>
        <v>5.8414995537945398E-12</v>
      </c>
      <c r="AM99" s="59">
        <f t="shared" si="59"/>
        <v>293.33333333333917</v>
      </c>
      <c r="AN99" s="59">
        <f ca="1">AVERAGE(OFFSET($AM$3,0,0,'Données projet'!$E$10+1,1))-AVERAGE(OFFSET($H$3,0,0,'Données projet'!$E$10+1,1))</f>
        <v>314.16268026911069</v>
      </c>
      <c r="AO99" s="59">
        <f t="shared" si="90"/>
        <v>265.23571072429735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149.10272332121789</v>
      </c>
      <c r="AV99" s="21">
        <f>EXP(-LN(2)/25)*AV98+(1-EXP(-LN(2)/25))/(LN(2)/25)*Calculateur!AQ99*Calculateur!AS99*VLOOKUP('Données projet'!$B$10,Paramètres!$A$1:$I$89,3,0)*0.475*44/12</f>
        <v>45.955413743107876</v>
      </c>
      <c r="AW99" s="21">
        <f>EXP(-LN(2)/2)*AW98+(1-EXP(-LN(2)/2))/(LN(2)/2)*AQ99*AT99*VLOOKUP('Données projet'!$B$10,Paramètres!$A$1:$I$89,3,0)*0.475*44/12</f>
        <v>0.3030744243580194</v>
      </c>
      <c r="AX99" s="21">
        <f t="shared" si="60"/>
        <v>195.36121148868378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412.35557309963951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2.2737367544323206E-13</v>
      </c>
      <c r="O100" s="13">
        <f>N100*VLOOKUP('Données projet'!$B$9,Paramètres!$A$1:$I$89,3,0)*VLOOKUP('Données projet'!$B$9,Paramètres!$A$1:$I$89,5,0)</f>
        <v>1.064108801074326E-13</v>
      </c>
      <c r="P100" s="13">
        <f t="shared" si="87"/>
        <v>1.5870730813698654E-12</v>
      </c>
      <c r="Q100" s="20">
        <f t="shared" si="107"/>
        <v>2.9494845662396269E-12</v>
      </c>
      <c r="R100" s="59">
        <f t="shared" si="55"/>
        <v>293.33333333333627</v>
      </c>
      <c r="S100" s="59">
        <f ca="1">AVERAGE(OFFSET($R$3,0,0,'Données projet'!$E$9+1,1))-AVERAGE(OFFSET($H$3,0,0,'Données projet'!$E$9+1,1))</f>
        <v>234.83702199169585</v>
      </c>
      <c r="T100" s="59">
        <f t="shared" si="88"/>
        <v>248.83008816685089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97.2063414161439</v>
      </c>
      <c r="AA100" s="21">
        <f>EXP(-LN(2)/25)*AA99+(1-EXP(-LN(2)/25))/(LN(2)/25)*Calculateur!V100*Calculateur!X100*VLOOKUP('Données projet'!$B$9,Paramètres!$A$1:$I$89,3,0)*0.475*44/12</f>
        <v>17.950791467234485</v>
      </c>
      <c r="AB100" s="21">
        <f>EXP(-LN(2)/2)*AB99+(1-EXP(-LN(2)/2))/(LN(2)/2)*V100*Y100*VLOOKUP('Données projet'!$B$9,Paramètres!$A$1:$I$89,3,0)*0.475*44/12</f>
        <v>9.1438803015098133E-6</v>
      </c>
      <c r="AC100" s="22">
        <f t="shared" si="57"/>
        <v>115.15714202725869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5.6843418860808015E-13</v>
      </c>
      <c r="AJ100" s="13">
        <f>AI100*VLOOKUP('Données projet'!$B$10,Paramètres!$A$1:$I$89,3,0)*VLOOKUP('Données projet'!$B$10,Paramètres!$A$1:$I$89,5,0)</f>
        <v>2.2907897800905631E-13</v>
      </c>
      <c r="AK100" s="13">
        <f t="shared" si="89"/>
        <v>3.1248920576624499E-12</v>
      </c>
      <c r="AL100" s="20">
        <f t="shared" si="58"/>
        <v>5.8414995537945398E-12</v>
      </c>
      <c r="AM100" s="59">
        <f t="shared" si="59"/>
        <v>293.33333333333917</v>
      </c>
      <c r="AN100" s="59">
        <f ca="1">AVERAGE(OFFSET($AM$3,0,0,'Données projet'!$E$10+1,1))-AVERAGE(OFFSET($H$3,0,0,'Données projet'!$E$10+1,1))</f>
        <v>314.16268026911069</v>
      </c>
      <c r="AO100" s="59">
        <f t="shared" si="90"/>
        <v>265.23571072429735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146.17890986057009</v>
      </c>
      <c r="AV100" s="21">
        <f>EXP(-LN(2)/25)*AV99+(1-EXP(-LN(2)/25))/(LN(2)/25)*Calculateur!AQ100*Calculateur!AS100*VLOOKUP('Données projet'!$B$10,Paramètres!$A$1:$I$89,3,0)*0.475*44/12</f>
        <v>44.698760537612415</v>
      </c>
      <c r="AW100" s="21">
        <f>EXP(-LN(2)/2)*AW99+(1-EXP(-LN(2)/2))/(LN(2)/2)*AQ100*AT100*VLOOKUP('Données projet'!$B$10,Paramètres!$A$1:$I$89,3,0)*0.475*44/12</f>
        <v>0.21430598066776488</v>
      </c>
      <c r="AX100" s="21">
        <f t="shared" si="60"/>
        <v>191.09197637885026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413.55032458168552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2.2737367544323206E-13</v>
      </c>
      <c r="O101" s="13">
        <f>N101*VLOOKUP('Données projet'!$B$9,Paramètres!$A$1:$I$89,3,0)*VLOOKUP('Données projet'!$B$9,Paramètres!$A$1:$I$89,5,0)</f>
        <v>1.064108801074326E-13</v>
      </c>
      <c r="P101" s="13">
        <f t="shared" si="87"/>
        <v>1.5870730813698654E-12</v>
      </c>
      <c r="Q101" s="20">
        <f t="shared" si="107"/>
        <v>2.9494845662396269E-12</v>
      </c>
      <c r="R101" s="59">
        <f t="shared" si="55"/>
        <v>293.33333333333627</v>
      </c>
      <c r="S101" s="59">
        <f ca="1">AVERAGE(OFFSET($R$3,0,0,'Données projet'!$E$9+1,1))-AVERAGE(OFFSET($H$3,0,0,'Données projet'!$E$9+1,1))</f>
        <v>234.83702199169585</v>
      </c>
      <c r="T101" s="59">
        <f t="shared" si="88"/>
        <v>248.83008816685089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95.30018435098718</v>
      </c>
      <c r="AA101" s="21">
        <f>EXP(-LN(2)/25)*AA100+(1-EXP(-LN(2)/25))/(LN(2)/25)*Calculateur!V101*Calculateur!X101*VLOOKUP('Données projet'!$B$9,Paramètres!$A$1:$I$89,3,0)*0.475*44/12</f>
        <v>17.459926130571862</v>
      </c>
      <c r="AB101" s="21">
        <f>EXP(-LN(2)/2)*AB100+(1-EXP(-LN(2)/2))/(LN(2)/2)*V101*Y101*VLOOKUP('Données projet'!$B$9,Paramètres!$A$1:$I$89,3,0)*0.475*44/12</f>
        <v>6.4656997675556819E-6</v>
      </c>
      <c r="AC101" s="22">
        <f t="shared" si="57"/>
        <v>112.76011694725881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5.6843418860808015E-13</v>
      </c>
      <c r="AJ101" s="13">
        <f>AI101*VLOOKUP('Données projet'!$B$10,Paramètres!$A$1:$I$89,3,0)*VLOOKUP('Données projet'!$B$10,Paramètres!$A$1:$I$89,5,0)</f>
        <v>2.2907897800905631E-13</v>
      </c>
      <c r="AK101" s="13">
        <f t="shared" si="89"/>
        <v>3.1248920576624499E-12</v>
      </c>
      <c r="AL101" s="20">
        <f t="shared" si="58"/>
        <v>5.8414995537945398E-12</v>
      </c>
      <c r="AM101" s="59">
        <f t="shared" si="59"/>
        <v>293.33333333333917</v>
      </c>
      <c r="AN101" s="59">
        <f ca="1">AVERAGE(OFFSET($AM$3,0,0,'Données projet'!$E$10+1,1))-AVERAGE(OFFSET($H$3,0,0,'Données projet'!$E$10+1,1))</f>
        <v>314.16268026911069</v>
      </c>
      <c r="AO101" s="59">
        <f t="shared" si="90"/>
        <v>265.23571072429735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143.31243059853549</v>
      </c>
      <c r="AV101" s="21">
        <f>EXP(-LN(2)/25)*AV100+(1-EXP(-LN(2)/25))/(LN(2)/25)*Calculateur!AQ101*Calculateur!AS101*VLOOKUP('Données projet'!$B$10,Paramètres!$A$1:$I$89,3,0)*0.475*44/12</f>
        <v>43.476470580105747</v>
      </c>
      <c r="AW101" s="21">
        <f>EXP(-LN(2)/2)*AW100+(1-EXP(-LN(2)/2))/(LN(2)/2)*AQ101*AT101*VLOOKUP('Données projet'!$B$10,Paramètres!$A$1:$I$89,3,0)*0.475*44/12</f>
        <v>0.1515372121790097</v>
      </c>
      <c r="AX101" s="21">
        <f t="shared" si="60"/>
        <v>186.94043839082025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414.74478665387051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2.2737367544323206E-13</v>
      </c>
      <c r="O102" s="13">
        <f>N102*VLOOKUP('Données projet'!$B$9,Paramètres!$A$1:$I$89,3,0)*VLOOKUP('Données projet'!$B$9,Paramètres!$A$1:$I$89,5,0)</f>
        <v>1.064108801074326E-13</v>
      </c>
      <c r="P102" s="13">
        <f t="shared" si="87"/>
        <v>1.5870730813698654E-12</v>
      </c>
      <c r="Q102" s="20">
        <f t="shared" si="107"/>
        <v>2.9494845662396269E-12</v>
      </c>
      <c r="R102" s="59">
        <f t="shared" si="55"/>
        <v>293.33333333333627</v>
      </c>
      <c r="S102" s="59">
        <f ca="1">AVERAGE(OFFSET($R$3,0,0,'Données projet'!$E$9+1,1))-AVERAGE(OFFSET($H$3,0,0,'Données projet'!$E$9+1,1))</f>
        <v>234.83702199169585</v>
      </c>
      <c r="T102" s="59">
        <f t="shared" si="88"/>
        <v>248.83008816685089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93.431405863237174</v>
      </c>
      <c r="AA102" s="21">
        <f>EXP(-LN(2)/25)*AA101+(1-EXP(-LN(2)/25))/(LN(2)/25)*Calculateur!V102*Calculateur!X102*VLOOKUP('Données projet'!$B$9,Paramètres!$A$1:$I$89,3,0)*0.475*44/12</f>
        <v>16.982483532353765</v>
      </c>
      <c r="AB102" s="21">
        <f>EXP(-LN(2)/2)*AB101+(1-EXP(-LN(2)/2))/(LN(2)/2)*V102*Y102*VLOOKUP('Données projet'!$B$9,Paramètres!$A$1:$I$89,3,0)*0.475*44/12</f>
        <v>4.5719401507549066E-6</v>
      </c>
      <c r="AC102" s="22">
        <f t="shared" si="57"/>
        <v>110.4138939675311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5.6843418860808015E-13</v>
      </c>
      <c r="AJ102" s="13">
        <f>AI102*VLOOKUP('Données projet'!$B$10,Paramètres!$A$1:$I$89,3,0)*VLOOKUP('Données projet'!$B$10,Paramètres!$A$1:$I$89,5,0)</f>
        <v>2.2907897800905631E-13</v>
      </c>
      <c r="AK102" s="13">
        <f t="shared" si="89"/>
        <v>3.1248920576624499E-12</v>
      </c>
      <c r="AL102" s="20">
        <f t="shared" si="58"/>
        <v>5.8414995537945398E-12</v>
      </c>
      <c r="AM102" s="59">
        <f t="shared" si="59"/>
        <v>293.33333333333917</v>
      </c>
      <c r="AN102" s="59">
        <f ca="1">AVERAGE(OFFSET($AM$3,0,0,'Données projet'!$E$10+1,1))-AVERAGE(OFFSET($H$3,0,0,'Données projet'!$E$10+1,1))</f>
        <v>314.16268026911069</v>
      </c>
      <c r="AO102" s="59">
        <f t="shared" si="90"/>
        <v>265.23571072429735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140.50216124644965</v>
      </c>
      <c r="AV102" s="21">
        <f>EXP(-LN(2)/25)*AV101+(1-EXP(-LN(2)/25))/(LN(2)/25)*Calculateur!AQ102*Calculateur!AS102*VLOOKUP('Données projet'!$B$10,Paramètres!$A$1:$I$89,3,0)*0.475*44/12</f>
        <v>42.287604205764538</v>
      </c>
      <c r="AW102" s="21">
        <f>EXP(-LN(2)/2)*AW101+(1-EXP(-LN(2)/2))/(LN(2)/2)*AQ102*AT102*VLOOKUP('Données projet'!$B$10,Paramètres!$A$1:$I$89,3,0)*0.475*44/12</f>
        <v>0.10715299033388244</v>
      </c>
      <c r="AX102" s="21">
        <f t="shared" si="60"/>
        <v>182.89691844254804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415.93896257799588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2.2737367544323206E-13</v>
      </c>
      <c r="O103" s="13">
        <f>N103*VLOOKUP('Données projet'!$B$9,Paramètres!$A$1:$I$89,3,0)*VLOOKUP('Données projet'!$B$9,Paramètres!$A$1:$I$89,5,0)</f>
        <v>1.064108801074326E-13</v>
      </c>
      <c r="P103" s="13">
        <f t="shared" si="87"/>
        <v>1.5870730813698654E-12</v>
      </c>
      <c r="Q103" s="20">
        <f t="shared" si="107"/>
        <v>2.9494845662396269E-12</v>
      </c>
      <c r="R103" s="59">
        <f t="shared" si="55"/>
        <v>293.33333333333627</v>
      </c>
      <c r="S103" s="59">
        <f ca="1">AVERAGE(OFFSET($R$3,0,0,'Données projet'!$E$9+1,1))-AVERAGE(OFFSET($H$3,0,0,'Données projet'!$E$9+1,1))</f>
        <v>234.83702199169585</v>
      </c>
      <c r="T103" s="59">
        <f t="shared" si="88"/>
        <v>248.83008816685089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91.599272981789625</v>
      </c>
      <c r="AA103" s="21">
        <f>EXP(-LN(2)/25)*AA102+(1-EXP(-LN(2)/25))/(LN(2)/25)*Calculateur!V103*Calculateur!X103*VLOOKUP('Données projet'!$B$9,Paramètres!$A$1:$I$89,3,0)*0.475*44/12</f>
        <v>16.518096627091555</v>
      </c>
      <c r="AB103" s="21">
        <f>EXP(-LN(2)/2)*AB102+(1-EXP(-LN(2)/2))/(LN(2)/2)*V103*Y103*VLOOKUP('Données projet'!$B$9,Paramètres!$A$1:$I$89,3,0)*0.475*44/12</f>
        <v>3.2328498837778409E-6</v>
      </c>
      <c r="AC103" s="22">
        <f t="shared" si="57"/>
        <v>108.11737284173105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5.6843418860808015E-13</v>
      </c>
      <c r="AJ103" s="13">
        <f>AI103*VLOOKUP('Données projet'!$B$10,Paramètres!$A$1:$I$89,3,0)*VLOOKUP('Données projet'!$B$10,Paramètres!$A$1:$I$89,5,0)</f>
        <v>2.2907897800905631E-13</v>
      </c>
      <c r="AK103" s="13">
        <f t="shared" si="89"/>
        <v>3.1248920576624499E-12</v>
      </c>
      <c r="AL103" s="20">
        <f t="shared" si="58"/>
        <v>5.8414995537945398E-12</v>
      </c>
      <c r="AM103" s="59">
        <f t="shared" si="59"/>
        <v>293.33333333333917</v>
      </c>
      <c r="AN103" s="59">
        <f ca="1">AVERAGE(OFFSET($AM$3,0,0,'Données projet'!$E$10+1,1))-AVERAGE(OFFSET($H$3,0,0,'Données projet'!$E$10+1,1))</f>
        <v>314.16268026911069</v>
      </c>
      <c r="AO103" s="59">
        <f t="shared" si="90"/>
        <v>265.23571072429735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137.74699956226317</v>
      </c>
      <c r="AV103" s="21">
        <f>EXP(-LN(2)/25)*AV102+(1-EXP(-LN(2)/25))/(LN(2)/25)*Calculateur!AQ103*Calculateur!AS103*VLOOKUP('Données projet'!$B$10,Paramètres!$A$1:$I$89,3,0)*0.475*44/12</f>
        <v>41.131247444949452</v>
      </c>
      <c r="AW103" s="21">
        <f>EXP(-LN(2)/2)*AW102+(1-EXP(-LN(2)/2))/(LN(2)/2)*AQ103*AT103*VLOOKUP('Données projet'!$B$10,Paramètres!$A$1:$I$89,3,0)*0.475*44/12</f>
        <v>7.576860608950485E-2</v>
      </c>
      <c r="AX103" s="21">
        <f t="shared" si="60"/>
        <v>178.95401561330212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417.13285554686695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2.2737367544323206E-13</v>
      </c>
      <c r="O104" s="13">
        <f>N104*VLOOKUP('Données projet'!$B$9,Paramètres!$A$1:$I$89,3,0)*VLOOKUP('Données projet'!$B$9,Paramètres!$A$1:$I$89,5,0)</f>
        <v>1.064108801074326E-13</v>
      </c>
      <c r="P104" s="13">
        <f t="shared" si="87"/>
        <v>1.5870730813698654E-12</v>
      </c>
      <c r="Q104" s="20">
        <f t="shared" si="107"/>
        <v>2.9494845662396269E-12</v>
      </c>
      <c r="R104" s="59">
        <f t="shared" si="55"/>
        <v>293.33333333333627</v>
      </c>
      <c r="S104" s="59">
        <f ca="1">AVERAGE(OFFSET($R$3,0,0,'Données projet'!$E$9+1,1))-AVERAGE(OFFSET($H$3,0,0,'Données projet'!$E$9+1,1))</f>
        <v>234.83702199169585</v>
      </c>
      <c r="T104" s="59">
        <f t="shared" si="88"/>
        <v>248.83008816685089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89.803067108656535</v>
      </c>
      <c r="AA104" s="21">
        <f>EXP(-LN(2)/25)*AA103+(1-EXP(-LN(2)/25))/(LN(2)/25)*Calculateur!V104*Calculateur!X104*VLOOKUP('Données projet'!$B$9,Paramètres!$A$1:$I$89,3,0)*0.475*44/12</f>
        <v>16.066408406174787</v>
      </c>
      <c r="AB104" s="21">
        <f>EXP(-LN(2)/2)*AB103+(1-EXP(-LN(2)/2))/(LN(2)/2)*V104*Y104*VLOOKUP('Données projet'!$B$9,Paramètres!$A$1:$I$89,3,0)*0.475*44/12</f>
        <v>2.2859700753774533E-6</v>
      </c>
      <c r="AC104" s="22">
        <f t="shared" si="57"/>
        <v>105.86947780080139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5.6843418860808015E-13</v>
      </c>
      <c r="AJ104" s="13">
        <f>AI104*VLOOKUP('Données projet'!$B$10,Paramètres!$A$1:$I$89,3,0)*VLOOKUP('Données projet'!$B$10,Paramètres!$A$1:$I$89,5,0)</f>
        <v>2.2907897800905631E-13</v>
      </c>
      <c r="AK104" s="13">
        <f t="shared" si="89"/>
        <v>3.1248920576624499E-12</v>
      </c>
      <c r="AL104" s="20">
        <f t="shared" si="58"/>
        <v>5.8414995537945398E-12</v>
      </c>
      <c r="AM104" s="59">
        <f t="shared" si="59"/>
        <v>293.33333333333917</v>
      </c>
      <c r="AN104" s="59">
        <f ca="1">AVERAGE(OFFSET($AM$3,0,0,'Données projet'!$E$10+1,1))-AVERAGE(OFFSET($H$3,0,0,'Données projet'!$E$10+1,1))</f>
        <v>314.16268026911069</v>
      </c>
      <c r="AO104" s="59">
        <f t="shared" si="90"/>
        <v>265.23571072429735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135.0458649182209</v>
      </c>
      <c r="AV104" s="21">
        <f>EXP(-LN(2)/25)*AV103+(1-EXP(-LN(2)/25))/(LN(2)/25)*Calculateur!AQ104*Calculateur!AS104*VLOOKUP('Données projet'!$B$10,Paramètres!$A$1:$I$89,3,0)*0.475*44/12</f>
        <v>40.006511320569011</v>
      </c>
      <c r="AW104" s="21">
        <f>EXP(-LN(2)/2)*AW103+(1-EXP(-LN(2)/2))/(LN(2)/2)*AQ104*AT104*VLOOKUP('Données projet'!$B$10,Paramètres!$A$1:$I$89,3,0)*0.475*44/12</f>
        <v>5.357649516694122E-2</v>
      </c>
      <c r="AX104" s="21">
        <f t="shared" si="60"/>
        <v>175.10595273395685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418.32646868642092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2.2737367544323206E-13</v>
      </c>
      <c r="O105" s="13">
        <f>N105*VLOOKUP('Données projet'!$B$9,Paramètres!$A$1:$I$89,3,0)*VLOOKUP('Données projet'!$B$9,Paramètres!$A$1:$I$89,5,0)</f>
        <v>1.064108801074326E-13</v>
      </c>
      <c r="P105" s="13">
        <f t="shared" si="87"/>
        <v>1.5870730813698654E-12</v>
      </c>
      <c r="Q105" s="20">
        <f t="shared" si="107"/>
        <v>2.9494845662396269E-12</v>
      </c>
      <c r="R105" s="59">
        <f t="shared" si="55"/>
        <v>293.33333333333627</v>
      </c>
      <c r="S105" s="59">
        <f ca="1">AVERAGE(OFFSET($R$3,0,0,'Données projet'!$E$9+1,1))-AVERAGE(OFFSET($H$3,0,0,'Données projet'!$E$9+1,1))</f>
        <v>234.83702199169585</v>
      </c>
      <c r="T105" s="59">
        <f t="shared" si="88"/>
        <v>248.83008816685089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88.04208373711819</v>
      </c>
      <c r="AA105" s="21">
        <f>EXP(-LN(2)/25)*AA104+(1-EXP(-LN(2)/25))/(LN(2)/25)*Calculateur!V105*Calculateur!X105*VLOOKUP('Données projet'!$B$9,Paramètres!$A$1:$I$89,3,0)*0.475*44/12</f>
        <v>15.62707162341224</v>
      </c>
      <c r="AB105" s="21">
        <f>EXP(-LN(2)/2)*AB104+(1-EXP(-LN(2)/2))/(LN(2)/2)*V105*Y105*VLOOKUP('Données projet'!$B$9,Paramètres!$A$1:$I$89,3,0)*0.475*44/12</f>
        <v>1.6164249418889205E-6</v>
      </c>
      <c r="AC105" s="22">
        <f t="shared" si="57"/>
        <v>103.66915697695536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5.6843418860808015E-13</v>
      </c>
      <c r="AJ105" s="13">
        <f>AI105*VLOOKUP('Données projet'!$B$10,Paramètres!$A$1:$I$89,3,0)*VLOOKUP('Données projet'!$B$10,Paramètres!$A$1:$I$89,5,0)</f>
        <v>2.2907897800905631E-13</v>
      </c>
      <c r="AK105" s="13">
        <f t="shared" si="89"/>
        <v>3.1248920576624499E-12</v>
      </c>
      <c r="AL105" s="20">
        <f t="shared" si="58"/>
        <v>5.8414995537945398E-12</v>
      </c>
      <c r="AM105" s="59">
        <f t="shared" si="59"/>
        <v>293.33333333333917</v>
      </c>
      <c r="AN105" s="59">
        <f ca="1">AVERAGE(OFFSET($AM$3,0,0,'Données projet'!$E$10+1,1))-AVERAGE(OFFSET($H$3,0,0,'Données projet'!$E$10+1,1))</f>
        <v>314.16268026911069</v>
      </c>
      <c r="AO105" s="59">
        <f t="shared" si="90"/>
        <v>265.23571072429735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132.39769787701883</v>
      </c>
      <c r="AV105" s="21">
        <f>EXP(-LN(2)/25)*AV104+(1-EXP(-LN(2)/25))/(LN(2)/25)*Calculateur!AQ105*Calculateur!AS105*VLOOKUP('Données projet'!$B$10,Paramètres!$A$1:$I$89,3,0)*0.475*44/12</f>
        <v>38.912531164657054</v>
      </c>
      <c r="AW105" s="21">
        <f>EXP(-LN(2)/2)*AW104+(1-EXP(-LN(2)/2))/(LN(2)/2)*AQ105*AT105*VLOOKUP('Données projet'!$B$10,Paramètres!$A$1:$I$89,3,0)*0.475*44/12</f>
        <v>3.7884303044752425E-2</v>
      </c>
      <c r="AX105" s="21">
        <f t="shared" si="60"/>
        <v>171.34811334472064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419.51980505776862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2.2737367544323206E-13</v>
      </c>
      <c r="O106" s="13">
        <f>N106*VLOOKUP('Données projet'!$B$9,Paramètres!$A$1:$I$89,3,0)*VLOOKUP('Données projet'!$B$9,Paramètres!$A$1:$I$89,5,0)</f>
        <v>1.064108801074326E-13</v>
      </c>
      <c r="P106" s="13">
        <f t="shared" si="87"/>
        <v>1.5870730813698654E-12</v>
      </c>
      <c r="Q106" s="20">
        <f t="shared" si="107"/>
        <v>2.9494845662396269E-12</v>
      </c>
      <c r="R106" s="59">
        <f t="shared" si="55"/>
        <v>293.33333333333627</v>
      </c>
      <c r="S106" s="59">
        <f ca="1">AVERAGE(OFFSET($R$3,0,0,'Données projet'!$E$9+1,1))-AVERAGE(OFFSET($H$3,0,0,'Données projet'!$E$9+1,1))</f>
        <v>234.83702199169585</v>
      </c>
      <c r="T106" s="59">
        <f t="shared" si="88"/>
        <v>248.83008816685089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86.315632175401916</v>
      </c>
      <c r="AA106" s="21">
        <f>EXP(-LN(2)/25)*AA105+(1-EXP(-LN(2)/25))/(LN(2)/25)*Calculateur!V106*Calculateur!X106*VLOOKUP('Données projet'!$B$9,Paramètres!$A$1:$I$89,3,0)*0.475*44/12</f>
        <v>15.199748528078052</v>
      </c>
      <c r="AB106" s="21">
        <f>EXP(-LN(2)/2)*AB105+(1-EXP(-LN(2)/2))/(LN(2)/2)*V106*Y106*VLOOKUP('Données projet'!$B$9,Paramètres!$A$1:$I$89,3,0)*0.475*44/12</f>
        <v>1.1429850376887267E-6</v>
      </c>
      <c r="AC106" s="22">
        <f t="shared" si="57"/>
        <v>101.515381846465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5.6843418860808015E-13</v>
      </c>
      <c r="AJ106" s="13">
        <f>AI106*VLOOKUP('Données projet'!$B$10,Paramètres!$A$1:$I$89,3,0)*VLOOKUP('Données projet'!$B$10,Paramètres!$A$1:$I$89,5,0)</f>
        <v>2.2907897800905631E-13</v>
      </c>
      <c r="AK106" s="13">
        <f t="shared" si="89"/>
        <v>3.1248920576624499E-12</v>
      </c>
      <c r="AL106" s="20">
        <f t="shared" si="58"/>
        <v>5.8414995537945398E-12</v>
      </c>
      <c r="AM106" s="59">
        <f t="shared" si="59"/>
        <v>293.33333333333917</v>
      </c>
      <c r="AN106" s="59">
        <f ca="1">AVERAGE(OFFSET($AM$3,0,0,'Données projet'!$E$10+1,1))-AVERAGE(OFFSET($H$3,0,0,'Données projet'!$E$10+1,1))</f>
        <v>314.16268026911069</v>
      </c>
      <c r="AO106" s="59">
        <f t="shared" si="90"/>
        <v>265.23571072429735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129.80145977627234</v>
      </c>
      <c r="AV106" s="21">
        <f>EXP(-LN(2)/25)*AV105+(1-EXP(-LN(2)/25))/(LN(2)/25)*Calculateur!AQ106*Calculateur!AS106*VLOOKUP('Données projet'!$B$10,Paramètres!$A$1:$I$89,3,0)*0.475*44/12</f>
        <v>37.848465953638431</v>
      </c>
      <c r="AW106" s="21">
        <f>EXP(-LN(2)/2)*AW105+(1-EXP(-LN(2)/2))/(LN(2)/2)*AQ106*AT106*VLOOKUP('Données projet'!$B$10,Paramètres!$A$1:$I$89,3,0)*0.475*44/12</f>
        <v>2.678824758347061E-2</v>
      </c>
      <c r="AX106" s="21">
        <f t="shared" si="60"/>
        <v>167.67671397749425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420.71286765915517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2.2737367544323206E-13</v>
      </c>
      <c r="O107" s="13">
        <f>N107*VLOOKUP('Données projet'!$B$9,Paramètres!$A$1:$I$89,3,0)*VLOOKUP('Données projet'!$B$9,Paramètres!$A$1:$I$89,5,0)</f>
        <v>1.064108801074326E-13</v>
      </c>
      <c r="P107" s="13">
        <f t="shared" si="87"/>
        <v>1.5870730813698654E-12</v>
      </c>
      <c r="Q107" s="20">
        <f t="shared" si="107"/>
        <v>2.9494845662396269E-12</v>
      </c>
      <c r="R107" s="59">
        <f t="shared" si="55"/>
        <v>293.33333333333627</v>
      </c>
      <c r="S107" s="59">
        <f ca="1">AVERAGE(OFFSET($R$3,0,0,'Données projet'!$E$9+1,1))-AVERAGE(OFFSET($H$3,0,0,'Données projet'!$E$9+1,1))</f>
        <v>234.83702199169585</v>
      </c>
      <c r="T107" s="59">
        <f t="shared" si="88"/>
        <v>248.83008816685089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84.623035275779415</v>
      </c>
      <c r="AA107" s="21">
        <f>EXP(-LN(2)/25)*AA106+(1-EXP(-LN(2)/25))/(LN(2)/25)*Calculateur!V107*Calculateur!X107*VLOOKUP('Données projet'!$B$9,Paramètres!$A$1:$I$89,3,0)*0.475*44/12</f>
        <v>14.784110605257721</v>
      </c>
      <c r="AB107" s="21">
        <f>EXP(-LN(2)/2)*AB106+(1-EXP(-LN(2)/2))/(LN(2)/2)*V107*Y107*VLOOKUP('Données projet'!$B$9,Paramètres!$A$1:$I$89,3,0)*0.475*44/12</f>
        <v>8.0821247094446023E-7</v>
      </c>
      <c r="AC107" s="22">
        <f t="shared" si="57"/>
        <v>99.407146689249615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5.6843418860808015E-13</v>
      </c>
      <c r="AJ107" s="13">
        <f>AI107*VLOOKUP('Données projet'!$B$10,Paramètres!$A$1:$I$89,3,0)*VLOOKUP('Données projet'!$B$10,Paramètres!$A$1:$I$89,5,0)</f>
        <v>2.2907897800905631E-13</v>
      </c>
      <c r="AK107" s="13">
        <f t="shared" si="89"/>
        <v>3.1248920576624499E-12</v>
      </c>
      <c r="AL107" s="20">
        <f t="shared" si="58"/>
        <v>5.8414995537945398E-12</v>
      </c>
      <c r="AM107" s="59">
        <f t="shared" si="59"/>
        <v>293.33333333333917</v>
      </c>
      <c r="AN107" s="59">
        <f ca="1">AVERAGE(OFFSET($AM$3,0,0,'Données projet'!$E$10+1,1))-AVERAGE(OFFSET($H$3,0,0,'Données projet'!$E$10+1,1))</f>
        <v>314.16268026911069</v>
      </c>
      <c r="AO107" s="59">
        <f t="shared" si="90"/>
        <v>265.23571072429735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127.25613232113261</v>
      </c>
      <c r="AV107" s="21">
        <f>EXP(-LN(2)/25)*AV106+(1-EXP(-LN(2)/25))/(LN(2)/25)*Calculateur!AQ107*Calculateur!AS107*VLOOKUP('Données projet'!$B$10,Paramètres!$A$1:$I$89,3,0)*0.475*44/12</f>
        <v>36.813497661771869</v>
      </c>
      <c r="AW107" s="21">
        <f>EXP(-LN(2)/2)*AW106+(1-EXP(-LN(2)/2))/(LN(2)/2)*AQ107*AT107*VLOOKUP('Données projet'!$B$10,Paramètres!$A$1:$I$89,3,0)*0.475*44/12</f>
        <v>1.8942151522376213E-2</v>
      </c>
      <c r="AX107" s="21">
        <f t="shared" si="60"/>
        <v>164.08857213442684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421.90565942784269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2.2737367544323206E-13</v>
      </c>
      <c r="O108" s="13">
        <f>N108*VLOOKUP('Données projet'!$B$9,Paramètres!$A$1:$I$89,3,0)*VLOOKUP('Données projet'!$B$9,Paramètres!$A$1:$I$89,5,0)</f>
        <v>1.064108801074326E-13</v>
      </c>
      <c r="P108" s="13">
        <f t="shared" si="87"/>
        <v>1.5870730813698654E-12</v>
      </c>
      <c r="Q108" s="20">
        <f t="shared" si="107"/>
        <v>2.9494845662396269E-12</v>
      </c>
      <c r="R108" s="59">
        <f t="shared" si="55"/>
        <v>293.33333333333627</v>
      </c>
      <c r="S108" s="59">
        <f ca="1">AVERAGE(OFFSET($R$3,0,0,'Données projet'!$E$9+1,1))-AVERAGE(OFFSET($H$3,0,0,'Données projet'!$E$9+1,1))</f>
        <v>234.83702199169585</v>
      </c>
      <c r="T108" s="59">
        <f t="shared" si="88"/>
        <v>248.83008816685089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82.96362916897634</v>
      </c>
      <c r="AA108" s="21">
        <f>EXP(-LN(2)/25)*AA107+(1-EXP(-LN(2)/25))/(LN(2)/25)*Calculateur!V108*Calculateur!X108*VLOOKUP('Données projet'!$B$9,Paramètres!$A$1:$I$89,3,0)*0.475*44/12</f>
        <v>14.379838323294361</v>
      </c>
      <c r="AB108" s="21">
        <f>EXP(-LN(2)/2)*AB107+(1-EXP(-LN(2)/2))/(LN(2)/2)*V108*Y108*VLOOKUP('Données projet'!$B$9,Paramètres!$A$1:$I$89,3,0)*0.475*44/12</f>
        <v>5.7149251884436333E-7</v>
      </c>
      <c r="AC108" s="22">
        <f t="shared" si="57"/>
        <v>97.343468063763225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5.6843418860808015E-13</v>
      </c>
      <c r="AJ108" s="13">
        <f>AI108*VLOOKUP('Données projet'!$B$10,Paramètres!$A$1:$I$89,3,0)*VLOOKUP('Données projet'!$B$10,Paramètres!$A$1:$I$89,5,0)</f>
        <v>2.2907897800905631E-13</v>
      </c>
      <c r="AK108" s="13">
        <f t="shared" si="89"/>
        <v>3.1248920576624499E-12</v>
      </c>
      <c r="AL108" s="20">
        <f t="shared" si="58"/>
        <v>5.8414995537945398E-12</v>
      </c>
      <c r="AM108" s="59">
        <f t="shared" si="59"/>
        <v>293.33333333333917</v>
      </c>
      <c r="AN108" s="59">
        <f ca="1">AVERAGE(OFFSET($AM$3,0,0,'Données projet'!$E$10+1,1))-AVERAGE(OFFSET($H$3,0,0,'Données projet'!$E$10+1,1))</f>
        <v>314.16268026911069</v>
      </c>
      <c r="AO108" s="59">
        <f t="shared" si="90"/>
        <v>265.23571072429735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124.76071718489172</v>
      </c>
      <c r="AV108" s="21">
        <f>EXP(-LN(2)/25)*AV107+(1-EXP(-LN(2)/25))/(LN(2)/25)*Calculateur!AQ108*Calculateur!AS108*VLOOKUP('Données projet'!$B$10,Paramètres!$A$1:$I$89,3,0)*0.475*44/12</f>
        <v>35.806830632273012</v>
      </c>
      <c r="AW108" s="21">
        <f>EXP(-LN(2)/2)*AW107+(1-EXP(-LN(2)/2))/(LN(2)/2)*AQ108*AT108*VLOOKUP('Données projet'!$B$10,Paramètres!$A$1:$I$89,3,0)*0.475*44/12</f>
        <v>1.3394123791735305E-2</v>
      </c>
      <c r="AX108" s="21">
        <f t="shared" si="60"/>
        <v>160.58094194095645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423.09818324191957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2.2737367544323206E-13</v>
      </c>
      <c r="O109" s="13">
        <f>N109*VLOOKUP('Données projet'!$B$9,Paramètres!$A$1:$I$89,3,0)*VLOOKUP('Données projet'!$B$9,Paramètres!$A$1:$I$89,5,0)</f>
        <v>1.064108801074326E-13</v>
      </c>
      <c r="P109" s="13">
        <f t="shared" si="87"/>
        <v>1.5870730813698654E-12</v>
      </c>
      <c r="Q109" s="20">
        <f t="shared" si="107"/>
        <v>2.9494845662396269E-12</v>
      </c>
      <c r="R109" s="59">
        <f t="shared" si="55"/>
        <v>293.33333333333627</v>
      </c>
      <c r="S109" s="59">
        <f ca="1">AVERAGE(OFFSET($R$3,0,0,'Données projet'!$E$9+1,1))-AVERAGE(OFFSET($H$3,0,0,'Données projet'!$E$9+1,1))</f>
        <v>234.83702199169585</v>
      </c>
      <c r="T109" s="59">
        <f t="shared" si="88"/>
        <v>248.83008816685089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81.336763003789898</v>
      </c>
      <c r="AA109" s="21">
        <f>EXP(-LN(2)/25)*AA108+(1-EXP(-LN(2)/25))/(LN(2)/25)*Calculateur!V109*Calculateur!X109*VLOOKUP('Données projet'!$B$9,Paramètres!$A$1:$I$89,3,0)*0.475*44/12</f>
        <v>13.986620888141045</v>
      </c>
      <c r="AB109" s="21">
        <f>EXP(-LN(2)/2)*AB108+(1-EXP(-LN(2)/2))/(LN(2)/2)*V109*Y109*VLOOKUP('Données projet'!$B$9,Paramètres!$A$1:$I$89,3,0)*0.475*44/12</f>
        <v>4.0410623547223012E-7</v>
      </c>
      <c r="AC109" s="22">
        <f t="shared" si="57"/>
        <v>95.323384296037176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5.6843418860808015E-13</v>
      </c>
      <c r="AJ109" s="13">
        <f>AI109*VLOOKUP('Données projet'!$B$10,Paramètres!$A$1:$I$89,3,0)*VLOOKUP('Données projet'!$B$10,Paramètres!$A$1:$I$89,5,0)</f>
        <v>2.2907897800905631E-13</v>
      </c>
      <c r="AK109" s="13">
        <f t="shared" si="89"/>
        <v>3.1248920576624499E-12</v>
      </c>
      <c r="AL109" s="20">
        <f t="shared" si="58"/>
        <v>5.8414995537945398E-12</v>
      </c>
      <c r="AM109" s="59">
        <f t="shared" si="59"/>
        <v>293.33333333333917</v>
      </c>
      <c r="AN109" s="59">
        <f ca="1">AVERAGE(OFFSET($AM$3,0,0,'Données projet'!$E$10+1,1))-AVERAGE(OFFSET($H$3,0,0,'Données projet'!$E$10+1,1))</f>
        <v>314.16268026911069</v>
      </c>
      <c r="AO109" s="59">
        <f t="shared" si="90"/>
        <v>265.23571072429735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122.31423561741957</v>
      </c>
      <c r="AV109" s="21">
        <f>EXP(-LN(2)/25)*AV108+(1-EXP(-LN(2)/25))/(LN(2)/25)*Calculateur!AQ109*Calculateur!AS109*VLOOKUP('Données projet'!$B$10,Paramètres!$A$1:$I$89,3,0)*0.475*44/12</f>
        <v>34.827690965634119</v>
      </c>
      <c r="AW109" s="21">
        <f>EXP(-LN(2)/2)*AW108+(1-EXP(-LN(2)/2))/(LN(2)/2)*AQ109*AT109*VLOOKUP('Données projet'!$B$10,Paramètres!$A$1:$I$89,3,0)*0.475*44/12</f>
        <v>9.4710757611881063E-3</v>
      </c>
      <c r="AX109" s="21">
        <f t="shared" si="60"/>
        <v>157.15139765881489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424.29044192203901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2.2737367544323206E-13</v>
      </c>
      <c r="O110" s="13">
        <f>N110*VLOOKUP('Données projet'!$B$9,Paramètres!$A$1:$I$89,3,0)*VLOOKUP('Données projet'!$B$9,Paramètres!$A$1:$I$89,5,0)</f>
        <v>1.064108801074326E-13</v>
      </c>
      <c r="P110" s="13">
        <f t="shared" si="87"/>
        <v>1.5870730813698654E-12</v>
      </c>
      <c r="Q110" s="20">
        <f t="shared" si="107"/>
        <v>2.9494845662396269E-12</v>
      </c>
      <c r="R110" s="59">
        <f t="shared" si="55"/>
        <v>293.33333333333627</v>
      </c>
      <c r="S110" s="59">
        <f ca="1">AVERAGE(OFFSET($R$3,0,0,'Données projet'!$E$9+1,1))-AVERAGE(OFFSET($H$3,0,0,'Données projet'!$E$9+1,1))</f>
        <v>234.83702199169585</v>
      </c>
      <c r="T110" s="59">
        <f t="shared" si="88"/>
        <v>248.83008816685089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79.741798691812377</v>
      </c>
      <c r="AA110" s="21">
        <f>EXP(-LN(2)/25)*AA109+(1-EXP(-LN(2)/25))/(LN(2)/25)*Calculateur!V110*Calculateur!X110*VLOOKUP('Données projet'!$B$9,Paramètres!$A$1:$I$89,3,0)*0.475*44/12</f>
        <v>13.604156004430402</v>
      </c>
      <c r="AB110" s="21">
        <f>EXP(-LN(2)/2)*AB109+(1-EXP(-LN(2)/2))/(LN(2)/2)*V110*Y110*VLOOKUP('Données projet'!$B$9,Paramètres!$A$1:$I$89,3,0)*0.475*44/12</f>
        <v>2.8574625942218167E-7</v>
      </c>
      <c r="AC110" s="22">
        <f t="shared" si="57"/>
        <v>93.345954981989038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5.6843418860808015E-13</v>
      </c>
      <c r="AJ110" s="13">
        <f>AI110*VLOOKUP('Données projet'!$B$10,Paramètres!$A$1:$I$89,3,0)*VLOOKUP('Données projet'!$B$10,Paramètres!$A$1:$I$89,5,0)</f>
        <v>2.2907897800905631E-13</v>
      </c>
      <c r="AK110" s="13">
        <f t="shared" si="89"/>
        <v>3.1248920576624499E-12</v>
      </c>
      <c r="AL110" s="20">
        <f t="shared" si="58"/>
        <v>5.8414995537945398E-12</v>
      </c>
      <c r="AM110" s="59">
        <f t="shared" si="59"/>
        <v>293.33333333333917</v>
      </c>
      <c r="AN110" s="59">
        <f ca="1">AVERAGE(OFFSET($AM$3,0,0,'Données projet'!$E$10+1,1))-AVERAGE(OFFSET($H$3,0,0,'Données projet'!$E$10+1,1))</f>
        <v>314.16268026911069</v>
      </c>
      <c r="AO110" s="59">
        <f t="shared" si="90"/>
        <v>265.23571072429735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119.91572806127914</v>
      </c>
      <c r="AV110" s="21">
        <f>EXP(-LN(2)/25)*AV109+(1-EXP(-LN(2)/25))/(LN(2)/25)*Calculateur!AQ110*Calculateur!AS110*VLOOKUP('Données projet'!$B$10,Paramètres!$A$1:$I$89,3,0)*0.475*44/12</f>
        <v>33.875325924670186</v>
      </c>
      <c r="AW110" s="21">
        <f>EXP(-LN(2)/2)*AW109+(1-EXP(-LN(2)/2))/(LN(2)/2)*AQ110*AT110*VLOOKUP('Données projet'!$B$10,Paramètres!$A$1:$I$89,3,0)*0.475*44/12</f>
        <v>6.6970618958676524E-3</v>
      </c>
      <c r="AX110" s="21">
        <f t="shared" si="60"/>
        <v>153.7977510478452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425.48243823309122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2.2737367544323206E-13</v>
      </c>
      <c r="O111" s="13">
        <f>N111*VLOOKUP('Données projet'!$B$9,Paramètres!$A$1:$I$89,3,0)*VLOOKUP('Données projet'!$B$9,Paramètres!$A$1:$I$89,5,0)</f>
        <v>1.064108801074326E-13</v>
      </c>
      <c r="P111" s="13">
        <f t="shared" si="87"/>
        <v>1.5870730813698654E-12</v>
      </c>
      <c r="Q111" s="20">
        <f t="shared" si="107"/>
        <v>2.9494845662396269E-12</v>
      </c>
      <c r="R111" s="59">
        <f t="shared" si="55"/>
        <v>293.33333333333627</v>
      </c>
      <c r="S111" s="59">
        <f ca="1">AVERAGE(OFFSET($R$3,0,0,'Données projet'!$E$9+1,1))-AVERAGE(OFFSET($H$3,0,0,'Données projet'!$E$9+1,1))</f>
        <v>234.83702199169585</v>
      </c>
      <c r="T111" s="59">
        <f t="shared" si="88"/>
        <v>248.83008816685089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78.178110657160559</v>
      </c>
      <c r="AA111" s="21">
        <f>EXP(-LN(2)/25)*AA110+(1-EXP(-LN(2)/25))/(LN(2)/25)*Calculateur!V111*Calculateur!X111*VLOOKUP('Données projet'!$B$9,Paramètres!$A$1:$I$89,3,0)*0.475*44/12</f>
        <v>13.232149643077781</v>
      </c>
      <c r="AB111" s="21">
        <f>EXP(-LN(2)/2)*AB110+(1-EXP(-LN(2)/2))/(LN(2)/2)*V111*Y111*VLOOKUP('Données projet'!$B$9,Paramètres!$A$1:$I$89,3,0)*0.475*44/12</f>
        <v>2.0205311773611506E-7</v>
      </c>
      <c r="AC111" s="22">
        <f t="shared" si="57"/>
        <v>91.41026050229145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5.6843418860808015E-13</v>
      </c>
      <c r="AJ111" s="13">
        <f>AI111*VLOOKUP('Données projet'!$B$10,Paramètres!$A$1:$I$89,3,0)*VLOOKUP('Données projet'!$B$10,Paramètres!$A$1:$I$89,5,0)</f>
        <v>2.2907897800905631E-13</v>
      </c>
      <c r="AK111" s="13">
        <f t="shared" si="89"/>
        <v>3.1248920576624499E-12</v>
      </c>
      <c r="AL111" s="20">
        <f t="shared" si="58"/>
        <v>5.8414995537945398E-12</v>
      </c>
      <c r="AM111" s="59">
        <f t="shared" si="59"/>
        <v>293.33333333333917</v>
      </c>
      <c r="AN111" s="59">
        <f ca="1">AVERAGE(OFFSET($AM$3,0,0,'Données projet'!$E$10+1,1))-AVERAGE(OFFSET($H$3,0,0,'Données projet'!$E$10+1,1))</f>
        <v>314.16268026911069</v>
      </c>
      <c r="AO111" s="59">
        <f t="shared" si="90"/>
        <v>265.23571072429735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117.56425377536947</v>
      </c>
      <c r="AV111" s="21">
        <f>EXP(-LN(2)/25)*AV110+(1-EXP(-LN(2)/25))/(LN(2)/25)*Calculateur!AQ111*Calculateur!AS111*VLOOKUP('Données projet'!$B$10,Paramètres!$A$1:$I$89,3,0)*0.475*44/12</f>
        <v>32.949003355834115</v>
      </c>
      <c r="AW111" s="21">
        <f>EXP(-LN(2)/2)*AW110+(1-EXP(-LN(2)/2))/(LN(2)/2)*AQ111*AT111*VLOOKUP('Données projet'!$B$10,Paramètres!$A$1:$I$89,3,0)*0.475*44/12</f>
        <v>4.7355378805940531E-3</v>
      </c>
      <c r="AX111" s="21">
        <f t="shared" si="60"/>
        <v>150.51799266908418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426.67417488581191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2.2737367544323206E-13</v>
      </c>
      <c r="O112" s="13">
        <f>N112*VLOOKUP('Données projet'!$B$9,Paramètres!$A$1:$I$89,3,0)*VLOOKUP('Données projet'!$B$9,Paramètres!$A$1:$I$89,5,0)</f>
        <v>1.064108801074326E-13</v>
      </c>
      <c r="P112" s="13">
        <f t="shared" si="87"/>
        <v>1.5870730813698654E-12</v>
      </c>
      <c r="Q112" s="20">
        <f t="shared" si="107"/>
        <v>2.9494845662396269E-12</v>
      </c>
      <c r="R112" s="59">
        <f t="shared" si="55"/>
        <v>293.33333333333627</v>
      </c>
      <c r="S112" s="59">
        <f ca="1">AVERAGE(OFFSET($R$3,0,0,'Données projet'!$E$9+1,1))-AVERAGE(OFFSET($H$3,0,0,'Données projet'!$E$9+1,1))</f>
        <v>234.83702199169585</v>
      </c>
      <c r="T112" s="59">
        <f t="shared" si="88"/>
        <v>248.83008816685089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76.645085591112746</v>
      </c>
      <c r="AA112" s="21">
        <f>EXP(-LN(2)/25)*AA111+(1-EXP(-LN(2)/25))/(LN(2)/25)*Calculateur!V112*Calculateur!X112*VLOOKUP('Données projet'!$B$9,Paramètres!$A$1:$I$89,3,0)*0.475*44/12</f>
        <v>12.870315815239312</v>
      </c>
      <c r="AB112" s="21">
        <f>EXP(-LN(2)/2)*AB111+(1-EXP(-LN(2)/2))/(LN(2)/2)*V112*Y112*VLOOKUP('Données projet'!$B$9,Paramètres!$A$1:$I$89,3,0)*0.475*44/12</f>
        <v>1.4287312971109083E-7</v>
      </c>
      <c r="AC112" s="22">
        <f t="shared" si="57"/>
        <v>89.515401549225189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5.6843418860808015E-13</v>
      </c>
      <c r="AJ112" s="13">
        <f>AI112*VLOOKUP('Données projet'!$B$10,Paramètres!$A$1:$I$89,3,0)*VLOOKUP('Données projet'!$B$10,Paramètres!$A$1:$I$89,5,0)</f>
        <v>2.2907897800905631E-13</v>
      </c>
      <c r="AK112" s="13">
        <f t="shared" si="89"/>
        <v>3.1248920576624499E-12</v>
      </c>
      <c r="AL112" s="20">
        <f t="shared" si="58"/>
        <v>5.8414995537945398E-12</v>
      </c>
      <c r="AM112" s="59">
        <f t="shared" si="59"/>
        <v>293.33333333333917</v>
      </c>
      <c r="AN112" s="59">
        <f ca="1">AVERAGE(OFFSET($AM$3,0,0,'Données projet'!$E$10+1,1))-AVERAGE(OFFSET($H$3,0,0,'Données projet'!$E$10+1,1))</f>
        <v>314.16268026911069</v>
      </c>
      <c r="AO112" s="59">
        <f t="shared" si="90"/>
        <v>265.23571072429735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115.25889046594878</v>
      </c>
      <c r="AV112" s="21">
        <f>EXP(-LN(2)/25)*AV111+(1-EXP(-LN(2)/25))/(LN(2)/25)*Calculateur!AQ112*Calculateur!AS112*VLOOKUP('Données projet'!$B$10,Paramètres!$A$1:$I$89,3,0)*0.475*44/12</f>
        <v>32.048011126356052</v>
      </c>
      <c r="AW112" s="21">
        <f>EXP(-LN(2)/2)*AW111+(1-EXP(-LN(2)/2))/(LN(2)/2)*AQ112*AT112*VLOOKUP('Données projet'!$B$10,Paramètres!$A$1:$I$89,3,0)*0.475*44/12</f>
        <v>3.3485309479338262E-3</v>
      </c>
      <c r="AX112" s="21">
        <f t="shared" si="60"/>
        <v>147.31025012325276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427.8656545383293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2.2737367544323206E-13</v>
      </c>
      <c r="O113" s="13">
        <f>N113*VLOOKUP('Données projet'!$B$9,Paramètres!$A$1:$I$89,3,0)*VLOOKUP('Données projet'!$B$9,Paramètres!$A$1:$I$89,5,0)</f>
        <v>1.064108801074326E-13</v>
      </c>
      <c r="P113" s="13">
        <f t="shared" si="87"/>
        <v>1.5870730813698654E-12</v>
      </c>
      <c r="Q113" s="20">
        <f t="shared" si="107"/>
        <v>2.9494845662396269E-12</v>
      </c>
      <c r="R113" s="59">
        <f t="shared" si="55"/>
        <v>293.33333333333627</v>
      </c>
      <c r="S113" s="59">
        <f ca="1">AVERAGE(OFFSET($R$3,0,0,'Données projet'!$E$9+1,1))-AVERAGE(OFFSET($H$3,0,0,'Données projet'!$E$9+1,1))</f>
        <v>234.83702199169585</v>
      </c>
      <c r="T113" s="59">
        <f t="shared" si="88"/>
        <v>248.83008816685089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75.142122211557165</v>
      </c>
      <c r="AA113" s="21">
        <f>EXP(-LN(2)/25)*AA112+(1-EXP(-LN(2)/25))/(LN(2)/25)*Calculateur!V113*Calculateur!X113*VLOOKUP('Données projet'!$B$9,Paramètres!$A$1:$I$89,3,0)*0.475*44/12</f>
        <v>12.518376352451099</v>
      </c>
      <c r="AB113" s="21">
        <f>EXP(-LN(2)/2)*AB112+(1-EXP(-LN(2)/2))/(LN(2)/2)*V113*Y113*VLOOKUP('Données projet'!$B$9,Paramètres!$A$1:$I$89,3,0)*0.475*44/12</f>
        <v>1.0102655886805753E-7</v>
      </c>
      <c r="AC113" s="22">
        <f t="shared" si="57"/>
        <v>87.660498665034822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5.6843418860808015E-13</v>
      </c>
      <c r="AJ113" s="13">
        <f>AI113*VLOOKUP('Données projet'!$B$10,Paramètres!$A$1:$I$89,3,0)*VLOOKUP('Données projet'!$B$10,Paramètres!$A$1:$I$89,5,0)</f>
        <v>2.2907897800905631E-13</v>
      </c>
      <c r="AK113" s="13">
        <f t="shared" si="89"/>
        <v>3.1248920576624499E-12</v>
      </c>
      <c r="AL113" s="20">
        <f t="shared" si="58"/>
        <v>5.8414995537945398E-12</v>
      </c>
      <c r="AM113" s="59">
        <f t="shared" si="59"/>
        <v>293.33333333333917</v>
      </c>
      <c r="AN113" s="59">
        <f ca="1">AVERAGE(OFFSET($AM$3,0,0,'Données projet'!$E$10+1,1))-AVERAGE(OFFSET($H$3,0,0,'Données projet'!$E$10+1,1))</f>
        <v>314.16268026911069</v>
      </c>
      <c r="AO113" s="59">
        <f t="shared" si="90"/>
        <v>265.23571072429735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112.99873392489306</v>
      </c>
      <c r="AV113" s="21">
        <f>EXP(-LN(2)/25)*AV112+(1-EXP(-LN(2)/25))/(LN(2)/25)*Calculateur!AQ113*Calculateur!AS113*VLOOKUP('Données projet'!$B$10,Paramètres!$A$1:$I$89,3,0)*0.475*44/12</f>
        <v>31.171656576774186</v>
      </c>
      <c r="AW113" s="21">
        <f>EXP(-LN(2)/2)*AW112+(1-EXP(-LN(2)/2))/(LN(2)/2)*AQ113*AT113*VLOOKUP('Données projet'!$B$10,Paramètres!$A$1:$I$89,3,0)*0.475*44/12</f>
        <v>2.3677689402970266E-3</v>
      </c>
      <c r="AX113" s="21">
        <f t="shared" si="60"/>
        <v>144.17275827060755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429.05687979765457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2.2737367544323206E-13</v>
      </c>
      <c r="O114" s="13">
        <f>N114*VLOOKUP('Données projet'!$B$9,Paramètres!$A$1:$I$89,3,0)*VLOOKUP('Données projet'!$B$9,Paramètres!$A$1:$I$89,5,0)</f>
        <v>1.064108801074326E-13</v>
      </c>
      <c r="P114" s="13">
        <f t="shared" si="87"/>
        <v>1.5870730813698654E-12</v>
      </c>
      <c r="Q114" s="20">
        <f t="shared" si="107"/>
        <v>2.9494845662396269E-12</v>
      </c>
      <c r="R114" s="59">
        <f t="shared" si="55"/>
        <v>293.33333333333627</v>
      </c>
      <c r="S114" s="59">
        <f ca="1">AVERAGE(OFFSET($R$3,0,0,'Données projet'!$E$9+1,1))-AVERAGE(OFFSET($H$3,0,0,'Données projet'!$E$9+1,1))</f>
        <v>234.83702199169585</v>
      </c>
      <c r="T114" s="59">
        <f t="shared" si="88"/>
        <v>248.83008816685089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73.668631027157531</v>
      </c>
      <c r="AA114" s="21">
        <f>EXP(-LN(2)/25)*AA113+(1-EXP(-LN(2)/25))/(LN(2)/25)*Calculateur!V114*Calculateur!X114*VLOOKUP('Données projet'!$B$9,Paramètres!$A$1:$I$89,3,0)*0.475*44/12</f>
        <v>12.176060692780522</v>
      </c>
      <c r="AB114" s="21">
        <f>EXP(-LN(2)/2)*AB113+(1-EXP(-LN(2)/2))/(LN(2)/2)*V114*Y114*VLOOKUP('Données projet'!$B$9,Paramètres!$A$1:$I$89,3,0)*0.475*44/12</f>
        <v>7.1436564855545416E-8</v>
      </c>
      <c r="AC114" s="22">
        <f t="shared" si="57"/>
        <v>85.844691791374615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5.6843418860808015E-13</v>
      </c>
      <c r="AJ114" s="13">
        <f>AI114*VLOOKUP('Données projet'!$B$10,Paramètres!$A$1:$I$89,3,0)*VLOOKUP('Données projet'!$B$10,Paramètres!$A$1:$I$89,5,0)</f>
        <v>2.2907897800905631E-13</v>
      </c>
      <c r="AK114" s="13">
        <f t="shared" si="89"/>
        <v>3.1248920576624499E-12</v>
      </c>
      <c r="AL114" s="20">
        <f t="shared" si="58"/>
        <v>5.8414995537945398E-12</v>
      </c>
      <c r="AM114" s="59">
        <f t="shared" si="59"/>
        <v>293.33333333333917</v>
      </c>
      <c r="AN114" s="59">
        <f ca="1">AVERAGE(OFFSET($AM$3,0,0,'Données projet'!$E$10+1,1))-AVERAGE(OFFSET($H$3,0,0,'Données projet'!$E$10+1,1))</f>
        <v>314.16268026911069</v>
      </c>
      <c r="AO114" s="59">
        <f t="shared" si="90"/>
        <v>265.23571072429735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110.78289767504808</v>
      </c>
      <c r="AV114" s="21">
        <f>EXP(-LN(2)/25)*AV113+(1-EXP(-LN(2)/25))/(LN(2)/25)*Calculateur!AQ114*Calculateur!AS114*VLOOKUP('Données projet'!$B$10,Paramètres!$A$1:$I$89,3,0)*0.475*44/12</f>
        <v>30.319265988436122</v>
      </c>
      <c r="AW114" s="21">
        <f>EXP(-LN(2)/2)*AW113+(1-EXP(-LN(2)/2))/(LN(2)/2)*AQ114*AT114*VLOOKUP('Données projet'!$B$10,Paramètres!$A$1:$I$89,3,0)*0.475*44/12</f>
        <v>1.6742654739669131E-3</v>
      </c>
      <c r="AX114" s="21">
        <f t="shared" si="60"/>
        <v>141.10383792895817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430.24785322111563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2.2737367544323206E-13</v>
      </c>
      <c r="O115" s="13">
        <f>N115*VLOOKUP('Données projet'!$B$9,Paramètres!$A$1:$I$89,3,0)*VLOOKUP('Données projet'!$B$9,Paramètres!$A$1:$I$89,5,0)</f>
        <v>1.064108801074326E-13</v>
      </c>
      <c r="P115" s="13">
        <f t="shared" si="87"/>
        <v>1.5870730813698654E-12</v>
      </c>
      <c r="Q115" s="20">
        <f t="shared" si="107"/>
        <v>2.9494845662396269E-12</v>
      </c>
      <c r="R115" s="59">
        <f t="shared" si="55"/>
        <v>293.33333333333627</v>
      </c>
      <c r="S115" s="59">
        <f ca="1">AVERAGE(OFFSET($R$3,0,0,'Données projet'!$E$9+1,1))-AVERAGE(OFFSET($H$3,0,0,'Données projet'!$E$9+1,1))</f>
        <v>234.83702199169585</v>
      </c>
      <c r="T115" s="59">
        <f t="shared" si="88"/>
        <v>248.83008816685089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72.224034106143094</v>
      </c>
      <c r="AA115" s="21">
        <f>EXP(-LN(2)/25)*AA114+(1-EXP(-LN(2)/25))/(LN(2)/25)*Calculateur!V115*Calculateur!X115*VLOOKUP('Données projet'!$B$9,Paramètres!$A$1:$I$89,3,0)*0.475*44/12</f>
        <v>11.843105672825235</v>
      </c>
      <c r="AB115" s="21">
        <f>EXP(-LN(2)/2)*AB114+(1-EXP(-LN(2)/2))/(LN(2)/2)*V115*Y115*VLOOKUP('Données projet'!$B$9,Paramètres!$A$1:$I$89,3,0)*0.475*44/12</f>
        <v>5.0513279434028765E-8</v>
      </c>
      <c r="AC115" s="22">
        <f t="shared" si="57"/>
        <v>84.067139829481604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5.6843418860808015E-13</v>
      </c>
      <c r="AJ115" s="13">
        <f>AI115*VLOOKUP('Données projet'!$B$10,Paramètres!$A$1:$I$89,3,0)*VLOOKUP('Données projet'!$B$10,Paramètres!$A$1:$I$89,5,0)</f>
        <v>2.2907897800905631E-13</v>
      </c>
      <c r="AK115" s="13">
        <f t="shared" si="89"/>
        <v>3.1248920576624499E-12</v>
      </c>
      <c r="AL115" s="20">
        <f t="shared" si="58"/>
        <v>5.8414995537945398E-12</v>
      </c>
      <c r="AM115" s="59">
        <f t="shared" si="59"/>
        <v>293.33333333333917</v>
      </c>
      <c r="AN115" s="59">
        <f ca="1">AVERAGE(OFFSET($AM$3,0,0,'Données projet'!$E$10+1,1))-AVERAGE(OFFSET($H$3,0,0,'Données projet'!$E$10+1,1))</f>
        <v>314.16268026911069</v>
      </c>
      <c r="AO115" s="59">
        <f t="shared" si="90"/>
        <v>265.23571072429735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108.61051262253589</v>
      </c>
      <c r="AV115" s="21">
        <f>EXP(-LN(2)/25)*AV114+(1-EXP(-LN(2)/25))/(LN(2)/25)*Calculateur!AQ115*Calculateur!AS115*VLOOKUP('Données projet'!$B$10,Paramètres!$A$1:$I$89,3,0)*0.475*44/12</f>
        <v>29.490184065561433</v>
      </c>
      <c r="AW115" s="21">
        <f>EXP(-LN(2)/2)*AW114+(1-EXP(-LN(2)/2))/(LN(2)/2)*AQ115*AT115*VLOOKUP('Données projet'!$B$10,Paramètres!$A$1:$I$89,3,0)*0.475*44/12</f>
        <v>1.1838844701485133E-3</v>
      </c>
      <c r="AX115" s="21">
        <f t="shared" si="60"/>
        <v>138.10188057256747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431.43857731773937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2.2737367544323206E-13</v>
      </c>
      <c r="O116" s="13">
        <f>N116*VLOOKUP('Données projet'!$B$9,Paramètres!$A$1:$I$89,3,0)*VLOOKUP('Données projet'!$B$9,Paramètres!$A$1:$I$89,5,0)</f>
        <v>1.064108801074326E-13</v>
      </c>
      <c r="P116" s="13">
        <f t="shared" si="87"/>
        <v>1.5870730813698654E-12</v>
      </c>
      <c r="Q116" s="20">
        <f t="shared" si="107"/>
        <v>2.9494845662396269E-12</v>
      </c>
      <c r="R116" s="59">
        <f t="shared" si="55"/>
        <v>293.33333333333627</v>
      </c>
      <c r="S116" s="59">
        <f ca="1">AVERAGE(OFFSET($R$3,0,0,'Données projet'!$E$9+1,1))-AVERAGE(OFFSET($H$3,0,0,'Données projet'!$E$9+1,1))</f>
        <v>234.83702199169585</v>
      </c>
      <c r="T116" s="59">
        <f t="shared" si="88"/>
        <v>248.83008816685089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70.807764849632633</v>
      </c>
      <c r="AA116" s="21">
        <f>EXP(-LN(2)/25)*AA115+(1-EXP(-LN(2)/25))/(LN(2)/25)*Calculateur!V116*Calculateur!X116*VLOOKUP('Données projet'!$B$9,Paramètres!$A$1:$I$89,3,0)*0.475*44/12</f>
        <v>11.519255325399969</v>
      </c>
      <c r="AB116" s="21">
        <f>EXP(-LN(2)/2)*AB115+(1-EXP(-LN(2)/2))/(LN(2)/2)*V116*Y116*VLOOKUP('Données projet'!$B$9,Paramètres!$A$1:$I$89,3,0)*0.475*44/12</f>
        <v>3.5718282427772708E-8</v>
      </c>
      <c r="AC116" s="22">
        <f t="shared" si="57"/>
        <v>82.327020210750888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5.6843418860808015E-13</v>
      </c>
      <c r="AJ116" s="13">
        <f>AI116*VLOOKUP('Données projet'!$B$10,Paramètres!$A$1:$I$89,3,0)*VLOOKUP('Données projet'!$B$10,Paramètres!$A$1:$I$89,5,0)</f>
        <v>2.2907897800905631E-13</v>
      </c>
      <c r="AK116" s="13">
        <f t="shared" si="89"/>
        <v>3.1248920576624499E-12</v>
      </c>
      <c r="AL116" s="20">
        <f t="shared" si="58"/>
        <v>5.8414995537945398E-12</v>
      </c>
      <c r="AM116" s="59">
        <f t="shared" si="59"/>
        <v>293.33333333333917</v>
      </c>
      <c r="AN116" s="59">
        <f ca="1">AVERAGE(OFFSET($AM$3,0,0,'Données projet'!$E$10+1,1))-AVERAGE(OFFSET($H$3,0,0,'Données projet'!$E$10+1,1))</f>
        <v>314.16268026911069</v>
      </c>
      <c r="AO116" s="59">
        <f t="shared" si="90"/>
        <v>265.23571072429735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106.48072671587943</v>
      </c>
      <c r="AV116" s="21">
        <f>EXP(-LN(2)/25)*AV115+(1-EXP(-LN(2)/25))/(LN(2)/25)*Calculateur!AQ116*Calculateur!AS116*VLOOKUP('Données projet'!$B$10,Paramètres!$A$1:$I$89,3,0)*0.475*44/12</f>
        <v>28.683773431467277</v>
      </c>
      <c r="AW116" s="21">
        <f>EXP(-LN(2)/2)*AW115+(1-EXP(-LN(2)/2))/(LN(2)/2)*AQ116*AT116*VLOOKUP('Données projet'!$B$10,Paramètres!$A$1:$I$89,3,0)*0.475*44/12</f>
        <v>8.3713273698345656E-4</v>
      </c>
      <c r="AX116" s="21">
        <f t="shared" si="60"/>
        <v>135.16533728008369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432.62905454958297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2.2737367544323206E-13</v>
      </c>
      <c r="O117" s="13">
        <f>N117*VLOOKUP('Données projet'!$B$9,Paramètres!$A$1:$I$89,3,0)*VLOOKUP('Données projet'!$B$9,Paramètres!$A$1:$I$89,5,0)</f>
        <v>1.064108801074326E-13</v>
      </c>
      <c r="P117" s="13">
        <f t="shared" si="87"/>
        <v>1.5870730813698654E-12</v>
      </c>
      <c r="Q117" s="20">
        <f t="shared" si="107"/>
        <v>2.9494845662396269E-12</v>
      </c>
      <c r="R117" s="59">
        <f t="shared" si="55"/>
        <v>293.33333333333627</v>
      </c>
      <c r="S117" s="59">
        <f ca="1">AVERAGE(OFFSET($R$3,0,0,'Données projet'!$E$9+1,1))-AVERAGE(OFFSET($H$3,0,0,'Données projet'!$E$9+1,1))</f>
        <v>234.83702199169585</v>
      </c>
      <c r="T117" s="59">
        <f t="shared" si="88"/>
        <v>248.83008816685089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69.41926776940339</v>
      </c>
      <c r="AA117" s="21">
        <f>EXP(-LN(2)/25)*AA116+(1-EXP(-LN(2)/25))/(LN(2)/25)*Calculateur!V117*Calculateur!X117*VLOOKUP('Données projet'!$B$9,Paramètres!$A$1:$I$89,3,0)*0.475*44/12</f>
        <v>11.204260682755598</v>
      </c>
      <c r="AB117" s="21">
        <f>EXP(-LN(2)/2)*AB116+(1-EXP(-LN(2)/2))/(LN(2)/2)*V117*Y117*VLOOKUP('Données projet'!$B$9,Paramètres!$A$1:$I$89,3,0)*0.475*44/12</f>
        <v>2.5256639717014382E-8</v>
      </c>
      <c r="AC117" s="22">
        <f t="shared" si="57"/>
        <v>80.623528477415633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5.6843418860808015E-13</v>
      </c>
      <c r="AJ117" s="13">
        <f>AI117*VLOOKUP('Données projet'!$B$10,Paramètres!$A$1:$I$89,3,0)*VLOOKUP('Données projet'!$B$10,Paramètres!$A$1:$I$89,5,0)</f>
        <v>2.2907897800905631E-13</v>
      </c>
      <c r="AK117" s="13">
        <f t="shared" si="89"/>
        <v>3.1248920576624499E-12</v>
      </c>
      <c r="AL117" s="20">
        <f t="shared" si="58"/>
        <v>5.8414995537945398E-12</v>
      </c>
      <c r="AM117" s="59">
        <f t="shared" si="59"/>
        <v>293.33333333333917</v>
      </c>
      <c r="AN117" s="59">
        <f ca="1">AVERAGE(OFFSET($AM$3,0,0,'Données projet'!$E$10+1,1))-AVERAGE(OFFSET($H$3,0,0,'Données projet'!$E$10+1,1))</f>
        <v>314.16268026911069</v>
      </c>
      <c r="AO117" s="59">
        <f t="shared" si="90"/>
        <v>265.23571072429735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104.39270461181137</v>
      </c>
      <c r="AV117" s="21">
        <f>EXP(-LN(2)/25)*AV116+(1-EXP(-LN(2)/25))/(LN(2)/25)*Calculateur!AQ117*Calculateur!AS117*VLOOKUP('Données projet'!$B$10,Paramètres!$A$1:$I$89,3,0)*0.475*44/12</f>
        <v>27.899414138569718</v>
      </c>
      <c r="AW117" s="21">
        <f>EXP(-LN(2)/2)*AW116+(1-EXP(-LN(2)/2))/(LN(2)/2)*AQ117*AT117*VLOOKUP('Données projet'!$B$10,Paramètres!$A$1:$I$89,3,0)*0.475*44/12</f>
        <v>5.9194223507425664E-4</v>
      </c>
      <c r="AX117" s="21">
        <f t="shared" si="60"/>
        <v>132.29271069261617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433.81928733301731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2.2737367544323206E-13</v>
      </c>
      <c r="O118" s="13">
        <f>N118*VLOOKUP('Données projet'!$B$9,Paramètres!$A$1:$I$89,3,0)*VLOOKUP('Données projet'!$B$9,Paramètres!$A$1:$I$89,5,0)</f>
        <v>1.064108801074326E-13</v>
      </c>
      <c r="P118" s="13">
        <f t="shared" si="87"/>
        <v>1.5870730813698654E-12</v>
      </c>
      <c r="Q118" s="20">
        <f t="shared" si="107"/>
        <v>2.9494845662396269E-12</v>
      </c>
      <c r="R118" s="59">
        <f t="shared" si="55"/>
        <v>293.33333333333627</v>
      </c>
      <c r="S118" s="59">
        <f ca="1">AVERAGE(OFFSET($R$3,0,0,'Données projet'!$E$9+1,1))-AVERAGE(OFFSET($H$3,0,0,'Données projet'!$E$9+1,1))</f>
        <v>234.83702199169585</v>
      </c>
      <c r="T118" s="59">
        <f t="shared" si="88"/>
        <v>248.83008816685089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68.057998270017848</v>
      </c>
      <c r="AA118" s="21">
        <f>EXP(-LN(2)/25)*AA117+(1-EXP(-LN(2)/25))/(LN(2)/25)*Calculateur!V118*Calculateur!X118*VLOOKUP('Données projet'!$B$9,Paramètres!$A$1:$I$89,3,0)*0.475*44/12</f>
        <v>10.897879585179185</v>
      </c>
      <c r="AB118" s="21">
        <f>EXP(-LN(2)/2)*AB117+(1-EXP(-LN(2)/2))/(LN(2)/2)*V118*Y118*VLOOKUP('Données projet'!$B$9,Paramètres!$A$1:$I$89,3,0)*0.475*44/12</f>
        <v>1.7859141213886354E-8</v>
      </c>
      <c r="AC118" s="22">
        <f t="shared" si="57"/>
        <v>78.955877873056167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5.6843418860808015E-13</v>
      </c>
      <c r="AJ118" s="13">
        <f>AI118*VLOOKUP('Données projet'!$B$10,Paramètres!$A$1:$I$89,3,0)*VLOOKUP('Données projet'!$B$10,Paramètres!$A$1:$I$89,5,0)</f>
        <v>2.2907897800905631E-13</v>
      </c>
      <c r="AK118" s="13">
        <f t="shared" si="89"/>
        <v>3.1248920576624499E-12</v>
      </c>
      <c r="AL118" s="20">
        <f t="shared" si="58"/>
        <v>5.8414995537945398E-12</v>
      </c>
      <c r="AM118" s="59">
        <f t="shared" si="59"/>
        <v>293.33333333333917</v>
      </c>
      <c r="AN118" s="59">
        <f ca="1">AVERAGE(OFFSET($AM$3,0,0,'Données projet'!$E$10+1,1))-AVERAGE(OFFSET($H$3,0,0,'Données projet'!$E$10+1,1))</f>
        <v>314.16268026911069</v>
      </c>
      <c r="AO118" s="59">
        <f t="shared" si="90"/>
        <v>265.23571072429735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102.34562734763635</v>
      </c>
      <c r="AV118" s="21">
        <f>EXP(-LN(2)/25)*AV117+(1-EXP(-LN(2)/25))/(LN(2)/25)*Calculateur!AQ118*Calculateur!AS118*VLOOKUP('Données projet'!$B$10,Paramètres!$A$1:$I$89,3,0)*0.475*44/12</f>
        <v>27.136503191784104</v>
      </c>
      <c r="AW118" s="21">
        <f>EXP(-LN(2)/2)*AW117+(1-EXP(-LN(2)/2))/(LN(2)/2)*AQ118*AT118*VLOOKUP('Données projet'!$B$10,Paramètres!$A$1:$I$89,3,0)*0.475*44/12</f>
        <v>4.1856636849172828E-4</v>
      </c>
      <c r="AX118" s="21">
        <f t="shared" si="60"/>
        <v>129.48254910578896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435.00927803996456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2.2737367544323206E-13</v>
      </c>
      <c r="O119" s="13">
        <f>N119*VLOOKUP('Données projet'!$B$9,Paramètres!$A$1:$I$89,3,0)*VLOOKUP('Données projet'!$B$9,Paramètres!$A$1:$I$89,5,0)</f>
        <v>1.064108801074326E-13</v>
      </c>
      <c r="P119" s="13">
        <f t="shared" si="87"/>
        <v>1.5870730813698654E-12</v>
      </c>
      <c r="Q119" s="20">
        <f t="shared" si="107"/>
        <v>2.9494845662396269E-12</v>
      </c>
      <c r="R119" s="59">
        <f t="shared" si="55"/>
        <v>293.33333333333627</v>
      </c>
      <c r="S119" s="59">
        <f ca="1">AVERAGE(OFFSET($R$3,0,0,'Données projet'!$E$9+1,1))-AVERAGE(OFFSET($H$3,0,0,'Données projet'!$E$9+1,1))</f>
        <v>234.83702199169585</v>
      </c>
      <c r="T119" s="59">
        <f t="shared" si="88"/>
        <v>248.83008816685089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66.723422435222844</v>
      </c>
      <c r="AA119" s="21">
        <f>EXP(-LN(2)/25)*AA118+(1-EXP(-LN(2)/25))/(LN(2)/25)*Calculateur!V119*Calculateur!X119*VLOOKUP('Données projet'!$B$9,Paramètres!$A$1:$I$89,3,0)*0.475*44/12</f>
        <v>10.59987649482788</v>
      </c>
      <c r="AB119" s="21">
        <f>EXP(-LN(2)/2)*AB118+(1-EXP(-LN(2)/2))/(LN(2)/2)*V119*Y119*VLOOKUP('Données projet'!$B$9,Paramètres!$A$1:$I$89,3,0)*0.475*44/12</f>
        <v>1.2628319858507191E-8</v>
      </c>
      <c r="AC119" s="22">
        <f t="shared" si="57"/>
        <v>77.323298942679045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5.6843418860808015E-13</v>
      </c>
      <c r="AJ119" s="13">
        <f>AI119*VLOOKUP('Données projet'!$B$10,Paramètres!$A$1:$I$89,3,0)*VLOOKUP('Données projet'!$B$10,Paramètres!$A$1:$I$89,5,0)</f>
        <v>2.2907897800905631E-13</v>
      </c>
      <c r="AK119" s="13">
        <f t="shared" si="89"/>
        <v>3.1248920576624499E-12</v>
      </c>
      <c r="AL119" s="20">
        <f t="shared" si="58"/>
        <v>5.8414995537945398E-12</v>
      </c>
      <c r="AM119" s="59">
        <f t="shared" si="59"/>
        <v>293.33333333333917</v>
      </c>
      <c r="AN119" s="59">
        <f ca="1">AVERAGE(OFFSET($AM$3,0,0,'Données projet'!$E$10+1,1))-AVERAGE(OFFSET($H$3,0,0,'Données projet'!$E$10+1,1))</f>
        <v>314.16268026911069</v>
      </c>
      <c r="AO119" s="59">
        <f t="shared" si="90"/>
        <v>265.23571072429735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100.33869202001796</v>
      </c>
      <c r="AV119" s="21">
        <f>EXP(-LN(2)/25)*AV118+(1-EXP(-LN(2)/25))/(LN(2)/25)*Calculateur!AQ119*Calculateur!AS119*VLOOKUP('Données projet'!$B$10,Paramètres!$A$1:$I$89,3,0)*0.475*44/12</f>
        <v>26.394454084958088</v>
      </c>
      <c r="AW119" s="21">
        <f>EXP(-LN(2)/2)*AW118+(1-EXP(-LN(2)/2))/(LN(2)/2)*AQ119*AT119*VLOOKUP('Données projet'!$B$10,Paramètres!$A$1:$I$89,3,0)*0.475*44/12</f>
        <v>2.9597111753712832E-4</v>
      </c>
      <c r="AX119" s="21">
        <f t="shared" si="60"/>
        <v>126.73344207609358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436.19902899909141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2.2737367544323206E-13</v>
      </c>
      <c r="O120" s="13">
        <f>N120*VLOOKUP('Données projet'!$B$9,Paramètres!$A$1:$I$89,3,0)*VLOOKUP('Données projet'!$B$9,Paramètres!$A$1:$I$89,5,0)</f>
        <v>1.064108801074326E-13</v>
      </c>
      <c r="P120" s="13">
        <f t="shared" si="87"/>
        <v>1.5870730813698654E-12</v>
      </c>
      <c r="Q120" s="20">
        <f t="shared" si="107"/>
        <v>2.9494845662396269E-12</v>
      </c>
      <c r="R120" s="59">
        <f t="shared" si="55"/>
        <v>293.33333333333627</v>
      </c>
      <c r="S120" s="59">
        <f ca="1">AVERAGE(OFFSET($R$3,0,0,'Données projet'!$E$9+1,1))-AVERAGE(OFFSET($H$3,0,0,'Données projet'!$E$9+1,1))</f>
        <v>234.83702199169585</v>
      </c>
      <c r="T120" s="59">
        <f t="shared" si="88"/>
        <v>248.83008816685089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65.415016818537282</v>
      </c>
      <c r="AA120" s="21">
        <f>EXP(-LN(2)/25)*AA119+(1-EXP(-LN(2)/25))/(LN(2)/25)*Calculateur!V120*Calculateur!X120*VLOOKUP('Données projet'!$B$9,Paramètres!$A$1:$I$89,3,0)*0.475*44/12</f>
        <v>10.310022314653533</v>
      </c>
      <c r="AB120" s="21">
        <f>EXP(-LN(2)/2)*AB119+(1-EXP(-LN(2)/2))/(LN(2)/2)*V120*Y120*VLOOKUP('Données projet'!$B$9,Paramètres!$A$1:$I$89,3,0)*0.475*44/12</f>
        <v>8.929570606943177E-9</v>
      </c>
      <c r="AC120" s="22">
        <f t="shared" si="57"/>
        <v>75.725039142120394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5.6843418860808015E-13</v>
      </c>
      <c r="AJ120" s="13">
        <f>AI120*VLOOKUP('Données projet'!$B$10,Paramètres!$A$1:$I$89,3,0)*VLOOKUP('Données projet'!$B$10,Paramètres!$A$1:$I$89,5,0)</f>
        <v>2.2907897800905631E-13</v>
      </c>
      <c r="AK120" s="13">
        <f t="shared" si="89"/>
        <v>3.1248920576624499E-12</v>
      </c>
      <c r="AL120" s="20">
        <f t="shared" si="58"/>
        <v>5.8414995537945398E-12</v>
      </c>
      <c r="AM120" s="59">
        <f t="shared" si="59"/>
        <v>293.33333333333917</v>
      </c>
      <c r="AN120" s="59">
        <f ca="1">AVERAGE(OFFSET($AM$3,0,0,'Données projet'!$E$10+1,1))-AVERAGE(OFFSET($H$3,0,0,'Données projet'!$E$10+1,1))</f>
        <v>314.16268026911069</v>
      </c>
      <c r="AO120" s="59">
        <f t="shared" si="90"/>
        <v>265.23571072429735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98.371111470064491</v>
      </c>
      <c r="AV120" s="21">
        <f>EXP(-LN(2)/25)*AV119+(1-EXP(-LN(2)/25))/(LN(2)/25)*Calculateur!AQ120*Calculateur!AS120*VLOOKUP('Données projet'!$B$10,Paramètres!$A$1:$I$89,3,0)*0.475*44/12</f>
        <v>25.672696349980896</v>
      </c>
      <c r="AW120" s="21">
        <f>EXP(-LN(2)/2)*AW119+(1-EXP(-LN(2)/2))/(LN(2)/2)*AQ120*AT120*VLOOKUP('Données projet'!$B$10,Paramètres!$A$1:$I$89,3,0)*0.475*44/12</f>
        <v>2.0928318424586414E-4</v>
      </c>
      <c r="AX120" s="21">
        <f t="shared" si="60"/>
        <v>124.04401710322963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437.38854249696135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2.2737367544323206E-13</v>
      </c>
      <c r="O121" s="13">
        <f>N121*VLOOKUP('Données projet'!$B$9,Paramètres!$A$1:$I$89,3,0)*VLOOKUP('Données projet'!$B$9,Paramètres!$A$1:$I$89,5,0)</f>
        <v>1.064108801074326E-13</v>
      </c>
      <c r="P121" s="13">
        <f t="shared" si="87"/>
        <v>1.5870730813698654E-12</v>
      </c>
      <c r="Q121" s="20">
        <f t="shared" si="107"/>
        <v>2.9494845662396269E-12</v>
      </c>
      <c r="R121" s="59">
        <f t="shared" si="55"/>
        <v>293.33333333333627</v>
      </c>
      <c r="S121" s="59">
        <f ca="1">AVERAGE(OFFSET($R$3,0,0,'Données projet'!$E$9+1,1))-AVERAGE(OFFSET($H$3,0,0,'Données projet'!$E$9+1,1))</f>
        <v>234.83702199169585</v>
      </c>
      <c r="T121" s="59">
        <f t="shared" si="88"/>
        <v>248.83008816685089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64.132268237946306</v>
      </c>
      <c r="AA121" s="21">
        <f>EXP(-LN(2)/25)*AA120+(1-EXP(-LN(2)/25))/(LN(2)/25)*Calculateur!V121*Calculateur!X121*VLOOKUP('Données projet'!$B$9,Paramètres!$A$1:$I$89,3,0)*0.475*44/12</f>
        <v>10.028094212278823</v>
      </c>
      <c r="AB121" s="21">
        <f>EXP(-LN(2)/2)*AB120+(1-EXP(-LN(2)/2))/(LN(2)/2)*V121*Y121*VLOOKUP('Données projet'!$B$9,Paramètres!$A$1:$I$89,3,0)*0.475*44/12</f>
        <v>6.3141599292535956E-9</v>
      </c>
      <c r="AC121" s="22">
        <f t="shared" si="57"/>
        <v>74.160362456539303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5.6843418860808015E-13</v>
      </c>
      <c r="AJ121" s="13">
        <f>AI121*VLOOKUP('Données projet'!$B$10,Paramètres!$A$1:$I$89,3,0)*VLOOKUP('Données projet'!$B$10,Paramètres!$A$1:$I$89,5,0)</f>
        <v>2.2907897800905631E-13</v>
      </c>
      <c r="AK121" s="13">
        <f t="shared" si="89"/>
        <v>3.1248920576624499E-12</v>
      </c>
      <c r="AL121" s="20">
        <f t="shared" si="58"/>
        <v>5.8414995537945398E-12</v>
      </c>
      <c r="AM121" s="59">
        <f t="shared" si="59"/>
        <v>293.33333333333917</v>
      </c>
      <c r="AN121" s="59">
        <f ca="1">AVERAGE(OFFSET($AM$3,0,0,'Données projet'!$E$10+1,1))-AVERAGE(OFFSET($H$3,0,0,'Données projet'!$E$10+1,1))</f>
        <v>314.16268026911069</v>
      </c>
      <c r="AO121" s="59">
        <f t="shared" si="90"/>
        <v>265.23571072429735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96.442113974589972</v>
      </c>
      <c r="AV121" s="21">
        <f>EXP(-LN(2)/25)*AV120+(1-EXP(-LN(2)/25))/(LN(2)/25)*Calculateur!AQ121*Calculateur!AS121*VLOOKUP('Données projet'!$B$10,Paramètres!$A$1:$I$89,3,0)*0.475*44/12</f>
        <v>24.970675118222243</v>
      </c>
      <c r="AW121" s="21">
        <f>EXP(-LN(2)/2)*AW120+(1-EXP(-LN(2)/2))/(LN(2)/2)*AQ121*AT121*VLOOKUP('Données projet'!$B$10,Paramètres!$A$1:$I$89,3,0)*0.475*44/12</f>
        <v>1.4798555876856416E-4</v>
      </c>
      <c r="AX121" s="21">
        <f t="shared" si="60"/>
        <v>121.41293707837099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438.57782077914567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2.2737367544323206E-13</v>
      </c>
      <c r="O122" s="13">
        <f>N122*VLOOKUP('Données projet'!$B$9,Paramètres!$A$1:$I$89,3,0)*VLOOKUP('Données projet'!$B$9,Paramètres!$A$1:$I$89,5,0)</f>
        <v>1.064108801074326E-13</v>
      </c>
      <c r="P122" s="13">
        <f t="shared" si="87"/>
        <v>1.5870730813698654E-12</v>
      </c>
      <c r="Q122" s="20">
        <f t="shared" si="107"/>
        <v>2.9494845662396269E-12</v>
      </c>
      <c r="R122" s="59">
        <f t="shared" si="55"/>
        <v>293.33333333333627</v>
      </c>
      <c r="S122" s="59">
        <f ca="1">AVERAGE(OFFSET($R$3,0,0,'Données projet'!$E$9+1,1))-AVERAGE(OFFSET($H$3,0,0,'Données projet'!$E$9+1,1))</f>
        <v>234.83702199169585</v>
      </c>
      <c r="T122" s="59">
        <f t="shared" si="88"/>
        <v>248.83008816685089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62.87467357462134</v>
      </c>
      <c r="AA122" s="21">
        <f>EXP(-LN(2)/25)*AA121+(1-EXP(-LN(2)/25))/(LN(2)/25)*Calculateur!V122*Calculateur!X122*VLOOKUP('Données projet'!$B$9,Paramètres!$A$1:$I$89,3,0)*0.475*44/12</f>
        <v>9.7538754486895041</v>
      </c>
      <c r="AB122" s="21">
        <f>EXP(-LN(2)/2)*AB121+(1-EXP(-LN(2)/2))/(LN(2)/2)*V122*Y122*VLOOKUP('Données projet'!$B$9,Paramètres!$A$1:$I$89,3,0)*0.475*44/12</f>
        <v>4.4647853034715885E-9</v>
      </c>
      <c r="AC122" s="22">
        <f t="shared" si="57"/>
        <v>72.62854902777562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5.6843418860808015E-13</v>
      </c>
      <c r="AJ122" s="13">
        <f>AI122*VLOOKUP('Données projet'!$B$10,Paramètres!$A$1:$I$89,3,0)*VLOOKUP('Données projet'!$B$10,Paramètres!$A$1:$I$89,5,0)</f>
        <v>2.2907897800905631E-13</v>
      </c>
      <c r="AK122" s="13">
        <f t="shared" si="89"/>
        <v>3.1248920576624499E-12</v>
      </c>
      <c r="AL122" s="20">
        <f t="shared" si="58"/>
        <v>5.8414995537945398E-12</v>
      </c>
      <c r="AM122" s="59">
        <f t="shared" si="59"/>
        <v>293.33333333333917</v>
      </c>
      <c r="AN122" s="59">
        <f ca="1">AVERAGE(OFFSET($AM$3,0,0,'Données projet'!$E$10+1,1))-AVERAGE(OFFSET($H$3,0,0,'Données projet'!$E$10+1,1))</f>
        <v>314.16268026911069</v>
      </c>
      <c r="AO122" s="59">
        <f t="shared" si="90"/>
        <v>265.23571072429735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94.550942943429405</v>
      </c>
      <c r="AV122" s="21">
        <f>EXP(-LN(2)/25)*AV121+(1-EXP(-LN(2)/25))/(LN(2)/25)*Calculateur!AQ122*Calculateur!AS122*VLOOKUP('Données projet'!$B$10,Paramètres!$A$1:$I$89,3,0)*0.475*44/12</f>
        <v>24.287850693963723</v>
      </c>
      <c r="AW122" s="21">
        <f>EXP(-LN(2)/2)*AW121+(1-EXP(-LN(2)/2))/(LN(2)/2)*AQ122*AT122*VLOOKUP('Données projet'!$B$10,Paramètres!$A$1:$I$89,3,0)*0.475*44/12</f>
        <v>1.0464159212293207E-4</v>
      </c>
      <c r="AX122" s="21">
        <f t="shared" si="60"/>
        <v>118.83889827898524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439.76686605129635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2.2737367544323206E-13</v>
      </c>
      <c r="O123" s="13">
        <f>N123*VLOOKUP('Données projet'!$B$9,Paramètres!$A$1:$I$89,3,0)*VLOOKUP('Données projet'!$B$9,Paramètres!$A$1:$I$89,5,0)</f>
        <v>1.064108801074326E-13</v>
      </c>
      <c r="P123" s="13">
        <f t="shared" si="87"/>
        <v>1.5870730813698654E-12</v>
      </c>
      <c r="Q123" s="20">
        <f t="shared" si="107"/>
        <v>2.9494845662396269E-12</v>
      </c>
      <c r="R123" s="59">
        <f t="shared" si="55"/>
        <v>293.33333333333627</v>
      </c>
      <c r="S123" s="59">
        <f ca="1">AVERAGE(OFFSET($R$3,0,0,'Données projet'!$E$9+1,1))-AVERAGE(OFFSET($H$3,0,0,'Données projet'!$E$9+1,1))</f>
        <v>234.83702199169585</v>
      </c>
      <c r="T123" s="59">
        <f t="shared" si="88"/>
        <v>248.83008816685089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61.641739575587174</v>
      </c>
      <c r="AA123" s="21">
        <f>EXP(-LN(2)/25)*AA122+(1-EXP(-LN(2)/25))/(LN(2)/25)*Calculateur!V123*Calculateur!X123*VLOOKUP('Données projet'!$B$9,Paramètres!$A$1:$I$89,3,0)*0.475*44/12</f>
        <v>9.4871552116110731</v>
      </c>
      <c r="AB123" s="21">
        <f>EXP(-LN(2)/2)*AB122+(1-EXP(-LN(2)/2))/(LN(2)/2)*V123*Y123*VLOOKUP('Données projet'!$B$9,Paramètres!$A$1:$I$89,3,0)*0.475*44/12</f>
        <v>3.1570799646267978E-9</v>
      </c>
      <c r="AC123" s="22">
        <f t="shared" si="57"/>
        <v>71.128894790355332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5.6843418860808015E-13</v>
      </c>
      <c r="AJ123" s="13">
        <f>AI123*VLOOKUP('Données projet'!$B$10,Paramètres!$A$1:$I$89,3,0)*VLOOKUP('Données projet'!$B$10,Paramètres!$A$1:$I$89,5,0)</f>
        <v>2.2907897800905631E-13</v>
      </c>
      <c r="AK123" s="13">
        <f t="shared" si="89"/>
        <v>3.1248920576624499E-12</v>
      </c>
      <c r="AL123" s="20">
        <f t="shared" si="58"/>
        <v>5.8414995537945398E-12</v>
      </c>
      <c r="AM123" s="59">
        <f t="shared" si="59"/>
        <v>293.33333333333917</v>
      </c>
      <c r="AN123" s="59">
        <f ca="1">AVERAGE(OFFSET($AM$3,0,0,'Données projet'!$E$10+1,1))-AVERAGE(OFFSET($H$3,0,0,'Données projet'!$E$10+1,1))</f>
        <v>314.16268026911069</v>
      </c>
      <c r="AO123" s="59">
        <f t="shared" si="90"/>
        <v>265.23571072429735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92.696856622689467</v>
      </c>
      <c r="AV123" s="21">
        <f>EXP(-LN(2)/25)*AV122+(1-EXP(-LN(2)/25))/(LN(2)/25)*Calculateur!AQ123*Calculateur!AS123*VLOOKUP('Données projet'!$B$10,Paramètres!$A$1:$I$89,3,0)*0.475*44/12</f>
        <v>23.623698139494728</v>
      </c>
      <c r="AW123" s="21">
        <f>EXP(-LN(2)/2)*AW122+(1-EXP(-LN(2)/2))/(LN(2)/2)*AQ123*AT123*VLOOKUP('Données projet'!$B$10,Paramètres!$A$1:$I$89,3,0)*0.475*44/12</f>
        <v>7.399277938428208E-5</v>
      </c>
      <c r="AX123" s="21">
        <f t="shared" si="60"/>
        <v>116.32062875496358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440.95568048018276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2.2737367544323206E-13</v>
      </c>
      <c r="O124" s="13">
        <f>N124*VLOOKUP('Données projet'!$B$9,Paramètres!$A$1:$I$89,3,0)*VLOOKUP('Données projet'!$B$9,Paramètres!$A$1:$I$89,5,0)</f>
        <v>1.064108801074326E-13</v>
      </c>
      <c r="P124" s="13">
        <f t="shared" si="87"/>
        <v>1.5870730813698654E-12</v>
      </c>
      <c r="Q124" s="20">
        <f t="shared" si="107"/>
        <v>2.9494845662396269E-12</v>
      </c>
      <c r="R124" s="59">
        <f t="shared" si="55"/>
        <v>293.33333333333627</v>
      </c>
      <c r="S124" s="59">
        <f ca="1">AVERAGE(OFFSET($R$3,0,0,'Données projet'!$E$9+1,1))-AVERAGE(OFFSET($H$3,0,0,'Données projet'!$E$9+1,1))</f>
        <v>234.83702199169585</v>
      </c>
      <c r="T124" s="59">
        <f t="shared" si="88"/>
        <v>248.83008816685089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60.432982660258581</v>
      </c>
      <c r="AA124" s="21">
        <f>EXP(-LN(2)/25)*AA123+(1-EXP(-LN(2)/25))/(LN(2)/25)*Calculateur!V124*Calculateur!X124*VLOOKUP('Données projet'!$B$9,Paramètres!$A$1:$I$89,3,0)*0.475*44/12</f>
        <v>9.2277284534417596</v>
      </c>
      <c r="AB124" s="21">
        <f>EXP(-LN(2)/2)*AB123+(1-EXP(-LN(2)/2))/(LN(2)/2)*V124*Y124*VLOOKUP('Données projet'!$B$9,Paramètres!$A$1:$I$89,3,0)*0.475*44/12</f>
        <v>2.2323926517357943E-9</v>
      </c>
      <c r="AC124" s="22">
        <f t="shared" si="57"/>
        <v>69.660711115932742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5.6843418860808015E-13</v>
      </c>
      <c r="AJ124" s="13">
        <f>AI124*VLOOKUP('Données projet'!$B$10,Paramètres!$A$1:$I$89,3,0)*VLOOKUP('Données projet'!$B$10,Paramètres!$A$1:$I$89,5,0)</f>
        <v>2.2907897800905631E-13</v>
      </c>
      <c r="AK124" s="13">
        <f t="shared" si="89"/>
        <v>3.1248920576624499E-12</v>
      </c>
      <c r="AL124" s="20">
        <f t="shared" si="58"/>
        <v>5.8414995537945398E-12</v>
      </c>
      <c r="AM124" s="59">
        <f t="shared" si="59"/>
        <v>293.33333333333917</v>
      </c>
      <c r="AN124" s="59">
        <f ca="1">AVERAGE(OFFSET($AM$3,0,0,'Données projet'!$E$10+1,1))-AVERAGE(OFFSET($H$3,0,0,'Données projet'!$E$10+1,1))</f>
        <v>314.16268026911069</v>
      </c>
      <c r="AO124" s="59">
        <f t="shared" si="90"/>
        <v>265.23571072429735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90.87912780381825</v>
      </c>
      <c r="AV124" s="21">
        <f>EXP(-LN(2)/25)*AV123+(1-EXP(-LN(2)/25))/(LN(2)/25)*Calculateur!AQ124*Calculateur!AS124*VLOOKUP('Données projet'!$B$10,Paramètres!$A$1:$I$89,3,0)*0.475*44/12</f>
        <v>22.977706871553952</v>
      </c>
      <c r="AW124" s="21">
        <f>EXP(-LN(2)/2)*AW123+(1-EXP(-LN(2)/2))/(LN(2)/2)*AQ124*AT124*VLOOKUP('Données projet'!$B$10,Paramètres!$A$1:$I$89,3,0)*0.475*44/12</f>
        <v>5.2320796061466035E-5</v>
      </c>
      <c r="AX124" s="21">
        <f t="shared" si="60"/>
        <v>113.85688699616826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442.14426619469248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2.2737367544323206E-13</v>
      </c>
      <c r="O125" s="13">
        <f>N125*VLOOKUP('Données projet'!$B$9,Paramètres!$A$1:$I$89,3,0)*VLOOKUP('Données projet'!$B$9,Paramètres!$A$1:$I$89,5,0)</f>
        <v>1.064108801074326E-13</v>
      </c>
      <c r="P125" s="13">
        <f t="shared" si="87"/>
        <v>1.5870730813698654E-12</v>
      </c>
      <c r="Q125" s="20">
        <f t="shared" si="107"/>
        <v>2.9494845662396269E-12</v>
      </c>
      <c r="R125" s="59">
        <f t="shared" si="55"/>
        <v>293.33333333333627</v>
      </c>
      <c r="S125" s="59">
        <f ca="1">AVERAGE(OFFSET($R$3,0,0,'Données projet'!$E$9+1,1))-AVERAGE(OFFSET($H$3,0,0,'Données projet'!$E$9+1,1))</f>
        <v>234.83702199169585</v>
      </c>
      <c r="T125" s="59">
        <f t="shared" si="88"/>
        <v>248.83008816685089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59.24792873077066</v>
      </c>
      <c r="AA125" s="21">
        <f>EXP(-LN(2)/25)*AA124+(1-EXP(-LN(2)/25))/(LN(2)/25)*Calculateur!V125*Calculateur!X125*VLOOKUP('Données projet'!$B$9,Paramètres!$A$1:$I$89,3,0)*0.475*44/12</f>
        <v>8.9753957336172459</v>
      </c>
      <c r="AB125" s="21">
        <f>EXP(-LN(2)/2)*AB124+(1-EXP(-LN(2)/2))/(LN(2)/2)*V125*Y125*VLOOKUP('Données projet'!$B$9,Paramètres!$A$1:$I$89,3,0)*0.475*44/12</f>
        <v>1.5785399823133989E-9</v>
      </c>
      <c r="AC125" s="22">
        <f t="shared" si="57"/>
        <v>68.223324465966442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5.6843418860808015E-13</v>
      </c>
      <c r="AJ125" s="13">
        <f>AI125*VLOOKUP('Données projet'!$B$10,Paramètres!$A$1:$I$89,3,0)*VLOOKUP('Données projet'!$B$10,Paramètres!$A$1:$I$89,5,0)</f>
        <v>2.2907897800905631E-13</v>
      </c>
      <c r="AK125" s="13">
        <f t="shared" si="89"/>
        <v>3.1248920576624499E-12</v>
      </c>
      <c r="AL125" s="20">
        <f t="shared" si="58"/>
        <v>5.8414995537945398E-12</v>
      </c>
      <c r="AM125" s="59">
        <f t="shared" si="59"/>
        <v>293.33333333333917</v>
      </c>
      <c r="AN125" s="59">
        <f ca="1">AVERAGE(OFFSET($AM$3,0,0,'Données projet'!$E$10+1,1))-AVERAGE(OFFSET($H$3,0,0,'Données projet'!$E$10+1,1))</f>
        <v>314.16268026911069</v>
      </c>
      <c r="AO125" s="59">
        <f t="shared" si="90"/>
        <v>265.23571072429735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89.097043538379992</v>
      </c>
      <c r="AV125" s="21">
        <f>EXP(-LN(2)/25)*AV124+(1-EXP(-LN(2)/25))/(LN(2)/25)*Calculateur!AQ125*Calculateur!AS125*VLOOKUP('Données projet'!$B$10,Paramètres!$A$1:$I$89,3,0)*0.475*44/12</f>
        <v>22.349380268806222</v>
      </c>
      <c r="AW125" s="21">
        <f>EXP(-LN(2)/2)*AW124+(1-EXP(-LN(2)/2))/(LN(2)/2)*AQ125*AT125*VLOOKUP('Données projet'!$B$10,Paramètres!$A$1:$I$89,3,0)*0.475*44/12</f>
        <v>3.699638969214104E-5</v>
      </c>
      <c r="AX125" s="21">
        <f t="shared" si="60"/>
        <v>111.44646080357592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443.33262528679836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2.2737367544323206E-13</v>
      </c>
      <c r="O126" s="13">
        <f>N126*VLOOKUP('Données projet'!$B$9,Paramètres!$A$1:$I$89,3,0)*VLOOKUP('Données projet'!$B$9,Paramètres!$A$1:$I$89,5,0)</f>
        <v>1.064108801074326E-13</v>
      </c>
      <c r="P126" s="13">
        <f t="shared" si="87"/>
        <v>1.5870730813698654E-12</v>
      </c>
      <c r="Q126" s="20">
        <f t="shared" si="107"/>
        <v>2.9494845662396269E-12</v>
      </c>
      <c r="R126" s="59">
        <f t="shared" si="55"/>
        <v>293.33333333333627</v>
      </c>
      <c r="S126" s="59">
        <f ca="1">AVERAGE(OFFSET($R$3,0,0,'Données projet'!$E$9+1,1))-AVERAGE(OFFSET($H$3,0,0,'Données projet'!$E$9+1,1))</f>
        <v>234.83702199169585</v>
      </c>
      <c r="T126" s="59">
        <f t="shared" si="88"/>
        <v>248.83008816685089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58.086112986028475</v>
      </c>
      <c r="AA126" s="21">
        <f>EXP(-LN(2)/25)*AA125+(1-EXP(-LN(2)/25))/(LN(2)/25)*Calculateur!V126*Calculateur!X126*VLOOKUP('Données projet'!$B$9,Paramètres!$A$1:$I$89,3,0)*0.475*44/12</f>
        <v>8.7299630652859346</v>
      </c>
      <c r="AB126" s="21">
        <f>EXP(-LN(2)/2)*AB125+(1-EXP(-LN(2)/2))/(LN(2)/2)*V126*Y126*VLOOKUP('Données projet'!$B$9,Paramètres!$A$1:$I$89,3,0)*0.475*44/12</f>
        <v>1.1161963258678971E-9</v>
      </c>
      <c r="AC126" s="22">
        <f t="shared" si="57"/>
        <v>66.816076052430603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5.6843418860808015E-13</v>
      </c>
      <c r="AJ126" s="13">
        <f>AI126*VLOOKUP('Données projet'!$B$10,Paramètres!$A$1:$I$89,3,0)*VLOOKUP('Données projet'!$B$10,Paramètres!$A$1:$I$89,5,0)</f>
        <v>2.2907897800905631E-13</v>
      </c>
      <c r="AK126" s="13">
        <f t="shared" si="89"/>
        <v>3.1248920576624499E-12</v>
      </c>
      <c r="AL126" s="20">
        <f t="shared" si="58"/>
        <v>5.8414995537945398E-12</v>
      </c>
      <c r="AM126" s="59">
        <f t="shared" si="59"/>
        <v>293.33333333333917</v>
      </c>
      <c r="AN126" s="59">
        <f ca="1">AVERAGE(OFFSET($AM$3,0,0,'Données projet'!$E$10+1,1))-AVERAGE(OFFSET($H$3,0,0,'Données projet'!$E$10+1,1))</f>
        <v>314.16268026911069</v>
      </c>
      <c r="AO126" s="59">
        <f t="shared" si="90"/>
        <v>265.23571072429735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87.349904858422917</v>
      </c>
      <c r="AV126" s="21">
        <f>EXP(-LN(2)/25)*AV125+(1-EXP(-LN(2)/25))/(LN(2)/25)*Calculateur!AQ126*Calculateur!AS126*VLOOKUP('Données projet'!$B$10,Paramètres!$A$1:$I$89,3,0)*0.475*44/12</f>
        <v>21.738235290052888</v>
      </c>
      <c r="AW126" s="21">
        <f>EXP(-LN(2)/2)*AW125+(1-EXP(-LN(2)/2))/(LN(2)/2)*AQ126*AT126*VLOOKUP('Données projet'!$B$10,Paramètres!$A$1:$I$89,3,0)*0.475*44/12</f>
        <v>2.6160398030733017E-5</v>
      </c>
      <c r="AX126" s="21">
        <f t="shared" si="60"/>
        <v>109.08816630887384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444.52075981249368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2.2737367544323206E-13</v>
      </c>
      <c r="O127" s="13">
        <f>N127*VLOOKUP('Données projet'!$B$9,Paramètres!$A$1:$I$89,3,0)*VLOOKUP('Données projet'!$B$9,Paramètres!$A$1:$I$89,5,0)</f>
        <v>1.064108801074326E-13</v>
      </c>
      <c r="P127" s="13">
        <f t="shared" si="87"/>
        <v>1.5870730813698654E-12</v>
      </c>
      <c r="Q127" s="20">
        <f t="shared" si="107"/>
        <v>2.9494845662396269E-12</v>
      </c>
      <c r="R127" s="59">
        <f t="shared" si="55"/>
        <v>293.33333333333627</v>
      </c>
      <c r="S127" s="59">
        <f ca="1">AVERAGE(OFFSET($R$3,0,0,'Données projet'!$E$9+1,1))-AVERAGE(OFFSET($H$3,0,0,'Données projet'!$E$9+1,1))</f>
        <v>234.83702199169585</v>
      </c>
      <c r="T127" s="59">
        <f t="shared" si="88"/>
        <v>248.83008816685089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56.947079739403051</v>
      </c>
      <c r="AA127" s="21">
        <f>EXP(-LN(2)/25)*AA126+(1-EXP(-LN(2)/25))/(LN(2)/25)*Calculateur!V127*Calculateur!X127*VLOOKUP('Données projet'!$B$9,Paramètres!$A$1:$I$89,3,0)*0.475*44/12</f>
        <v>8.491241766176886</v>
      </c>
      <c r="AB127" s="21">
        <f>EXP(-LN(2)/2)*AB126+(1-EXP(-LN(2)/2))/(LN(2)/2)*V127*Y127*VLOOKUP('Données projet'!$B$9,Paramètres!$A$1:$I$89,3,0)*0.475*44/12</f>
        <v>7.8926999115669945E-10</v>
      </c>
      <c r="AC127" s="22">
        <f t="shared" si="57"/>
        <v>65.438321506369206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5.6843418860808015E-13</v>
      </c>
      <c r="AJ127" s="13">
        <f>AI127*VLOOKUP('Données projet'!$B$10,Paramètres!$A$1:$I$89,3,0)*VLOOKUP('Données projet'!$B$10,Paramètres!$A$1:$I$89,5,0)</f>
        <v>2.2907897800905631E-13</v>
      </c>
      <c r="AK127" s="13">
        <f t="shared" si="89"/>
        <v>3.1248920576624499E-12</v>
      </c>
      <c r="AL127" s="20">
        <f t="shared" si="58"/>
        <v>5.8414995537945398E-12</v>
      </c>
      <c r="AM127" s="59">
        <f t="shared" si="59"/>
        <v>293.33333333333917</v>
      </c>
      <c r="AN127" s="59">
        <f ca="1">AVERAGE(OFFSET($AM$3,0,0,'Données projet'!$E$10+1,1))-AVERAGE(OFFSET($H$3,0,0,'Données projet'!$E$10+1,1))</f>
        <v>314.16268026911069</v>
      </c>
      <c r="AO127" s="59">
        <f t="shared" si="90"/>
        <v>265.23571072429735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85.637026502330428</v>
      </c>
      <c r="AV127" s="21">
        <f>EXP(-LN(2)/25)*AV126+(1-EXP(-LN(2)/25))/(LN(2)/25)*Calculateur!AQ127*Calculateur!AS127*VLOOKUP('Données projet'!$B$10,Paramètres!$A$1:$I$89,3,0)*0.475*44/12</f>
        <v>21.14380210288228</v>
      </c>
      <c r="AW127" s="21">
        <f>EXP(-LN(2)/2)*AW126+(1-EXP(-LN(2)/2))/(LN(2)/2)*AQ127*AT127*VLOOKUP('Données projet'!$B$10,Paramètres!$A$1:$I$89,3,0)*0.475*44/12</f>
        <v>1.849819484607052E-5</v>
      </c>
      <c r="AX127" s="21">
        <f t="shared" si="60"/>
        <v>106.78084710340755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445.70867179269578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2.2737367544323206E-13</v>
      </c>
      <c r="O128" s="13">
        <f>N128*VLOOKUP('Données projet'!$B$9,Paramètres!$A$1:$I$89,3,0)*VLOOKUP('Données projet'!$B$9,Paramètres!$A$1:$I$89,5,0)</f>
        <v>1.064108801074326E-13</v>
      </c>
      <c r="P128" s="13">
        <f t="shared" si="87"/>
        <v>1.5870730813698654E-12</v>
      </c>
      <c r="Q128" s="20">
        <f t="shared" si="107"/>
        <v>2.9494845662396269E-12</v>
      </c>
      <c r="R128" s="59">
        <f t="shared" si="55"/>
        <v>293.33333333333627</v>
      </c>
      <c r="S128" s="59">
        <f ca="1">AVERAGE(OFFSET($R$3,0,0,'Données projet'!$E$9+1,1))-AVERAGE(OFFSET($H$3,0,0,'Données projet'!$E$9+1,1))</f>
        <v>234.83702199169585</v>
      </c>
      <c r="T128" s="59">
        <f t="shared" si="88"/>
        <v>248.83008816685089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55.830382240002272</v>
      </c>
      <c r="AA128" s="21">
        <f>EXP(-LN(2)/25)*AA127+(1-EXP(-LN(2)/25))/(LN(2)/25)*Calculateur!V128*Calculateur!X128*VLOOKUP('Données projet'!$B$9,Paramètres!$A$1:$I$89,3,0)*0.475*44/12</f>
        <v>8.2590483135457813</v>
      </c>
      <c r="AB128" s="21">
        <f>EXP(-LN(2)/2)*AB127+(1-EXP(-LN(2)/2))/(LN(2)/2)*V128*Y128*VLOOKUP('Données projet'!$B$9,Paramètres!$A$1:$I$89,3,0)*0.475*44/12</f>
        <v>5.5809816293394856E-10</v>
      </c>
      <c r="AC128" s="22">
        <f t="shared" si="57"/>
        <v>64.089430554106158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5.6843418860808015E-13</v>
      </c>
      <c r="AJ128" s="13">
        <f>AI128*VLOOKUP('Données projet'!$B$10,Paramètres!$A$1:$I$89,3,0)*VLOOKUP('Données projet'!$B$10,Paramètres!$A$1:$I$89,5,0)</f>
        <v>2.2907897800905631E-13</v>
      </c>
      <c r="AK128" s="13">
        <f t="shared" si="89"/>
        <v>3.1248920576624499E-12</v>
      </c>
      <c r="AL128" s="20">
        <f t="shared" si="58"/>
        <v>5.8414995537945398E-12</v>
      </c>
      <c r="AM128" s="59">
        <f t="shared" si="59"/>
        <v>293.33333333333917</v>
      </c>
      <c r="AN128" s="59">
        <f ca="1">AVERAGE(OFFSET($AM$3,0,0,'Données projet'!$E$10+1,1))-AVERAGE(OFFSET($H$3,0,0,'Données projet'!$E$10+1,1))</f>
        <v>314.16268026911069</v>
      </c>
      <c r="AO128" s="59">
        <f t="shared" si="90"/>
        <v>265.23571072429735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83.957736646048275</v>
      </c>
      <c r="AV128" s="21">
        <f>EXP(-LN(2)/25)*AV127+(1-EXP(-LN(2)/25))/(LN(2)/25)*Calculateur!AQ128*Calculateur!AS128*VLOOKUP('Données projet'!$B$10,Paramètres!$A$1:$I$89,3,0)*0.475*44/12</f>
        <v>20.565623722474736</v>
      </c>
      <c r="AW128" s="21">
        <f>EXP(-LN(2)/2)*AW127+(1-EXP(-LN(2)/2))/(LN(2)/2)*AQ128*AT128*VLOOKUP('Données projet'!$B$10,Paramètres!$A$1:$I$89,3,0)*0.475*44/12</f>
        <v>1.3080199015366509E-5</v>
      </c>
      <c r="AX128" s="21">
        <f t="shared" si="60"/>
        <v>104.52337344872203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446.89636321412058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2.2737367544323206E-13</v>
      </c>
      <c r="O129" s="13">
        <f>N129*VLOOKUP('Données projet'!$B$9,Paramètres!$A$1:$I$89,3,0)*VLOOKUP('Données projet'!$B$9,Paramètres!$A$1:$I$89,5,0)</f>
        <v>1.064108801074326E-13</v>
      </c>
      <c r="P129" s="13">
        <f t="shared" si="87"/>
        <v>1.5870730813698654E-12</v>
      </c>
      <c r="Q129" s="20">
        <f t="shared" si="107"/>
        <v>2.9494845662396269E-12</v>
      </c>
      <c r="R129" s="59">
        <f t="shared" si="55"/>
        <v>293.33333333333627</v>
      </c>
      <c r="S129" s="59">
        <f ca="1">AVERAGE(OFFSET($R$3,0,0,'Données projet'!$E$9+1,1))-AVERAGE(OFFSET($H$3,0,0,'Données projet'!$E$9+1,1))</f>
        <v>234.83702199169585</v>
      </c>
      <c r="T129" s="59">
        <f t="shared" si="88"/>
        <v>248.83008816685089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54.735582497446522</v>
      </c>
      <c r="AA129" s="21">
        <f>EXP(-LN(2)/25)*AA128+(1-EXP(-LN(2)/25))/(LN(2)/25)*Calculateur!V129*Calculateur!X129*VLOOKUP('Données projet'!$B$9,Paramètres!$A$1:$I$89,3,0)*0.475*44/12</f>
        <v>8.0332042030873971</v>
      </c>
      <c r="AB129" s="21">
        <f>EXP(-LN(2)/2)*AB128+(1-EXP(-LN(2)/2))/(LN(2)/2)*V129*Y129*VLOOKUP('Données projet'!$B$9,Paramètres!$A$1:$I$89,3,0)*0.475*44/12</f>
        <v>3.9463499557834972E-10</v>
      </c>
      <c r="AC129" s="22">
        <f t="shared" si="57"/>
        <v>62.768786700928558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5.6843418860808015E-13</v>
      </c>
      <c r="AJ129" s="13">
        <f>AI129*VLOOKUP('Données projet'!$B$10,Paramètres!$A$1:$I$89,3,0)*VLOOKUP('Données projet'!$B$10,Paramètres!$A$1:$I$89,5,0)</f>
        <v>2.2907897800905631E-13</v>
      </c>
      <c r="AK129" s="13">
        <f t="shared" si="89"/>
        <v>3.1248920576624499E-12</v>
      </c>
      <c r="AL129" s="20">
        <f t="shared" si="58"/>
        <v>5.8414995537945398E-12</v>
      </c>
      <c r="AM129" s="59">
        <f t="shared" si="59"/>
        <v>293.33333333333917</v>
      </c>
      <c r="AN129" s="59">
        <f ca="1">AVERAGE(OFFSET($AM$3,0,0,'Données projet'!$E$10+1,1))-AVERAGE(OFFSET($H$3,0,0,'Données projet'!$E$10+1,1))</f>
        <v>314.16268026911069</v>
      </c>
      <c r="AO129" s="59">
        <f t="shared" si="90"/>
        <v>265.23571072429735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82.311376639582136</v>
      </c>
      <c r="AV129" s="21">
        <f>EXP(-LN(2)/25)*AV128+(1-EXP(-LN(2)/25))/(LN(2)/25)*Calculateur!AQ129*Calculateur!AS129*VLOOKUP('Données projet'!$B$10,Paramètres!$A$1:$I$89,3,0)*0.475*44/12</f>
        <v>20.003255660284516</v>
      </c>
      <c r="AW129" s="21">
        <f>EXP(-LN(2)/2)*AW128+(1-EXP(-LN(2)/2))/(LN(2)/2)*AQ129*AT129*VLOOKUP('Données projet'!$B$10,Paramètres!$A$1:$I$89,3,0)*0.475*44/12</f>
        <v>9.24909742303526E-6</v>
      </c>
      <c r="AX129" s="21">
        <f t="shared" si="60"/>
        <v>102.31464154896406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448.08383603012737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2.2737367544323206E-13</v>
      </c>
      <c r="O130" s="13">
        <f>N130*VLOOKUP('Données projet'!$B$9,Paramètres!$A$1:$I$89,3,0)*VLOOKUP('Données projet'!$B$9,Paramètres!$A$1:$I$89,5,0)</f>
        <v>1.064108801074326E-13</v>
      </c>
      <c r="P130" s="13">
        <f t="shared" si="87"/>
        <v>1.5870730813698654E-12</v>
      </c>
      <c r="Q130" s="20">
        <f t="shared" si="107"/>
        <v>2.9494845662396269E-12</v>
      </c>
      <c r="R130" s="59">
        <f t="shared" si="55"/>
        <v>293.33333333333627</v>
      </c>
      <c r="S130" s="59">
        <f ca="1">AVERAGE(OFFSET($R$3,0,0,'Données projet'!$E$9+1,1))-AVERAGE(OFFSET($H$3,0,0,'Données projet'!$E$9+1,1))</f>
        <v>234.83702199169585</v>
      </c>
      <c r="T130" s="59">
        <f t="shared" si="88"/>
        <v>248.83008816685089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53.662251110080383</v>
      </c>
      <c r="AA130" s="21">
        <f>EXP(-LN(2)/25)*AA129+(1-EXP(-LN(2)/25))/(LN(2)/25)*Calculateur!V130*Calculateur!X130*VLOOKUP('Données projet'!$B$9,Paramètres!$A$1:$I$89,3,0)*0.475*44/12</f>
        <v>7.8135358117061235</v>
      </c>
      <c r="AB130" s="21">
        <f>EXP(-LN(2)/2)*AB129+(1-EXP(-LN(2)/2))/(LN(2)/2)*V130*Y130*VLOOKUP('Données projet'!$B$9,Paramètres!$A$1:$I$89,3,0)*0.475*44/12</f>
        <v>2.7904908146697428E-10</v>
      </c>
      <c r="AC130" s="22">
        <f t="shared" si="57"/>
        <v>61.475786922065559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5.6843418860808015E-13</v>
      </c>
      <c r="AJ130" s="13">
        <f>AI130*VLOOKUP('Données projet'!$B$10,Paramètres!$A$1:$I$89,3,0)*VLOOKUP('Données projet'!$B$10,Paramètres!$A$1:$I$89,5,0)</f>
        <v>2.2907897800905631E-13</v>
      </c>
      <c r="AK130" s="13">
        <f t="shared" si="89"/>
        <v>3.1248920576624499E-12</v>
      </c>
      <c r="AL130" s="20">
        <f t="shared" si="58"/>
        <v>5.8414995537945398E-12</v>
      </c>
      <c r="AM130" s="59">
        <f t="shared" si="59"/>
        <v>293.33333333333917</v>
      </c>
      <c r="AN130" s="59">
        <f ca="1">AVERAGE(OFFSET($AM$3,0,0,'Données projet'!$E$10+1,1))-AVERAGE(OFFSET($H$3,0,0,'Données projet'!$E$10+1,1))</f>
        <v>314.16268026911069</v>
      </c>
      <c r="AO130" s="59">
        <f t="shared" si="90"/>
        <v>265.23571072429735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80.697300748662343</v>
      </c>
      <c r="AV130" s="21">
        <f>EXP(-LN(2)/25)*AV129+(1-EXP(-LN(2)/25))/(LN(2)/25)*Calculateur!AQ130*Calculateur!AS130*VLOOKUP('Données projet'!$B$10,Paramètres!$A$1:$I$89,3,0)*0.475*44/12</f>
        <v>19.456265582328538</v>
      </c>
      <c r="AW130" s="21">
        <f>EXP(-LN(2)/2)*AW129+(1-EXP(-LN(2)/2))/(LN(2)/2)*AQ130*AT130*VLOOKUP('Données projet'!$B$10,Paramètres!$A$1:$I$89,3,0)*0.475*44/12</f>
        <v>6.5400995076832543E-6</v>
      </c>
      <c r="AX130" s="21">
        <f t="shared" si="60"/>
        <v>100.15357287109039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449.27109216153792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2.2737367544323206E-13</v>
      </c>
      <c r="O131" s="13">
        <f>N131*VLOOKUP('Données projet'!$B$9,Paramètres!$A$1:$I$89,3,0)*VLOOKUP('Données projet'!$B$9,Paramètres!$A$1:$I$89,5,0)</f>
        <v>1.064108801074326E-13</v>
      </c>
      <c r="P131" s="13">
        <f t="shared" si="87"/>
        <v>1.5870730813698654E-12</v>
      </c>
      <c r="Q131" s="20">
        <f t="shared" ref="Q131:Q153" si="108">(O131+P131)*0.475*44/12</f>
        <v>2.9494845662396269E-12</v>
      </c>
      <c r="R131" s="59">
        <f t="shared" ref="R131:R194" si="109">Q131+(I131+J131)*44/12</f>
        <v>293.33333333333627</v>
      </c>
      <c r="S131" s="59">
        <f ca="1">AVERAGE(OFFSET($R$3,0,0,'Données projet'!$E$9+1,1))-AVERAGE(OFFSET($H$3,0,0,'Données projet'!$E$9+1,1))</f>
        <v>234.83702199169585</v>
      </c>
      <c r="T131" s="59">
        <f t="shared" si="88"/>
        <v>248.83008816685089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52.609967096552992</v>
      </c>
      <c r="AA131" s="21">
        <f>EXP(-LN(2)/25)*AA130+(1-EXP(-LN(2)/25))/(LN(2)/25)*Calculateur!V131*Calculateur!X131*VLOOKUP('Données projet'!$B$9,Paramètres!$A$1:$I$89,3,0)*0.475*44/12</f>
        <v>7.5998742640390295</v>
      </c>
      <c r="AB131" s="21">
        <f>EXP(-LN(2)/2)*AB130+(1-EXP(-LN(2)/2))/(LN(2)/2)*V131*Y131*VLOOKUP('Données projet'!$B$9,Paramètres!$A$1:$I$89,3,0)*0.475*44/12</f>
        <v>1.9731749778917486E-10</v>
      </c>
      <c r="AC131" s="22">
        <f t="shared" si="57"/>
        <v>60.209841360789341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5.6843418860808015E-13</v>
      </c>
      <c r="AJ131" s="13">
        <f>AI131*VLOOKUP('Données projet'!$B$10,Paramètres!$A$1:$I$89,3,0)*VLOOKUP('Données projet'!$B$10,Paramètres!$A$1:$I$89,5,0)</f>
        <v>2.2907897800905631E-13</v>
      </c>
      <c r="AK131" s="13">
        <f t="shared" si="89"/>
        <v>3.1248920576624499E-12</v>
      </c>
      <c r="AL131" s="20">
        <f t="shared" si="58"/>
        <v>5.8414995537945398E-12</v>
      </c>
      <c r="AM131" s="59">
        <f t="shared" si="59"/>
        <v>293.33333333333917</v>
      </c>
      <c r="AN131" s="59">
        <f ca="1">AVERAGE(OFFSET($AM$3,0,0,'Données projet'!$E$10+1,1))-AVERAGE(OFFSET($H$3,0,0,'Données projet'!$E$10+1,1))</f>
        <v>314.16268026911069</v>
      </c>
      <c r="AO131" s="59">
        <f t="shared" si="90"/>
        <v>265.23571072429735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79.114875901474406</v>
      </c>
      <c r="AV131" s="21">
        <f>EXP(-LN(2)/25)*AV130+(1-EXP(-LN(2)/25))/(LN(2)/25)*Calculateur!AQ131*Calculateur!AS131*VLOOKUP('Données projet'!$B$10,Paramètres!$A$1:$I$89,3,0)*0.475*44/12</f>
        <v>18.924232976819226</v>
      </c>
      <c r="AW131" s="21">
        <f>EXP(-LN(2)/2)*AW130+(1-EXP(-LN(2)/2))/(LN(2)/2)*AQ131*AT131*VLOOKUP('Données projet'!$B$10,Paramètres!$A$1:$I$89,3,0)*0.475*44/12</f>
        <v>4.62454871151763E-6</v>
      </c>
      <c r="AX131" s="21">
        <f t="shared" si="60"/>
        <v>98.039113502842341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450.45813349742764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2.2737367544323206E-13</v>
      </c>
      <c r="O132" s="13">
        <f>N132*VLOOKUP('Données projet'!$B$9,Paramètres!$A$1:$I$89,3,0)*VLOOKUP('Données projet'!$B$9,Paramètres!$A$1:$I$89,5,0)</f>
        <v>1.064108801074326E-13</v>
      </c>
      <c r="P132" s="13">
        <f t="shared" si="87"/>
        <v>1.5870730813698654E-12</v>
      </c>
      <c r="Q132" s="20">
        <f t="shared" si="108"/>
        <v>2.9494845662396269E-12</v>
      </c>
      <c r="R132" s="59">
        <f t="shared" si="109"/>
        <v>293.33333333333627</v>
      </c>
      <c r="S132" s="59">
        <f ca="1">AVERAGE(OFFSET($R$3,0,0,'Données projet'!$E$9+1,1))-AVERAGE(OFFSET($H$3,0,0,'Données projet'!$E$9+1,1))</f>
        <v>234.83702199169585</v>
      </c>
      <c r="T132" s="59">
        <f t="shared" si="88"/>
        <v>248.83008816685089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51.578317730701002</v>
      </c>
      <c r="AA132" s="21">
        <f>EXP(-LN(2)/25)*AA131+(1-EXP(-LN(2)/25))/(LN(2)/25)*Calculateur!V132*Calculateur!X132*VLOOKUP('Données projet'!$B$9,Paramètres!$A$1:$I$89,3,0)*0.475*44/12</f>
        <v>7.3920553026288642</v>
      </c>
      <c r="AB132" s="21">
        <f>EXP(-LN(2)/2)*AB131+(1-EXP(-LN(2)/2))/(LN(2)/2)*V132*Y132*VLOOKUP('Données projet'!$B$9,Paramètres!$A$1:$I$89,3,0)*0.475*44/12</f>
        <v>1.3952454073348714E-10</v>
      </c>
      <c r="AC132" s="22">
        <f t="shared" ref="AC132:AC153" si="111">SUM(Z132:AB132)</f>
        <v>58.970373033469386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5.6843418860808015E-13</v>
      </c>
      <c r="AJ132" s="13">
        <f>AI132*VLOOKUP('Données projet'!$B$10,Paramètres!$A$1:$I$89,3,0)*VLOOKUP('Données projet'!$B$10,Paramètres!$A$1:$I$89,5,0)</f>
        <v>2.2907897800905631E-13</v>
      </c>
      <c r="AK132" s="13">
        <f t="shared" si="89"/>
        <v>3.1248920576624499E-12</v>
      </c>
      <c r="AL132" s="20">
        <f t="shared" ref="AL132:AL153" si="112">(AJ132+AK132)*0.475*44/12</f>
        <v>5.8414995537945398E-12</v>
      </c>
      <c r="AM132" s="59">
        <f t="shared" ref="AM132:AM195" si="113">AL132+(AD132+AE132)*44/12</f>
        <v>293.33333333333917</v>
      </c>
      <c r="AN132" s="59">
        <f ca="1">AVERAGE(OFFSET($AM$3,0,0,'Données projet'!$E$10+1,1))-AVERAGE(OFFSET($H$3,0,0,'Données projet'!$E$10+1,1))</f>
        <v>314.16268026911069</v>
      </c>
      <c r="AO132" s="59">
        <f t="shared" si="90"/>
        <v>265.23571072429735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77.563481440355972</v>
      </c>
      <c r="AV132" s="21">
        <f>EXP(-LN(2)/25)*AV131+(1-EXP(-LN(2)/25))/(LN(2)/25)*Calculateur!AQ132*Calculateur!AS132*VLOOKUP('Données projet'!$B$10,Paramètres!$A$1:$I$89,3,0)*0.475*44/12</f>
        <v>18.406748830885945</v>
      </c>
      <c r="AW132" s="21">
        <f>EXP(-LN(2)/2)*AW131+(1-EXP(-LN(2)/2))/(LN(2)/2)*AQ132*AT132*VLOOKUP('Données projet'!$B$10,Paramètres!$A$1:$I$89,3,0)*0.475*44/12</f>
        <v>3.2700497538416272E-6</v>
      </c>
      <c r="AX132" s="21">
        <f t="shared" ref="AX132:AX153" si="114">SUM(AU132:AW132)</f>
        <v>95.970233541291677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451.64496189589244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2.2737367544323206E-13</v>
      </c>
      <c r="O133" s="13">
        <f>N133*VLOOKUP('Données projet'!$B$9,Paramètres!$A$1:$I$89,3,0)*VLOOKUP('Données projet'!$B$9,Paramètres!$A$1:$I$89,5,0)</f>
        <v>1.064108801074326E-13</v>
      </c>
      <c r="P133" s="13">
        <f t="shared" ref="P133:P196" si="141">EXP(-1.0587+0.8836*LN(O133)+0.284)</f>
        <v>1.5870730813698654E-12</v>
      </c>
      <c r="Q133" s="20">
        <f t="shared" si="108"/>
        <v>2.9494845662396269E-12</v>
      </c>
      <c r="R133" s="59">
        <f t="shared" si="109"/>
        <v>293.33333333333627</v>
      </c>
      <c r="S133" s="59">
        <f ca="1">AVERAGE(OFFSET($R$3,0,0,'Données projet'!$E$9+1,1))-AVERAGE(OFFSET($H$3,0,0,'Données projet'!$E$9+1,1))</f>
        <v>234.83702199169585</v>
      </c>
      <c r="T133" s="59">
        <f t="shared" ref="T133:T196" si="142">$T$3</f>
        <v>248.83008816685089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50.566898379669389</v>
      </c>
      <c r="AA133" s="21">
        <f>EXP(-LN(2)/25)*AA132+(1-EXP(-LN(2)/25))/(LN(2)/25)*Calculateur!V133*Calculateur!X133*VLOOKUP('Données projet'!$B$9,Paramètres!$A$1:$I$89,3,0)*0.475*44/12</f>
        <v>7.1899191616471843</v>
      </c>
      <c r="AB133" s="21">
        <f>EXP(-LN(2)/2)*AB132+(1-EXP(-LN(2)/2))/(LN(2)/2)*V133*Y133*VLOOKUP('Données projet'!$B$9,Paramètres!$A$1:$I$89,3,0)*0.475*44/12</f>
        <v>9.8658748894587431E-11</v>
      </c>
      <c r="AC133" s="22">
        <f t="shared" si="111"/>
        <v>57.756817541415231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5.6843418860808015E-13</v>
      </c>
      <c r="AJ133" s="13">
        <f>AI133*VLOOKUP('Données projet'!$B$10,Paramètres!$A$1:$I$89,3,0)*VLOOKUP('Données projet'!$B$10,Paramètres!$A$1:$I$89,5,0)</f>
        <v>2.2907897800905631E-13</v>
      </c>
      <c r="AK133" s="13">
        <f t="shared" ref="AK133:AK153" si="143">EXP(-1.0587+0.8836*LN(AJ133)+0.284)</f>
        <v>3.1248920576624499E-12</v>
      </c>
      <c r="AL133" s="20">
        <f t="shared" si="112"/>
        <v>5.8414995537945398E-12</v>
      </c>
      <c r="AM133" s="59">
        <f t="shared" si="113"/>
        <v>293.33333333333917</v>
      </c>
      <c r="AN133" s="59">
        <f ca="1">AVERAGE(OFFSET($AM$3,0,0,'Données projet'!$E$10+1,1))-AVERAGE(OFFSET($H$3,0,0,'Données projet'!$E$10+1,1))</f>
        <v>314.16268026911069</v>
      </c>
      <c r="AO133" s="59">
        <f t="shared" ref="AO133:AO196" si="144">$AO$3</f>
        <v>265.23571072429735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76.042508878362895</v>
      </c>
      <c r="AV133" s="21">
        <f>EXP(-LN(2)/25)*AV132+(1-EXP(-LN(2)/25))/(LN(2)/25)*Calculateur!AQ133*Calculateur!AS133*VLOOKUP('Données projet'!$B$10,Paramètres!$A$1:$I$89,3,0)*0.475*44/12</f>
        <v>17.903415316136517</v>
      </c>
      <c r="AW133" s="21">
        <f>EXP(-LN(2)/2)*AW132+(1-EXP(-LN(2)/2))/(LN(2)/2)*AQ133*AT133*VLOOKUP('Données projet'!$B$10,Paramètres!$A$1:$I$89,3,0)*0.475*44/12</f>
        <v>2.312274355758815E-6</v>
      </c>
      <c r="AX133" s="21">
        <f t="shared" si="114"/>
        <v>93.945926506773773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452.83157918479128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2.2737367544323206E-13</v>
      </c>
      <c r="O134" s="13">
        <f>N134*VLOOKUP('Données projet'!$B$9,Paramètres!$A$1:$I$89,3,0)*VLOOKUP('Données projet'!$B$9,Paramètres!$A$1:$I$89,5,0)</f>
        <v>1.064108801074326E-13</v>
      </c>
      <c r="P134" s="13">
        <f t="shared" si="141"/>
        <v>1.5870730813698654E-12</v>
      </c>
      <c r="Q134" s="20">
        <f t="shared" si="108"/>
        <v>2.9494845662396269E-12</v>
      </c>
      <c r="R134" s="59">
        <f t="shared" si="109"/>
        <v>293.33333333333627</v>
      </c>
      <c r="S134" s="59">
        <f ca="1">AVERAGE(OFFSET($R$3,0,0,'Données projet'!$E$9+1,1))-AVERAGE(OFFSET($H$3,0,0,'Données projet'!$E$9+1,1))</f>
        <v>234.83702199169585</v>
      </c>
      <c r="T134" s="59">
        <f t="shared" si="142"/>
        <v>248.83008816685089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49.575312345206612</v>
      </c>
      <c r="AA134" s="21">
        <f>EXP(-LN(2)/25)*AA133+(1-EXP(-LN(2)/25))/(LN(2)/25)*Calculateur!V134*Calculateur!X134*VLOOKUP('Données projet'!$B$9,Paramètres!$A$1:$I$89,3,0)*0.475*44/12</f>
        <v>6.9933104440705263</v>
      </c>
      <c r="AB134" s="21">
        <f>EXP(-LN(2)/2)*AB133+(1-EXP(-LN(2)/2))/(LN(2)/2)*V134*Y134*VLOOKUP('Données projet'!$B$9,Paramètres!$A$1:$I$89,3,0)*0.475*44/12</f>
        <v>6.9762270366743571E-11</v>
      </c>
      <c r="AC134" s="22">
        <f t="shared" si="111"/>
        <v>56.568622789346897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5.6843418860808015E-13</v>
      </c>
      <c r="AJ134" s="13">
        <f>AI134*VLOOKUP('Données projet'!$B$10,Paramètres!$A$1:$I$89,3,0)*VLOOKUP('Données projet'!$B$10,Paramètres!$A$1:$I$89,5,0)</f>
        <v>2.2907897800905631E-13</v>
      </c>
      <c r="AK134" s="13">
        <f t="shared" si="143"/>
        <v>3.1248920576624499E-12</v>
      </c>
      <c r="AL134" s="20">
        <f t="shared" si="112"/>
        <v>5.8414995537945398E-12</v>
      </c>
      <c r="AM134" s="59">
        <f t="shared" si="113"/>
        <v>293.33333333333917</v>
      </c>
      <c r="AN134" s="59">
        <f ca="1">AVERAGE(OFFSET($AM$3,0,0,'Données projet'!$E$10+1,1))-AVERAGE(OFFSET($H$3,0,0,'Données projet'!$E$10+1,1))</f>
        <v>314.16268026911069</v>
      </c>
      <c r="AO134" s="59">
        <f t="shared" si="144"/>
        <v>265.23571072429735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74.551361660608833</v>
      </c>
      <c r="AV134" s="21">
        <f>EXP(-LN(2)/25)*AV133+(1-EXP(-LN(2)/25))/(LN(2)/25)*Calculateur!AQ134*Calculateur!AS134*VLOOKUP('Données projet'!$B$10,Paramètres!$A$1:$I$89,3,0)*0.475*44/12</f>
        <v>17.41384548281707</v>
      </c>
      <c r="AW134" s="21">
        <f>EXP(-LN(2)/2)*AW133+(1-EXP(-LN(2)/2))/(LN(2)/2)*AQ134*AT134*VLOOKUP('Données projet'!$B$10,Paramètres!$A$1:$I$89,3,0)*0.475*44/12</f>
        <v>1.6350248769208136E-6</v>
      </c>
      <c r="AX134" s="21">
        <f t="shared" si="114"/>
        <v>91.965208778450773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454.01798716246486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2.2737367544323206E-13</v>
      </c>
      <c r="O135" s="13">
        <f>N135*VLOOKUP('Données projet'!$B$9,Paramètres!$A$1:$I$89,3,0)*VLOOKUP('Données projet'!$B$9,Paramètres!$A$1:$I$89,5,0)</f>
        <v>1.064108801074326E-13</v>
      </c>
      <c r="P135" s="13">
        <f t="shared" si="141"/>
        <v>1.5870730813698654E-12</v>
      </c>
      <c r="Q135" s="20">
        <f t="shared" si="108"/>
        <v>2.9494845662396269E-12</v>
      </c>
      <c r="R135" s="59">
        <f t="shared" si="109"/>
        <v>293.33333333333627</v>
      </c>
      <c r="S135" s="59">
        <f ca="1">AVERAGE(OFFSET($R$3,0,0,'Données projet'!$E$9+1,1))-AVERAGE(OFFSET($H$3,0,0,'Données projet'!$E$9+1,1))</f>
        <v>234.83702199169585</v>
      </c>
      <c r="T135" s="59">
        <f t="shared" si="142"/>
        <v>248.83008816685089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48.603170708071893</v>
      </c>
      <c r="AA135" s="21">
        <f>EXP(-LN(2)/25)*AA134+(1-EXP(-LN(2)/25))/(LN(2)/25)*Calculateur!V135*Calculateur!X135*VLOOKUP('Données projet'!$B$9,Paramètres!$A$1:$I$89,3,0)*0.475*44/12</f>
        <v>6.8020780022152048</v>
      </c>
      <c r="AB135" s="21">
        <f>EXP(-LN(2)/2)*AB134+(1-EXP(-LN(2)/2))/(LN(2)/2)*V135*Y135*VLOOKUP('Données projet'!$B$9,Paramètres!$A$1:$I$89,3,0)*0.475*44/12</f>
        <v>4.9329374447293715E-11</v>
      </c>
      <c r="AC135" s="22">
        <f t="shared" si="111"/>
        <v>55.405248710336423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5.6843418860808015E-13</v>
      </c>
      <c r="AJ135" s="13">
        <f>AI135*VLOOKUP('Données projet'!$B$10,Paramètres!$A$1:$I$89,3,0)*VLOOKUP('Données projet'!$B$10,Paramètres!$A$1:$I$89,5,0)</f>
        <v>2.2907897800905631E-13</v>
      </c>
      <c r="AK135" s="13">
        <f t="shared" si="143"/>
        <v>3.1248920576624499E-12</v>
      </c>
      <c r="AL135" s="20">
        <f t="shared" si="112"/>
        <v>5.8414995537945398E-12</v>
      </c>
      <c r="AM135" s="59">
        <f t="shared" si="113"/>
        <v>293.33333333333917</v>
      </c>
      <c r="AN135" s="59">
        <f ca="1">AVERAGE(OFFSET($AM$3,0,0,'Données projet'!$E$10+1,1))-AVERAGE(OFFSET($H$3,0,0,'Données projet'!$E$10+1,1))</f>
        <v>314.16268026911069</v>
      </c>
      <c r="AO135" s="59">
        <f t="shared" si="144"/>
        <v>265.23571072429735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73.08945493028493</v>
      </c>
      <c r="AV135" s="21">
        <f>EXP(-LN(2)/25)*AV134+(1-EXP(-LN(2)/25))/(LN(2)/25)*Calculateur!AQ135*Calculateur!AS135*VLOOKUP('Données projet'!$B$10,Paramètres!$A$1:$I$89,3,0)*0.475*44/12</f>
        <v>16.937662962335104</v>
      </c>
      <c r="AW135" s="21">
        <f>EXP(-LN(2)/2)*AW134+(1-EXP(-LN(2)/2))/(LN(2)/2)*AQ135*AT135*VLOOKUP('Données projet'!$B$10,Paramètres!$A$1:$I$89,3,0)*0.475*44/12</f>
        <v>1.1561371778794075E-6</v>
      </c>
      <c r="AX135" s="21">
        <f t="shared" si="114"/>
        <v>90.0271190487572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455.20418759843233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2.2737367544323206E-13</v>
      </c>
      <c r="O136" s="13">
        <f>N136*VLOOKUP('Données projet'!$B$9,Paramètres!$A$1:$I$89,3,0)*VLOOKUP('Données projet'!$B$9,Paramètres!$A$1:$I$89,5,0)</f>
        <v>1.064108801074326E-13</v>
      </c>
      <c r="P136" s="13">
        <f t="shared" si="141"/>
        <v>1.5870730813698654E-12</v>
      </c>
      <c r="Q136" s="20">
        <f t="shared" si="108"/>
        <v>2.9494845662396269E-12</v>
      </c>
      <c r="R136" s="59">
        <f t="shared" si="109"/>
        <v>293.33333333333627</v>
      </c>
      <c r="S136" s="59">
        <f ca="1">AVERAGE(OFFSET($R$3,0,0,'Données projet'!$E$9+1,1))-AVERAGE(OFFSET($H$3,0,0,'Données projet'!$E$9+1,1))</f>
        <v>234.83702199169585</v>
      </c>
      <c r="T136" s="59">
        <f t="shared" si="142"/>
        <v>248.83008816685089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47.650092175493533</v>
      </c>
      <c r="AA136" s="21">
        <f>EXP(-LN(2)/25)*AA135+(1-EXP(-LN(2)/25))/(LN(2)/25)*Calculateur!V136*Calculateur!X136*VLOOKUP('Données projet'!$B$9,Paramètres!$A$1:$I$89,3,0)*0.475*44/12</f>
        <v>6.616074821538894</v>
      </c>
      <c r="AB136" s="21">
        <f>EXP(-LN(2)/2)*AB135+(1-EXP(-LN(2)/2))/(LN(2)/2)*V136*Y136*VLOOKUP('Données projet'!$B$9,Paramètres!$A$1:$I$89,3,0)*0.475*44/12</f>
        <v>3.4881135183371785E-11</v>
      </c>
      <c r="AC136" s="22">
        <f t="shared" si="111"/>
        <v>54.266166997067309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5.6843418860808015E-13</v>
      </c>
      <c r="AJ136" s="13">
        <f>AI136*VLOOKUP('Données projet'!$B$10,Paramètres!$A$1:$I$89,3,0)*VLOOKUP('Données projet'!$B$10,Paramètres!$A$1:$I$89,5,0)</f>
        <v>2.2907897800905631E-13</v>
      </c>
      <c r="AK136" s="13">
        <f t="shared" si="143"/>
        <v>3.1248920576624499E-12</v>
      </c>
      <c r="AL136" s="20">
        <f t="shared" si="112"/>
        <v>5.8414995537945398E-12</v>
      </c>
      <c r="AM136" s="59">
        <f t="shared" si="113"/>
        <v>293.33333333333917</v>
      </c>
      <c r="AN136" s="59">
        <f ca="1">AVERAGE(OFFSET($AM$3,0,0,'Données projet'!$E$10+1,1))-AVERAGE(OFFSET($H$3,0,0,'Données projet'!$E$10+1,1))</f>
        <v>314.16268026911069</v>
      </c>
      <c r="AO136" s="59">
        <f t="shared" si="144"/>
        <v>265.23571072429735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71.656215299267629</v>
      </c>
      <c r="AV136" s="21">
        <f>EXP(-LN(2)/25)*AV135+(1-EXP(-LN(2)/25))/(LN(2)/25)*Calculateur!AQ136*Calculateur!AS136*VLOOKUP('Données projet'!$B$10,Paramètres!$A$1:$I$89,3,0)*0.475*44/12</f>
        <v>16.474501677917068</v>
      </c>
      <c r="AW136" s="21">
        <f>EXP(-LN(2)/2)*AW135+(1-EXP(-LN(2)/2))/(LN(2)/2)*AQ136*AT136*VLOOKUP('Données projet'!$B$10,Paramètres!$A$1:$I$89,3,0)*0.475*44/12</f>
        <v>8.1751243846040679E-7</v>
      </c>
      <c r="AX136" s="21">
        <f t="shared" si="114"/>
        <v>88.130717794697148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456.39018223406657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2.2737367544323206E-13</v>
      </c>
      <c r="O137" s="13">
        <f>N137*VLOOKUP('Données projet'!$B$9,Paramètres!$A$1:$I$89,3,0)*VLOOKUP('Données projet'!$B$9,Paramètres!$A$1:$I$89,5,0)</f>
        <v>1.064108801074326E-13</v>
      </c>
      <c r="P137" s="13">
        <f t="shared" si="141"/>
        <v>1.5870730813698654E-12</v>
      </c>
      <c r="Q137" s="20">
        <f t="shared" si="108"/>
        <v>2.9494845662396269E-12</v>
      </c>
      <c r="R137" s="59">
        <f t="shared" si="109"/>
        <v>293.33333333333627</v>
      </c>
      <c r="S137" s="59">
        <f ca="1">AVERAGE(OFFSET($R$3,0,0,'Données projet'!$E$9+1,1))-AVERAGE(OFFSET($H$3,0,0,'Données projet'!$E$9+1,1))</f>
        <v>234.83702199169585</v>
      </c>
      <c r="T137" s="59">
        <f t="shared" si="142"/>
        <v>248.83008816685089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46.71570293161853</v>
      </c>
      <c r="AA137" s="21">
        <f>EXP(-LN(2)/25)*AA136+(1-EXP(-LN(2)/25))/(LN(2)/25)*Calculateur!V137*Calculateur!X137*VLOOKUP('Données projet'!$B$9,Paramètres!$A$1:$I$89,3,0)*0.475*44/12</f>
        <v>6.4351579076196597</v>
      </c>
      <c r="AB137" s="21">
        <f>EXP(-LN(2)/2)*AB136+(1-EXP(-LN(2)/2))/(LN(2)/2)*V137*Y137*VLOOKUP('Données projet'!$B$9,Paramètres!$A$1:$I$89,3,0)*0.475*44/12</f>
        <v>2.4664687223646858E-11</v>
      </c>
      <c r="AC137" s="22">
        <f t="shared" si="111"/>
        <v>53.150860839262855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5.6843418860808015E-13</v>
      </c>
      <c r="AJ137" s="13">
        <f>AI137*VLOOKUP('Données projet'!$B$10,Paramètres!$A$1:$I$89,3,0)*VLOOKUP('Données projet'!$B$10,Paramètres!$A$1:$I$89,5,0)</f>
        <v>2.2907897800905631E-13</v>
      </c>
      <c r="AK137" s="13">
        <f t="shared" si="143"/>
        <v>3.1248920576624499E-12</v>
      </c>
      <c r="AL137" s="20">
        <f t="shared" si="112"/>
        <v>5.8414995537945398E-12</v>
      </c>
      <c r="AM137" s="59">
        <f t="shared" si="113"/>
        <v>293.33333333333917</v>
      </c>
      <c r="AN137" s="59">
        <f ca="1">AVERAGE(OFFSET($AM$3,0,0,'Données projet'!$E$10+1,1))-AVERAGE(OFFSET($H$3,0,0,'Données projet'!$E$10+1,1))</f>
        <v>314.16268026911069</v>
      </c>
      <c r="AO137" s="59">
        <f t="shared" si="144"/>
        <v>265.23571072429735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70.251080623224723</v>
      </c>
      <c r="AV137" s="21">
        <f>EXP(-LN(2)/25)*AV136+(1-EXP(-LN(2)/25))/(LN(2)/25)*Calculateur!AQ137*Calculateur!AS137*VLOOKUP('Données projet'!$B$10,Paramètres!$A$1:$I$89,3,0)*0.475*44/12</f>
        <v>16.024005563178036</v>
      </c>
      <c r="AW137" s="21">
        <f>EXP(-LN(2)/2)*AW136+(1-EXP(-LN(2)/2))/(LN(2)/2)*AQ137*AT137*VLOOKUP('Données projet'!$B$10,Paramètres!$A$1:$I$89,3,0)*0.475*44/12</f>
        <v>5.7806858893970375E-7</v>
      </c>
      <c r="AX137" s="21">
        <f t="shared" si="114"/>
        <v>86.275086764471354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457.57597278324812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2.2737367544323206E-13</v>
      </c>
      <c r="O138" s="13">
        <f>N138*VLOOKUP('Données projet'!$B$9,Paramètres!$A$1:$I$89,3,0)*VLOOKUP('Données projet'!$B$9,Paramètres!$A$1:$I$89,5,0)</f>
        <v>1.064108801074326E-13</v>
      </c>
      <c r="P138" s="13">
        <f t="shared" si="141"/>
        <v>1.5870730813698654E-12</v>
      </c>
      <c r="Q138" s="20">
        <f t="shared" si="108"/>
        <v>2.9494845662396269E-12</v>
      </c>
      <c r="R138" s="59">
        <f t="shared" si="109"/>
        <v>293.33333333333627</v>
      </c>
      <c r="S138" s="59">
        <f ca="1">AVERAGE(OFFSET($R$3,0,0,'Données projet'!$E$9+1,1))-AVERAGE(OFFSET($H$3,0,0,'Données projet'!$E$9+1,1))</f>
        <v>234.83702199169585</v>
      </c>
      <c r="T138" s="59">
        <f t="shared" si="142"/>
        <v>248.83008816685089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45.799636490894756</v>
      </c>
      <c r="AA138" s="21">
        <f>EXP(-LN(2)/25)*AA137+(1-EXP(-LN(2)/25))/(LN(2)/25)*Calculateur!V138*Calculateur!X138*VLOOKUP('Données projet'!$B$9,Paramètres!$A$1:$I$89,3,0)*0.475*44/12</f>
        <v>6.2591881762255532</v>
      </c>
      <c r="AB138" s="21">
        <f>EXP(-LN(2)/2)*AB137+(1-EXP(-LN(2)/2))/(LN(2)/2)*V138*Y138*VLOOKUP('Données projet'!$B$9,Paramètres!$A$1:$I$89,3,0)*0.475*44/12</f>
        <v>1.7440567591685893E-11</v>
      </c>
      <c r="AC138" s="22">
        <f t="shared" si="111"/>
        <v>52.058824667137749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5.6843418860808015E-13</v>
      </c>
      <c r="AJ138" s="13">
        <f>AI138*VLOOKUP('Données projet'!$B$10,Paramètres!$A$1:$I$89,3,0)*VLOOKUP('Données projet'!$B$10,Paramètres!$A$1:$I$89,5,0)</f>
        <v>2.2907897800905631E-13</v>
      </c>
      <c r="AK138" s="13">
        <f t="shared" si="143"/>
        <v>3.1248920576624499E-12</v>
      </c>
      <c r="AL138" s="20">
        <f t="shared" si="112"/>
        <v>5.8414995537945398E-12</v>
      </c>
      <c r="AM138" s="59">
        <f t="shared" si="113"/>
        <v>293.33333333333917</v>
      </c>
      <c r="AN138" s="59">
        <f ca="1">AVERAGE(OFFSET($AM$3,0,0,'Données projet'!$E$10+1,1))-AVERAGE(OFFSET($H$3,0,0,'Données projet'!$E$10+1,1))</f>
        <v>314.16268026911069</v>
      </c>
      <c r="AO138" s="59">
        <f t="shared" si="144"/>
        <v>265.23571072429735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68.873499781131486</v>
      </c>
      <c r="AV138" s="21">
        <f>EXP(-LN(2)/25)*AV137+(1-EXP(-LN(2)/25))/(LN(2)/25)*Calculateur!AQ138*Calculateur!AS138*VLOOKUP('Données projet'!$B$10,Paramètres!$A$1:$I$89,3,0)*0.475*44/12</f>
        <v>15.585828288387104</v>
      </c>
      <c r="AW138" s="21">
        <f>EXP(-LN(2)/2)*AW137+(1-EXP(-LN(2)/2))/(LN(2)/2)*AQ138*AT138*VLOOKUP('Données projet'!$B$10,Paramètres!$A$1:$I$89,3,0)*0.475*44/12</f>
        <v>4.087562192302034E-7</v>
      </c>
      <c r="AX138" s="21">
        <f t="shared" si="114"/>
        <v>84.459328478274813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458.76156093300006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2.2737367544323206E-13</v>
      </c>
      <c r="O139" s="13">
        <f>N139*VLOOKUP('Données projet'!$B$9,Paramètres!$A$1:$I$89,3,0)*VLOOKUP('Données projet'!$B$9,Paramètres!$A$1:$I$89,5,0)</f>
        <v>1.064108801074326E-13</v>
      </c>
      <c r="P139" s="13">
        <f t="shared" si="141"/>
        <v>1.5870730813698654E-12</v>
      </c>
      <c r="Q139" s="20">
        <f t="shared" si="108"/>
        <v>2.9494845662396269E-12</v>
      </c>
      <c r="R139" s="59">
        <f t="shared" si="109"/>
        <v>293.33333333333627</v>
      </c>
      <c r="S139" s="59">
        <f ca="1">AVERAGE(OFFSET($R$3,0,0,'Données projet'!$E$9+1,1))-AVERAGE(OFFSET($H$3,0,0,'Données projet'!$E$9+1,1))</f>
        <v>234.83702199169585</v>
      </c>
      <c r="T139" s="59">
        <f t="shared" si="142"/>
        <v>248.83008816685089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44.901533554328218</v>
      </c>
      <c r="AA139" s="21">
        <f>EXP(-LN(2)/25)*AA138+(1-EXP(-LN(2)/25))/(LN(2)/25)*Calculateur!V139*Calculateur!X139*VLOOKUP('Données projet'!$B$9,Paramètres!$A$1:$I$89,3,0)*0.475*44/12</f>
        <v>6.0880303463902647</v>
      </c>
      <c r="AB139" s="21">
        <f>EXP(-LN(2)/2)*AB138+(1-EXP(-LN(2)/2))/(LN(2)/2)*V139*Y139*VLOOKUP('Données projet'!$B$9,Paramètres!$A$1:$I$89,3,0)*0.475*44/12</f>
        <v>1.2332343611823429E-11</v>
      </c>
      <c r="AC139" s="22">
        <f t="shared" si="111"/>
        <v>50.989563900730815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5.6843418860808015E-13</v>
      </c>
      <c r="AJ139" s="13">
        <f>AI139*VLOOKUP('Données projet'!$B$10,Paramètres!$A$1:$I$89,3,0)*VLOOKUP('Données projet'!$B$10,Paramètres!$A$1:$I$89,5,0)</f>
        <v>2.2907897800905631E-13</v>
      </c>
      <c r="AK139" s="13">
        <f t="shared" si="143"/>
        <v>3.1248920576624499E-12</v>
      </c>
      <c r="AL139" s="20">
        <f t="shared" si="112"/>
        <v>5.8414995537945398E-12</v>
      </c>
      <c r="AM139" s="59">
        <f t="shared" si="113"/>
        <v>293.33333333333917</v>
      </c>
      <c r="AN139" s="59">
        <f ca="1">AVERAGE(OFFSET($AM$3,0,0,'Données projet'!$E$10+1,1))-AVERAGE(OFFSET($H$3,0,0,'Données projet'!$E$10+1,1))</f>
        <v>314.16268026911069</v>
      </c>
      <c r="AO139" s="59">
        <f t="shared" si="144"/>
        <v>265.23571072429735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67.522932459110351</v>
      </c>
      <c r="AV139" s="21">
        <f>EXP(-LN(2)/25)*AV138+(1-EXP(-LN(2)/25))/(LN(2)/25)*Calculateur!AQ139*Calculateur!AS139*VLOOKUP('Données projet'!$B$10,Paramètres!$A$1:$I$89,3,0)*0.475*44/12</f>
        <v>15.15963299421807</v>
      </c>
      <c r="AW139" s="21">
        <f>EXP(-LN(2)/2)*AW138+(1-EXP(-LN(2)/2))/(LN(2)/2)*AQ139*AT139*VLOOKUP('Données projet'!$B$10,Paramètres!$A$1:$I$89,3,0)*0.475*44/12</f>
        <v>2.8903429446985188E-7</v>
      </c>
      <c r="AX139" s="21">
        <f t="shared" si="114"/>
        <v>82.682565742362712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459.94694834410268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2.2737367544323206E-13</v>
      </c>
      <c r="O140" s="13">
        <f>N140*VLOOKUP('Données projet'!$B$9,Paramètres!$A$1:$I$89,3,0)*VLOOKUP('Données projet'!$B$9,Paramètres!$A$1:$I$89,5,0)</f>
        <v>1.064108801074326E-13</v>
      </c>
      <c r="P140" s="13">
        <f t="shared" si="141"/>
        <v>1.5870730813698654E-12</v>
      </c>
      <c r="Q140" s="20">
        <f t="shared" si="108"/>
        <v>2.9494845662396269E-12</v>
      </c>
      <c r="R140" s="59">
        <f t="shared" si="109"/>
        <v>293.33333333333627</v>
      </c>
      <c r="S140" s="59">
        <f ca="1">AVERAGE(OFFSET($R$3,0,0,'Données projet'!$E$9+1,1))-AVERAGE(OFFSET($H$3,0,0,'Données projet'!$E$9+1,1))</f>
        <v>234.83702199169585</v>
      </c>
      <c r="T140" s="59">
        <f t="shared" si="142"/>
        <v>248.83008816685089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44.021041868559045</v>
      </c>
      <c r="AA140" s="21">
        <f>EXP(-LN(2)/25)*AA139+(1-EXP(-LN(2)/25))/(LN(2)/25)*Calculateur!V140*Calculateur!X140*VLOOKUP('Données projet'!$B$9,Paramètres!$A$1:$I$89,3,0)*0.475*44/12</f>
        <v>5.9215528364126211</v>
      </c>
      <c r="AB140" s="21">
        <f>EXP(-LN(2)/2)*AB139+(1-EXP(-LN(2)/2))/(LN(2)/2)*V140*Y140*VLOOKUP('Données projet'!$B$9,Paramètres!$A$1:$I$89,3,0)*0.475*44/12</f>
        <v>8.7202837958429463E-12</v>
      </c>
      <c r="AC140" s="22">
        <f t="shared" si="111"/>
        <v>49.942594704980387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5.6843418860808015E-13</v>
      </c>
      <c r="AJ140" s="13">
        <f>AI140*VLOOKUP('Données projet'!$B$10,Paramètres!$A$1:$I$89,3,0)*VLOOKUP('Données projet'!$B$10,Paramètres!$A$1:$I$89,5,0)</f>
        <v>2.2907897800905631E-13</v>
      </c>
      <c r="AK140" s="13">
        <f t="shared" si="143"/>
        <v>3.1248920576624499E-12</v>
      </c>
      <c r="AL140" s="20">
        <f t="shared" si="112"/>
        <v>5.8414995537945398E-12</v>
      </c>
      <c r="AM140" s="59">
        <f t="shared" si="113"/>
        <v>293.33333333333917</v>
      </c>
      <c r="AN140" s="59">
        <f ca="1">AVERAGE(OFFSET($AM$3,0,0,'Données projet'!$E$10+1,1))-AVERAGE(OFFSET($H$3,0,0,'Données projet'!$E$10+1,1))</f>
        <v>314.16268026911069</v>
      </c>
      <c r="AO140" s="59">
        <f t="shared" si="144"/>
        <v>265.23571072429735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66.198848938509329</v>
      </c>
      <c r="AV140" s="21">
        <f>EXP(-LN(2)/25)*AV139+(1-EXP(-LN(2)/25))/(LN(2)/25)*Calculateur!AQ140*Calculateur!AS140*VLOOKUP('Données projet'!$B$10,Paramètres!$A$1:$I$89,3,0)*0.475*44/12</f>
        <v>14.745092032780725</v>
      </c>
      <c r="AW140" s="21">
        <f>EXP(-LN(2)/2)*AW139+(1-EXP(-LN(2)/2))/(LN(2)/2)*AQ140*AT140*VLOOKUP('Données projet'!$B$10,Paramètres!$A$1:$I$89,3,0)*0.475*44/12</f>
        <v>2.043781096151017E-7</v>
      </c>
      <c r="AX140" s="21">
        <f t="shared" si="114"/>
        <v>80.943941175668172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461.13213665169064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2.2737367544323206E-13</v>
      </c>
      <c r="O141" s="13">
        <f>N141*VLOOKUP('Données projet'!$B$9,Paramètres!$A$1:$I$89,3,0)*VLOOKUP('Données projet'!$B$9,Paramètres!$A$1:$I$89,5,0)</f>
        <v>1.064108801074326E-13</v>
      </c>
      <c r="P141" s="13">
        <f t="shared" si="141"/>
        <v>1.5870730813698654E-12</v>
      </c>
      <c r="Q141" s="20">
        <f t="shared" si="108"/>
        <v>2.9494845662396269E-12</v>
      </c>
      <c r="R141" s="59">
        <f t="shared" si="109"/>
        <v>293.33333333333627</v>
      </c>
      <c r="S141" s="59">
        <f ca="1">AVERAGE(OFFSET($R$3,0,0,'Données projet'!$E$9+1,1))-AVERAGE(OFFSET($H$3,0,0,'Données projet'!$E$9+1,1))</f>
        <v>234.83702199169585</v>
      </c>
      <c r="T141" s="59">
        <f t="shared" si="142"/>
        <v>248.83008816685089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43.157816087700908</v>
      </c>
      <c r="AA141" s="21">
        <f>EXP(-LN(2)/25)*AA140+(1-EXP(-LN(2)/25))/(LN(2)/25)*Calculateur!V141*Calculateur!X141*VLOOKUP('Données projet'!$B$9,Paramètres!$A$1:$I$89,3,0)*0.475*44/12</f>
        <v>5.7596276626999883</v>
      </c>
      <c r="AB141" s="21">
        <f>EXP(-LN(2)/2)*AB140+(1-EXP(-LN(2)/2))/(LN(2)/2)*V141*Y141*VLOOKUP('Données projet'!$B$9,Paramètres!$A$1:$I$89,3,0)*0.475*44/12</f>
        <v>6.1661718059117144E-12</v>
      </c>
      <c r="AC141" s="22">
        <f t="shared" si="111"/>
        <v>48.917443750407067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5.6843418860808015E-13</v>
      </c>
      <c r="AJ141" s="13">
        <f>AI141*VLOOKUP('Données projet'!$B$10,Paramètres!$A$1:$I$89,3,0)*VLOOKUP('Données projet'!$B$10,Paramètres!$A$1:$I$89,5,0)</f>
        <v>2.2907897800905631E-13</v>
      </c>
      <c r="AK141" s="13">
        <f t="shared" si="143"/>
        <v>3.1248920576624499E-12</v>
      </c>
      <c r="AL141" s="20">
        <f t="shared" si="112"/>
        <v>5.8414995537945398E-12</v>
      </c>
      <c r="AM141" s="59">
        <f t="shared" si="113"/>
        <v>293.33333333333917</v>
      </c>
      <c r="AN141" s="59">
        <f ca="1">AVERAGE(OFFSET($AM$3,0,0,'Données projet'!$E$10+1,1))-AVERAGE(OFFSET($H$3,0,0,'Données projet'!$E$10+1,1))</f>
        <v>314.16268026911069</v>
      </c>
      <c r="AO141" s="59">
        <f t="shared" si="144"/>
        <v>265.23571072429735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64.900729888136084</v>
      </c>
      <c r="AV141" s="21">
        <f>EXP(-LN(2)/25)*AV140+(1-EXP(-LN(2)/25))/(LN(2)/25)*Calculateur!AQ141*Calculateur!AS141*VLOOKUP('Données projet'!$B$10,Paramètres!$A$1:$I$89,3,0)*0.475*44/12</f>
        <v>14.341886715733647</v>
      </c>
      <c r="AW141" s="21">
        <f>EXP(-LN(2)/2)*AW140+(1-EXP(-LN(2)/2))/(LN(2)/2)*AQ141*AT141*VLOOKUP('Données projet'!$B$10,Paramètres!$A$1:$I$89,3,0)*0.475*44/12</f>
        <v>1.4451714723492594E-7</v>
      </c>
      <c r="AX141" s="21">
        <f t="shared" si="114"/>
        <v>79.24261674838688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462.31712746583173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2.2737367544323206E-13</v>
      </c>
      <c r="O142" s="13">
        <f>N142*VLOOKUP('Données projet'!$B$9,Paramètres!$A$1:$I$89,3,0)*VLOOKUP('Données projet'!$B$9,Paramètres!$A$1:$I$89,5,0)</f>
        <v>1.064108801074326E-13</v>
      </c>
      <c r="P142" s="13">
        <f t="shared" si="141"/>
        <v>1.5870730813698654E-12</v>
      </c>
      <c r="Q142" s="20">
        <f t="shared" si="108"/>
        <v>2.9494845662396269E-12</v>
      </c>
      <c r="R142" s="59">
        <f t="shared" si="109"/>
        <v>293.33333333333627</v>
      </c>
      <c r="S142" s="59">
        <f ca="1">AVERAGE(OFFSET($R$3,0,0,'Données projet'!$E$9+1,1))-AVERAGE(OFFSET($H$3,0,0,'Données projet'!$E$9+1,1))</f>
        <v>234.83702199169585</v>
      </c>
      <c r="T142" s="59">
        <f t="shared" si="142"/>
        <v>248.83008816685089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42.311517637889658</v>
      </c>
      <c r="AA142" s="21">
        <f>EXP(-LN(2)/25)*AA141+(1-EXP(-LN(2)/25))/(LN(2)/25)*Calculateur!V142*Calculateur!X142*VLOOKUP('Données projet'!$B$9,Paramètres!$A$1:$I$89,3,0)*0.475*44/12</f>
        <v>5.6021303413778023</v>
      </c>
      <c r="AB142" s="21">
        <f>EXP(-LN(2)/2)*AB141+(1-EXP(-LN(2)/2))/(LN(2)/2)*V142*Y142*VLOOKUP('Données projet'!$B$9,Paramètres!$A$1:$I$89,3,0)*0.475*44/12</f>
        <v>4.3601418979214732E-12</v>
      </c>
      <c r="AC142" s="22">
        <f t="shared" si="111"/>
        <v>47.913647979271822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5.6843418860808015E-13</v>
      </c>
      <c r="AJ142" s="13">
        <f>AI142*VLOOKUP('Données projet'!$B$10,Paramètres!$A$1:$I$89,3,0)*VLOOKUP('Données projet'!$B$10,Paramètres!$A$1:$I$89,5,0)</f>
        <v>2.2907897800905631E-13</v>
      </c>
      <c r="AK142" s="13">
        <f t="shared" si="143"/>
        <v>3.1248920576624499E-12</v>
      </c>
      <c r="AL142" s="20">
        <f t="shared" si="112"/>
        <v>5.8414995537945398E-12</v>
      </c>
      <c r="AM142" s="59">
        <f t="shared" si="113"/>
        <v>293.33333333333917</v>
      </c>
      <c r="AN142" s="59">
        <f ca="1">AVERAGE(OFFSET($AM$3,0,0,'Données projet'!$E$10+1,1))-AVERAGE(OFFSET($H$3,0,0,'Données projet'!$E$10+1,1))</f>
        <v>314.16268026911069</v>
      </c>
      <c r="AO142" s="59">
        <f t="shared" si="144"/>
        <v>265.23571072429735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63.62806616056622</v>
      </c>
      <c r="AV142" s="21">
        <f>EXP(-LN(2)/25)*AV141+(1-EXP(-LN(2)/25))/(LN(2)/25)*Calculateur!AQ142*Calculateur!AS142*VLOOKUP('Données projet'!$B$10,Paramètres!$A$1:$I$89,3,0)*0.475*44/12</f>
        <v>13.949707069284868</v>
      </c>
      <c r="AW142" s="21">
        <f>EXP(-LN(2)/2)*AW141+(1-EXP(-LN(2)/2))/(LN(2)/2)*AQ142*AT142*VLOOKUP('Données projet'!$B$10,Paramètres!$A$1:$I$89,3,0)*0.475*44/12</f>
        <v>1.0218905480755085E-7</v>
      </c>
      <c r="AX142" s="21">
        <f t="shared" si="114"/>
        <v>77.577773332040138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463.50192237208853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2.2737367544323206E-13</v>
      </c>
      <c r="O143" s="13">
        <f>N143*VLOOKUP('Données projet'!$B$9,Paramètres!$A$1:$I$89,3,0)*VLOOKUP('Données projet'!$B$9,Paramètres!$A$1:$I$89,5,0)</f>
        <v>1.064108801074326E-13</v>
      </c>
      <c r="P143" s="13">
        <f t="shared" si="141"/>
        <v>1.5870730813698654E-12</v>
      </c>
      <c r="Q143" s="20">
        <f t="shared" si="108"/>
        <v>2.9494845662396269E-12</v>
      </c>
      <c r="R143" s="59">
        <f t="shared" si="109"/>
        <v>293.33333333333627</v>
      </c>
      <c r="S143" s="59">
        <f ca="1">AVERAGE(OFFSET($R$3,0,0,'Données projet'!$E$9+1,1))-AVERAGE(OFFSET($H$3,0,0,'Données projet'!$E$9+1,1))</f>
        <v>234.83702199169585</v>
      </c>
      <c r="T143" s="59">
        <f t="shared" si="142"/>
        <v>248.83008816685089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41.481814584488127</v>
      </c>
      <c r="AA143" s="21">
        <f>EXP(-LN(2)/25)*AA142+(1-EXP(-LN(2)/25))/(LN(2)/25)*Calculateur!V143*Calculateur!X143*VLOOKUP('Données projet'!$B$9,Paramètres!$A$1:$I$89,3,0)*0.475*44/12</f>
        <v>5.4489397925895959</v>
      </c>
      <c r="AB143" s="21">
        <f>EXP(-LN(2)/2)*AB142+(1-EXP(-LN(2)/2))/(LN(2)/2)*V143*Y143*VLOOKUP('Données projet'!$B$9,Paramètres!$A$1:$I$89,3,0)*0.475*44/12</f>
        <v>3.0830859029558572E-12</v>
      </c>
      <c r="AC143" s="22">
        <f t="shared" si="111"/>
        <v>46.93075437708081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5.6843418860808015E-13</v>
      </c>
      <c r="AJ143" s="13">
        <f>AI143*VLOOKUP('Données projet'!$B$10,Paramètres!$A$1:$I$89,3,0)*VLOOKUP('Données projet'!$B$10,Paramètres!$A$1:$I$89,5,0)</f>
        <v>2.2907897800905631E-13</v>
      </c>
      <c r="AK143" s="13">
        <f t="shared" si="143"/>
        <v>3.1248920576624499E-12</v>
      </c>
      <c r="AL143" s="20">
        <f t="shared" si="112"/>
        <v>5.8414995537945398E-12</v>
      </c>
      <c r="AM143" s="59">
        <f t="shared" si="113"/>
        <v>293.33333333333917</v>
      </c>
      <c r="AN143" s="59">
        <f ca="1">AVERAGE(OFFSET($AM$3,0,0,'Données projet'!$E$10+1,1))-AVERAGE(OFFSET($H$3,0,0,'Données projet'!$E$10+1,1))</f>
        <v>314.16268026911069</v>
      </c>
      <c r="AO143" s="59">
        <f t="shared" si="144"/>
        <v>265.23571072429735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62.380358592445774</v>
      </c>
      <c r="AV143" s="21">
        <f>EXP(-LN(2)/25)*AV142+(1-EXP(-LN(2)/25))/(LN(2)/25)*Calculateur!AQ143*Calculateur!AS143*VLOOKUP('Données projet'!$B$10,Paramètres!$A$1:$I$89,3,0)*0.475*44/12</f>
        <v>13.568251595892061</v>
      </c>
      <c r="AW143" s="21">
        <f>EXP(-LN(2)/2)*AW142+(1-EXP(-LN(2)/2))/(LN(2)/2)*AQ143*AT143*VLOOKUP('Données projet'!$B$10,Paramètres!$A$1:$I$89,3,0)*0.475*44/12</f>
        <v>7.2258573617462969E-8</v>
      </c>
      <c r="AX143" s="21">
        <f t="shared" si="114"/>
        <v>75.948610260596411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464.68652293206395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2.2737367544323206E-13</v>
      </c>
      <c r="O144" s="13">
        <f>N144*VLOOKUP('Données projet'!$B$9,Paramètres!$A$1:$I$89,3,0)*VLOOKUP('Données projet'!$B$9,Paramètres!$A$1:$I$89,5,0)</f>
        <v>1.064108801074326E-13</v>
      </c>
      <c r="P144" s="13">
        <f t="shared" si="141"/>
        <v>1.5870730813698654E-12</v>
      </c>
      <c r="Q144" s="20">
        <f t="shared" si="108"/>
        <v>2.9494845662396269E-12</v>
      </c>
      <c r="R144" s="59">
        <f t="shared" si="109"/>
        <v>293.33333333333627</v>
      </c>
      <c r="S144" s="59">
        <f ca="1">AVERAGE(OFFSET($R$3,0,0,'Données projet'!$E$9+1,1))-AVERAGE(OFFSET($H$3,0,0,'Données projet'!$E$9+1,1))</f>
        <v>234.83702199169585</v>
      </c>
      <c r="T144" s="59">
        <f t="shared" si="142"/>
        <v>248.83008816685089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40.668381501894906</v>
      </c>
      <c r="AA144" s="21">
        <f>EXP(-LN(2)/25)*AA143+(1-EXP(-LN(2)/25))/(LN(2)/25)*Calculateur!V144*Calculateur!X144*VLOOKUP('Données projet'!$B$9,Paramètres!$A$1:$I$89,3,0)*0.475*44/12</f>
        <v>5.2999382474139436</v>
      </c>
      <c r="AB144" s="21">
        <f>EXP(-LN(2)/2)*AB143+(1-EXP(-LN(2)/2))/(LN(2)/2)*V144*Y144*VLOOKUP('Données projet'!$B$9,Paramètres!$A$1:$I$89,3,0)*0.475*44/12</f>
        <v>2.1800709489607366E-12</v>
      </c>
      <c r="AC144" s="22">
        <f t="shared" si="111"/>
        <v>45.968319749311028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5.6843418860808015E-13</v>
      </c>
      <c r="AJ144" s="13">
        <f>AI144*VLOOKUP('Données projet'!$B$10,Paramètres!$A$1:$I$89,3,0)*VLOOKUP('Données projet'!$B$10,Paramètres!$A$1:$I$89,5,0)</f>
        <v>2.2907897800905631E-13</v>
      </c>
      <c r="AK144" s="13">
        <f t="shared" si="143"/>
        <v>3.1248920576624499E-12</v>
      </c>
      <c r="AL144" s="20">
        <f t="shared" si="112"/>
        <v>5.8414995537945398E-12</v>
      </c>
      <c r="AM144" s="59">
        <f t="shared" si="113"/>
        <v>293.33333333333917</v>
      </c>
      <c r="AN144" s="59">
        <f ca="1">AVERAGE(OFFSET($AM$3,0,0,'Données projet'!$E$10+1,1))-AVERAGE(OFFSET($H$3,0,0,'Données projet'!$E$10+1,1))</f>
        <v>314.16268026911069</v>
      </c>
      <c r="AO144" s="59">
        <f t="shared" si="144"/>
        <v>265.23571072429735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61.1571178087097</v>
      </c>
      <c r="AV144" s="21">
        <f>EXP(-LN(2)/25)*AV143+(1-EXP(-LN(2)/25))/(LN(2)/25)*Calculateur!AQ144*Calculateur!AS144*VLOOKUP('Données projet'!$B$10,Paramètres!$A$1:$I$89,3,0)*0.475*44/12</f>
        <v>13.197227042479051</v>
      </c>
      <c r="AW144" s="21">
        <f>EXP(-LN(2)/2)*AW143+(1-EXP(-LN(2)/2))/(LN(2)/2)*AQ144*AT144*VLOOKUP('Données projet'!$B$10,Paramètres!$A$1:$I$89,3,0)*0.475*44/12</f>
        <v>5.1094527403775425E-8</v>
      </c>
      <c r="AX144" s="21">
        <f t="shared" si="114"/>
        <v>74.354344902283287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465.87093068393028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2.2737367544323206E-13</v>
      </c>
      <c r="O145" s="13">
        <f>N145*VLOOKUP('Données projet'!$B$9,Paramètres!$A$1:$I$89,3,0)*VLOOKUP('Données projet'!$B$9,Paramètres!$A$1:$I$89,5,0)</f>
        <v>1.064108801074326E-13</v>
      </c>
      <c r="P145" s="13">
        <f t="shared" si="141"/>
        <v>1.5870730813698654E-12</v>
      </c>
      <c r="Q145" s="20">
        <f t="shared" si="108"/>
        <v>2.9494845662396269E-12</v>
      </c>
      <c r="R145" s="59">
        <f t="shared" si="109"/>
        <v>293.33333333333627</v>
      </c>
      <c r="S145" s="59">
        <f ca="1">AVERAGE(OFFSET($R$3,0,0,'Données projet'!$E$9+1,1))-AVERAGE(OFFSET($H$3,0,0,'Données projet'!$E$9+1,1))</f>
        <v>234.83702199169585</v>
      </c>
      <c r="T145" s="59">
        <f t="shared" si="142"/>
        <v>248.83008816685089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39.870899345906146</v>
      </c>
      <c r="AA145" s="21">
        <f>EXP(-LN(2)/25)*AA144+(1-EXP(-LN(2)/25))/(LN(2)/25)*Calculateur!V145*Calculateur!X145*VLOOKUP('Données projet'!$B$9,Paramètres!$A$1:$I$89,3,0)*0.475*44/12</f>
        <v>5.1550111573267703</v>
      </c>
      <c r="AB145" s="21">
        <f>EXP(-LN(2)/2)*AB144+(1-EXP(-LN(2)/2))/(LN(2)/2)*V145*Y145*VLOOKUP('Données projet'!$B$9,Paramètres!$A$1:$I$89,3,0)*0.475*44/12</f>
        <v>1.5415429514779286E-12</v>
      </c>
      <c r="AC145" s="22">
        <f t="shared" si="111"/>
        <v>45.025910503234456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5.6843418860808015E-13</v>
      </c>
      <c r="AJ145" s="13">
        <f>AI145*VLOOKUP('Données projet'!$B$10,Paramètres!$A$1:$I$89,3,0)*VLOOKUP('Données projet'!$B$10,Paramètres!$A$1:$I$89,5,0)</f>
        <v>2.2907897800905631E-13</v>
      </c>
      <c r="AK145" s="13">
        <f t="shared" si="143"/>
        <v>3.1248920576624499E-12</v>
      </c>
      <c r="AL145" s="20">
        <f t="shared" si="112"/>
        <v>5.8414995537945398E-12</v>
      </c>
      <c r="AM145" s="59">
        <f t="shared" si="113"/>
        <v>293.33333333333917</v>
      </c>
      <c r="AN145" s="59">
        <f ca="1">AVERAGE(OFFSET($AM$3,0,0,'Données projet'!$E$10+1,1))-AVERAGE(OFFSET($H$3,0,0,'Données projet'!$E$10+1,1))</f>
        <v>314.16268026911069</v>
      </c>
      <c r="AO145" s="59">
        <f t="shared" si="144"/>
        <v>265.23571072429735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59.957864030639485</v>
      </c>
      <c r="AV145" s="21">
        <f>EXP(-LN(2)/25)*AV144+(1-EXP(-LN(2)/25))/(LN(2)/25)*Calculateur!AQ145*Calculateur!AS145*VLOOKUP('Données projet'!$B$10,Paramètres!$A$1:$I$89,3,0)*0.475*44/12</f>
        <v>12.836348174990453</v>
      </c>
      <c r="AW145" s="21">
        <f>EXP(-LN(2)/2)*AW144+(1-EXP(-LN(2)/2))/(LN(2)/2)*AQ145*AT145*VLOOKUP('Données projet'!$B$10,Paramètres!$A$1:$I$89,3,0)*0.475*44/12</f>
        <v>3.6129286808731485E-8</v>
      </c>
      <c r="AX145" s="21">
        <f t="shared" si="114"/>
        <v>72.794212241759226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467.0551471429435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2.2737367544323206E-13</v>
      </c>
      <c r="O146" s="13">
        <f>N146*VLOOKUP('Données projet'!$B$9,Paramètres!$A$1:$I$89,3,0)*VLOOKUP('Données projet'!$B$9,Paramètres!$A$1:$I$89,5,0)</f>
        <v>1.064108801074326E-13</v>
      </c>
      <c r="P146" s="13">
        <f t="shared" si="141"/>
        <v>1.5870730813698654E-12</v>
      </c>
      <c r="Q146" s="20">
        <f t="shared" si="108"/>
        <v>2.9494845662396269E-12</v>
      </c>
      <c r="R146" s="59">
        <f t="shared" si="109"/>
        <v>293.33333333333627</v>
      </c>
      <c r="S146" s="59">
        <f ca="1">AVERAGE(OFFSET($R$3,0,0,'Données projet'!$E$9+1,1))-AVERAGE(OFFSET($H$3,0,0,'Données projet'!$E$9+1,1))</f>
        <v>234.83702199169585</v>
      </c>
      <c r="T146" s="59">
        <f t="shared" si="142"/>
        <v>248.83008816685089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39.089055328580244</v>
      </c>
      <c r="AA146" s="21">
        <f>EXP(-LN(2)/25)*AA145+(1-EXP(-LN(2)/25))/(LN(2)/25)*Calculateur!V146*Calculateur!X146*VLOOKUP('Données projet'!$B$9,Paramètres!$A$1:$I$89,3,0)*0.475*44/12</f>
        <v>5.0140471061394152</v>
      </c>
      <c r="AB146" s="21">
        <f>EXP(-LN(2)/2)*AB145+(1-EXP(-LN(2)/2))/(LN(2)/2)*V146*Y146*VLOOKUP('Données projet'!$B$9,Paramètres!$A$1:$I$89,3,0)*0.475*44/12</f>
        <v>1.0900354744803683E-12</v>
      </c>
      <c r="AC146" s="22">
        <f t="shared" si="111"/>
        <v>44.103102434720746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5.6843418860808015E-13</v>
      </c>
      <c r="AJ146" s="13">
        <f>AI146*VLOOKUP('Données projet'!$B$10,Paramètres!$A$1:$I$89,3,0)*VLOOKUP('Données projet'!$B$10,Paramètres!$A$1:$I$89,5,0)</f>
        <v>2.2907897800905631E-13</v>
      </c>
      <c r="AK146" s="13">
        <f t="shared" si="143"/>
        <v>3.1248920576624499E-12</v>
      </c>
      <c r="AL146" s="20">
        <f t="shared" si="112"/>
        <v>5.8414995537945398E-12</v>
      </c>
      <c r="AM146" s="59">
        <f t="shared" si="113"/>
        <v>293.33333333333917</v>
      </c>
      <c r="AN146" s="59">
        <f ca="1">AVERAGE(OFFSET($AM$3,0,0,'Données projet'!$E$10+1,1))-AVERAGE(OFFSET($H$3,0,0,'Données projet'!$E$10+1,1))</f>
        <v>314.16268026911069</v>
      </c>
      <c r="AO146" s="59">
        <f t="shared" si="144"/>
        <v>265.23571072429735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58.782126887684647</v>
      </c>
      <c r="AV146" s="21">
        <f>EXP(-LN(2)/25)*AV145+(1-EXP(-LN(2)/25))/(LN(2)/25)*Calculateur!AQ146*Calculateur!AS146*VLOOKUP('Données projet'!$B$10,Paramètres!$A$1:$I$89,3,0)*0.475*44/12</f>
        <v>12.485337559111127</v>
      </c>
      <c r="AW146" s="21">
        <f>EXP(-LN(2)/2)*AW145+(1-EXP(-LN(2)/2))/(LN(2)/2)*AQ146*AT146*VLOOKUP('Données projet'!$B$10,Paramètres!$A$1:$I$89,3,0)*0.475*44/12</f>
        <v>2.5547263701887712E-8</v>
      </c>
      <c r="AX146" s="21">
        <f t="shared" si="114"/>
        <v>71.267464472343036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468.23917380194229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2.2737367544323206E-13</v>
      </c>
      <c r="O147" s="13">
        <f>N147*VLOOKUP('Données projet'!$B$9,Paramètres!$A$1:$I$89,3,0)*VLOOKUP('Données projet'!$B$9,Paramètres!$A$1:$I$89,5,0)</f>
        <v>1.064108801074326E-13</v>
      </c>
      <c r="P147" s="13">
        <f t="shared" si="141"/>
        <v>1.5870730813698654E-12</v>
      </c>
      <c r="Q147" s="20">
        <f t="shared" si="108"/>
        <v>2.9494845662396269E-12</v>
      </c>
      <c r="R147" s="59">
        <f t="shared" si="109"/>
        <v>293.33333333333627</v>
      </c>
      <c r="S147" s="59">
        <f ca="1">AVERAGE(OFFSET($R$3,0,0,'Données projet'!$E$9+1,1))-AVERAGE(OFFSET($H$3,0,0,'Données projet'!$E$9+1,1))</f>
        <v>234.83702199169585</v>
      </c>
      <c r="T147" s="59">
        <f t="shared" si="142"/>
        <v>248.83008816685089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38.322542795556338</v>
      </c>
      <c r="AA147" s="21">
        <f>EXP(-LN(2)/25)*AA146+(1-EXP(-LN(2)/25))/(LN(2)/25)*Calculateur!V147*Calculateur!X147*VLOOKUP('Données projet'!$B$9,Paramètres!$A$1:$I$89,3,0)*0.475*44/12</f>
        <v>4.8769377243447556</v>
      </c>
      <c r="AB147" s="21">
        <f>EXP(-LN(2)/2)*AB146+(1-EXP(-LN(2)/2))/(LN(2)/2)*V147*Y147*VLOOKUP('Données projet'!$B$9,Paramètres!$A$1:$I$89,3,0)*0.475*44/12</f>
        <v>7.707714757389643E-13</v>
      </c>
      <c r="AC147" s="22">
        <f t="shared" si="111"/>
        <v>43.199480519901861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5.6843418860808015E-13</v>
      </c>
      <c r="AJ147" s="13">
        <f>AI147*VLOOKUP('Données projet'!$B$10,Paramètres!$A$1:$I$89,3,0)*VLOOKUP('Données projet'!$B$10,Paramètres!$A$1:$I$89,5,0)</f>
        <v>2.2907897800905631E-13</v>
      </c>
      <c r="AK147" s="13">
        <f t="shared" si="143"/>
        <v>3.1248920576624499E-12</v>
      </c>
      <c r="AL147" s="20">
        <f t="shared" si="112"/>
        <v>5.8414995537945398E-12</v>
      </c>
      <c r="AM147" s="59">
        <f t="shared" si="113"/>
        <v>293.33333333333917</v>
      </c>
      <c r="AN147" s="59">
        <f ca="1">AVERAGE(OFFSET($AM$3,0,0,'Données projet'!$E$10+1,1))-AVERAGE(OFFSET($H$3,0,0,'Données projet'!$E$10+1,1))</f>
        <v>314.16268026911069</v>
      </c>
      <c r="AO147" s="59">
        <f t="shared" si="144"/>
        <v>265.23571072429735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57.629445232974305</v>
      </c>
      <c r="AV147" s="21">
        <f>EXP(-LN(2)/25)*AV146+(1-EXP(-LN(2)/25))/(LN(2)/25)*Calculateur!AQ147*Calculateur!AS147*VLOOKUP('Données projet'!$B$10,Paramètres!$A$1:$I$89,3,0)*0.475*44/12</f>
        <v>12.143925346981867</v>
      </c>
      <c r="AW147" s="21">
        <f>EXP(-LN(2)/2)*AW146+(1-EXP(-LN(2)/2))/(LN(2)/2)*AQ147*AT147*VLOOKUP('Données projet'!$B$10,Paramètres!$A$1:$I$89,3,0)*0.475*44/12</f>
        <v>1.8064643404365742E-8</v>
      </c>
      <c r="AX147" s="21">
        <f t="shared" si="114"/>
        <v>69.773370598020819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469.42301213183316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2.2737367544323206E-13</v>
      </c>
      <c r="O148" s="13">
        <f>N148*VLOOKUP('Données projet'!$B$9,Paramètres!$A$1:$I$89,3,0)*VLOOKUP('Données projet'!$B$9,Paramètres!$A$1:$I$89,5,0)</f>
        <v>1.064108801074326E-13</v>
      </c>
      <c r="P148" s="13">
        <f t="shared" si="141"/>
        <v>1.5870730813698654E-12</v>
      </c>
      <c r="Q148" s="20">
        <f t="shared" si="108"/>
        <v>2.9494845662396269E-12</v>
      </c>
      <c r="R148" s="59">
        <f t="shared" si="109"/>
        <v>293.33333333333627</v>
      </c>
      <c r="S148" s="59">
        <f ca="1">AVERAGE(OFFSET($R$3,0,0,'Données projet'!$E$9+1,1))-AVERAGE(OFFSET($H$3,0,0,'Données projet'!$E$9+1,1))</f>
        <v>234.83702199169585</v>
      </c>
      <c r="T148" s="59">
        <f t="shared" si="142"/>
        <v>248.83008816685089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37.571061105778547</v>
      </c>
      <c r="AA148" s="21">
        <f>EXP(-LN(2)/25)*AA147+(1-EXP(-LN(2)/25))/(LN(2)/25)*Calculateur!V148*Calculateur!X148*VLOOKUP('Données projet'!$B$9,Paramètres!$A$1:$I$89,3,0)*0.475*44/12</f>
        <v>4.7435776058055401</v>
      </c>
      <c r="AB148" s="21">
        <f>EXP(-LN(2)/2)*AB147+(1-EXP(-LN(2)/2))/(LN(2)/2)*V148*Y148*VLOOKUP('Données projet'!$B$9,Paramètres!$A$1:$I$89,3,0)*0.475*44/12</f>
        <v>5.4501773724018415E-13</v>
      </c>
      <c r="AC148" s="22">
        <f t="shared" si="111"/>
        <v>42.314638711584635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5.6843418860808015E-13</v>
      </c>
      <c r="AJ148" s="13">
        <f>AI148*VLOOKUP('Données projet'!$B$10,Paramètres!$A$1:$I$89,3,0)*VLOOKUP('Données projet'!$B$10,Paramètres!$A$1:$I$89,5,0)</f>
        <v>2.2907897800905631E-13</v>
      </c>
      <c r="AK148" s="13">
        <f t="shared" si="143"/>
        <v>3.1248920576624499E-12</v>
      </c>
      <c r="AL148" s="20">
        <f t="shared" si="112"/>
        <v>5.8414995537945398E-12</v>
      </c>
      <c r="AM148" s="59">
        <f t="shared" si="113"/>
        <v>293.33333333333917</v>
      </c>
      <c r="AN148" s="59">
        <f ca="1">AVERAGE(OFFSET($AM$3,0,0,'Données projet'!$E$10+1,1))-AVERAGE(OFFSET($H$3,0,0,'Données projet'!$E$10+1,1))</f>
        <v>314.16268026911069</v>
      </c>
      <c r="AO148" s="59">
        <f t="shared" si="144"/>
        <v>265.23571072429735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56.499366962446452</v>
      </c>
      <c r="AV148" s="21">
        <f>EXP(-LN(2)/25)*AV147+(1-EXP(-LN(2)/25))/(LN(2)/25)*Calculateur!AQ148*Calculateur!AS148*VLOOKUP('Données projet'!$B$10,Paramètres!$A$1:$I$89,3,0)*0.475*44/12</f>
        <v>11.811849069747369</v>
      </c>
      <c r="AW148" s="21">
        <f>EXP(-LN(2)/2)*AW147+(1-EXP(-LN(2)/2))/(LN(2)/2)*AQ148*AT148*VLOOKUP('Données projet'!$B$10,Paramètres!$A$1:$I$89,3,0)*0.475*44/12</f>
        <v>1.2773631850943856E-8</v>
      </c>
      <c r="AX148" s="21">
        <f t="shared" si="114"/>
        <v>68.311216044967452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470.60666358206163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2.2737367544323206E-13</v>
      </c>
      <c r="O149" s="13">
        <f>N149*VLOOKUP('Données projet'!$B$9,Paramètres!$A$1:$I$89,3,0)*VLOOKUP('Données projet'!$B$9,Paramètres!$A$1:$I$89,5,0)</f>
        <v>1.064108801074326E-13</v>
      </c>
      <c r="P149" s="13">
        <f t="shared" si="141"/>
        <v>1.5870730813698654E-12</v>
      </c>
      <c r="Q149" s="20">
        <f t="shared" si="108"/>
        <v>2.9494845662396269E-12</v>
      </c>
      <c r="R149" s="59">
        <f t="shared" si="109"/>
        <v>293.33333333333627</v>
      </c>
      <c r="S149" s="59">
        <f ca="1">AVERAGE(OFFSET($R$3,0,0,'Données projet'!$E$9+1,1))-AVERAGE(OFFSET($H$3,0,0,'Données projet'!$E$9+1,1))</f>
        <v>234.83702199169585</v>
      </c>
      <c r="T149" s="59">
        <f t="shared" si="142"/>
        <v>248.83008816685089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36.83431551357873</v>
      </c>
      <c r="AA149" s="21">
        <f>EXP(-LN(2)/25)*AA148+(1-EXP(-LN(2)/25))/(LN(2)/25)*Calculateur!V149*Calculateur!X149*VLOOKUP('Données projet'!$B$9,Paramètres!$A$1:$I$89,3,0)*0.475*44/12</f>
        <v>4.6138642267208825</v>
      </c>
      <c r="AB149" s="21">
        <f>EXP(-LN(2)/2)*AB148+(1-EXP(-LN(2)/2))/(LN(2)/2)*V149*Y149*VLOOKUP('Données projet'!$B$9,Paramètres!$A$1:$I$89,3,0)*0.475*44/12</f>
        <v>3.8538573786948215E-13</v>
      </c>
      <c r="AC149" s="22">
        <f t="shared" si="111"/>
        <v>41.448179740299999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5.6843418860808015E-13</v>
      </c>
      <c r="AJ149" s="13">
        <f>AI149*VLOOKUP('Données projet'!$B$10,Paramètres!$A$1:$I$89,3,0)*VLOOKUP('Données projet'!$B$10,Paramètres!$A$1:$I$89,5,0)</f>
        <v>2.2907897800905631E-13</v>
      </c>
      <c r="AK149" s="13">
        <f t="shared" si="143"/>
        <v>3.1248920576624499E-12</v>
      </c>
      <c r="AL149" s="20">
        <f t="shared" si="112"/>
        <v>5.8414995537945398E-12</v>
      </c>
      <c r="AM149" s="59">
        <f t="shared" si="113"/>
        <v>293.33333333333917</v>
      </c>
      <c r="AN149" s="59">
        <f ca="1">AVERAGE(OFFSET($AM$3,0,0,'Données projet'!$E$10+1,1))-AVERAGE(OFFSET($H$3,0,0,'Données projet'!$E$10+1,1))</f>
        <v>314.16268026911069</v>
      </c>
      <c r="AO149" s="59">
        <f t="shared" si="144"/>
        <v>265.23571072429735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55.39144883752396</v>
      </c>
      <c r="AV149" s="21">
        <f>EXP(-LN(2)/25)*AV148+(1-EXP(-LN(2)/25))/(LN(2)/25)*Calculateur!AQ149*Calculateur!AS149*VLOOKUP('Données projet'!$B$10,Paramètres!$A$1:$I$89,3,0)*0.475*44/12</f>
        <v>11.488853435776981</v>
      </c>
      <c r="AW149" s="21">
        <f>EXP(-LN(2)/2)*AW148+(1-EXP(-LN(2)/2))/(LN(2)/2)*AQ149*AT149*VLOOKUP('Données projet'!$B$10,Paramètres!$A$1:$I$89,3,0)*0.475*44/12</f>
        <v>9.0323217021828711E-9</v>
      </c>
      <c r="AX149" s="21">
        <f t="shared" si="114"/>
        <v>66.880302282333261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471.79012958106995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2.2737367544323206E-13</v>
      </c>
      <c r="O150" s="13">
        <f>N150*VLOOKUP('Données projet'!$B$9,Paramètres!$A$1:$I$89,3,0)*VLOOKUP('Données projet'!$B$9,Paramètres!$A$1:$I$89,5,0)</f>
        <v>1.064108801074326E-13</v>
      </c>
      <c r="P150" s="13">
        <f t="shared" si="141"/>
        <v>1.5870730813698654E-12</v>
      </c>
      <c r="Q150" s="20">
        <f t="shared" si="108"/>
        <v>2.9494845662396269E-12</v>
      </c>
      <c r="R150" s="59">
        <f t="shared" si="109"/>
        <v>293.33333333333627</v>
      </c>
      <c r="S150" s="59">
        <f ca="1">AVERAGE(OFFSET($R$3,0,0,'Données projet'!$E$9+1,1))-AVERAGE(OFFSET($H$3,0,0,'Données projet'!$E$9+1,1))</f>
        <v>234.83702199169585</v>
      </c>
      <c r="T150" s="59">
        <f t="shared" si="142"/>
        <v>248.83008816685089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36.112017053071511</v>
      </c>
      <c r="AA150" s="21">
        <f>EXP(-LN(2)/25)*AA149+(1-EXP(-LN(2)/25))/(LN(2)/25)*Calculateur!V150*Calculateur!X150*VLOOKUP('Données projet'!$B$9,Paramètres!$A$1:$I$89,3,0)*0.475*44/12</f>
        <v>4.4876978668086256</v>
      </c>
      <c r="AB150" s="21">
        <f>EXP(-LN(2)/2)*AB149+(1-EXP(-LN(2)/2))/(LN(2)/2)*V150*Y150*VLOOKUP('Données projet'!$B$9,Paramètres!$A$1:$I$89,3,0)*0.475*44/12</f>
        <v>2.7250886862009207E-13</v>
      </c>
      <c r="AC150" s="22">
        <f t="shared" si="111"/>
        <v>40.599714919880405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5.6843418860808015E-13</v>
      </c>
      <c r="AJ150" s="13">
        <f>AI150*VLOOKUP('Données projet'!$B$10,Paramètres!$A$1:$I$89,3,0)*VLOOKUP('Données projet'!$B$10,Paramètres!$A$1:$I$89,5,0)</f>
        <v>2.2907897800905631E-13</v>
      </c>
      <c r="AK150" s="13">
        <f t="shared" si="143"/>
        <v>3.1248920576624499E-12</v>
      </c>
      <c r="AL150" s="20">
        <f t="shared" si="112"/>
        <v>5.8414995537945398E-12</v>
      </c>
      <c r="AM150" s="59">
        <f t="shared" si="113"/>
        <v>293.33333333333917</v>
      </c>
      <c r="AN150" s="59">
        <f ca="1">AVERAGE(OFFSET($AM$3,0,0,'Données projet'!$E$10+1,1))-AVERAGE(OFFSET($H$3,0,0,'Données projet'!$E$10+1,1))</f>
        <v>314.16268026911069</v>
      </c>
      <c r="AO150" s="59">
        <f t="shared" si="144"/>
        <v>265.23571072429735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54.305256311267868</v>
      </c>
      <c r="AV150" s="21">
        <f>EXP(-LN(2)/25)*AV149+(1-EXP(-LN(2)/25))/(LN(2)/25)*Calculateur!AQ150*Calculateur!AS150*VLOOKUP('Données projet'!$B$10,Paramètres!$A$1:$I$89,3,0)*0.475*44/12</f>
        <v>11.174690134403116</v>
      </c>
      <c r="AW150" s="21">
        <f>EXP(-LN(2)/2)*AW149+(1-EXP(-LN(2)/2))/(LN(2)/2)*AQ150*AT150*VLOOKUP('Données projet'!$B$10,Paramètres!$A$1:$I$89,3,0)*0.475*44/12</f>
        <v>6.3868159254719281E-9</v>
      </c>
      <c r="AX150" s="21">
        <f t="shared" si="114"/>
        <v>65.479946452057803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472.9734115367425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2.2737367544323206E-13</v>
      </c>
      <c r="O151" s="13">
        <f>N151*VLOOKUP('Données projet'!$B$9,Paramètres!$A$1:$I$89,3,0)*VLOOKUP('Données projet'!$B$9,Paramètres!$A$1:$I$89,5,0)</f>
        <v>1.064108801074326E-13</v>
      </c>
      <c r="P151" s="13">
        <f t="shared" si="141"/>
        <v>1.5870730813698654E-12</v>
      </c>
      <c r="Q151" s="20">
        <f t="shared" si="108"/>
        <v>2.9494845662396269E-12</v>
      </c>
      <c r="R151" s="59">
        <f t="shared" si="109"/>
        <v>293.33333333333627</v>
      </c>
      <c r="S151" s="59">
        <f ca="1">AVERAGE(OFFSET($R$3,0,0,'Données projet'!$E$9+1,1))-AVERAGE(OFFSET($H$3,0,0,'Données projet'!$E$9+1,1))</f>
        <v>234.83702199169585</v>
      </c>
      <c r="T151" s="59">
        <f t="shared" si="142"/>
        <v>248.83008816685089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35.403882424816281</v>
      </c>
      <c r="AA151" s="21">
        <f>EXP(-LN(2)/25)*AA150+(1-EXP(-LN(2)/25))/(LN(2)/25)*Calculateur!V151*Calculateur!X151*VLOOKUP('Données projet'!$B$9,Paramètres!$A$1:$I$89,3,0)*0.475*44/12</f>
        <v>4.36498153264297</v>
      </c>
      <c r="AB151" s="21">
        <f>EXP(-LN(2)/2)*AB150+(1-EXP(-LN(2)/2))/(LN(2)/2)*V151*Y151*VLOOKUP('Données projet'!$B$9,Paramètres!$A$1:$I$89,3,0)*0.475*44/12</f>
        <v>1.9269286893474108E-13</v>
      </c>
      <c r="AC151" s="22">
        <f t="shared" si="111"/>
        <v>39.768863957459445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5.6843418860808015E-13</v>
      </c>
      <c r="AJ151" s="13">
        <f>AI151*VLOOKUP('Données projet'!$B$10,Paramètres!$A$1:$I$89,3,0)*VLOOKUP('Données projet'!$B$10,Paramètres!$A$1:$I$89,5,0)</f>
        <v>2.2907897800905631E-13</v>
      </c>
      <c r="AK151" s="13">
        <f t="shared" si="143"/>
        <v>3.1248920576624499E-12</v>
      </c>
      <c r="AL151" s="20">
        <f t="shared" si="112"/>
        <v>5.8414995537945398E-12</v>
      </c>
      <c r="AM151" s="59">
        <f t="shared" si="113"/>
        <v>293.33333333333917</v>
      </c>
      <c r="AN151" s="59">
        <f ca="1">AVERAGE(OFFSET($AM$3,0,0,'Données projet'!$E$10+1,1))-AVERAGE(OFFSET($H$3,0,0,'Données projet'!$E$10+1,1))</f>
        <v>314.16268026911069</v>
      </c>
      <c r="AO151" s="59">
        <f t="shared" si="144"/>
        <v>265.23571072429735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53.240363357939636</v>
      </c>
      <c r="AV151" s="21">
        <f>EXP(-LN(2)/25)*AV150+(1-EXP(-LN(2)/25))/(LN(2)/25)*Calculateur!AQ151*Calculateur!AS151*VLOOKUP('Données projet'!$B$10,Paramètres!$A$1:$I$89,3,0)*0.475*44/12</f>
        <v>10.869117645026449</v>
      </c>
      <c r="AW151" s="21">
        <f>EXP(-LN(2)/2)*AW150+(1-EXP(-LN(2)/2))/(LN(2)/2)*AQ151*AT151*VLOOKUP('Données projet'!$B$10,Paramètres!$A$1:$I$89,3,0)*0.475*44/12</f>
        <v>4.5161608510914356E-9</v>
      </c>
      <c r="AX151" s="21">
        <f t="shared" si="114"/>
        <v>64.109481007482245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474.15651083683827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2.2737367544323206E-13</v>
      </c>
      <c r="O152" s="13">
        <f>N152*VLOOKUP('Données projet'!$B$9,Paramètres!$A$1:$I$89,3,0)*VLOOKUP('Données projet'!$B$9,Paramètres!$A$1:$I$89,5,0)</f>
        <v>1.064108801074326E-13</v>
      </c>
      <c r="P152" s="13">
        <f t="shared" si="141"/>
        <v>1.5870730813698654E-12</v>
      </c>
      <c r="Q152" s="20">
        <f t="shared" si="108"/>
        <v>2.9494845662396269E-12</v>
      </c>
      <c r="R152" s="59">
        <f t="shared" si="109"/>
        <v>293.33333333333627</v>
      </c>
      <c r="S152" s="59">
        <f ca="1">AVERAGE(OFFSET($R$3,0,0,'Données projet'!$E$9+1,1))-AVERAGE(OFFSET($H$3,0,0,'Données projet'!$E$9+1,1))</f>
        <v>234.83702199169585</v>
      </c>
      <c r="T152" s="59">
        <f t="shared" si="142"/>
        <v>248.83008816685089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34.70963388470166</v>
      </c>
      <c r="AA152" s="21">
        <f>EXP(-LN(2)/25)*AA151+(1-EXP(-LN(2)/25))/(LN(2)/25)*Calculateur!V152*Calculateur!X152*VLOOKUP('Données projet'!$B$9,Paramètres!$A$1:$I$89,3,0)*0.475*44/12</f>
        <v>4.2456208830884457</v>
      </c>
      <c r="AB152" s="21">
        <f>EXP(-LN(2)/2)*AB151+(1-EXP(-LN(2)/2))/(LN(2)/2)*V152*Y152*VLOOKUP('Données projet'!$B$9,Paramètres!$A$1:$I$89,3,0)*0.475*44/12</f>
        <v>1.3625443431004604E-13</v>
      </c>
      <c r="AC152" s="22">
        <f t="shared" si="111"/>
        <v>38.955254767790244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5.6843418860808015E-13</v>
      </c>
      <c r="AJ152" s="13">
        <f>AI152*VLOOKUP('Données projet'!$B$10,Paramètres!$A$1:$I$89,3,0)*VLOOKUP('Données projet'!$B$10,Paramètres!$A$1:$I$89,5,0)</f>
        <v>2.2907897800905631E-13</v>
      </c>
      <c r="AK152" s="13">
        <f t="shared" si="143"/>
        <v>3.1248920576624499E-12</v>
      </c>
      <c r="AL152" s="20">
        <f t="shared" si="112"/>
        <v>5.8414995537945398E-12</v>
      </c>
      <c r="AM152" s="59">
        <f t="shared" si="113"/>
        <v>293.33333333333917</v>
      </c>
      <c r="AN152" s="59">
        <f ca="1">AVERAGE(OFFSET($AM$3,0,0,'Données projet'!$E$10+1,1))-AVERAGE(OFFSET($H$3,0,0,'Données projet'!$E$10+1,1))</f>
        <v>314.16268026911069</v>
      </c>
      <c r="AO152" s="59">
        <f t="shared" si="144"/>
        <v>265.23571072429735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52.196352305905606</v>
      </c>
      <c r="AV152" s="21">
        <f>EXP(-LN(2)/25)*AV151+(1-EXP(-LN(2)/25))/(LN(2)/25)*Calculateur!AQ152*Calculateur!AS152*VLOOKUP('Données projet'!$B$10,Paramètres!$A$1:$I$89,3,0)*0.475*44/12</f>
        <v>10.571901051441145</v>
      </c>
      <c r="AW152" s="21">
        <f>EXP(-LN(2)/2)*AW151+(1-EXP(-LN(2)/2))/(LN(2)/2)*AQ152*AT152*VLOOKUP('Données projet'!$B$10,Paramètres!$A$1:$I$89,3,0)*0.475*44/12</f>
        <v>3.193407962735964E-9</v>
      </c>
      <c r="AX152" s="21">
        <f t="shared" si="114"/>
        <v>62.768253360540157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475.33942884941183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2.2737367544323206E-13</v>
      </c>
      <c r="O153" s="13">
        <f>N153*VLOOKUP('Données projet'!$B$9,Paramètres!$A$1:$I$89,3,0)*VLOOKUP('Données projet'!$B$9,Paramètres!$A$1:$I$89,5,0)</f>
        <v>1.064108801074326E-13</v>
      </c>
      <c r="P153" s="13">
        <f t="shared" si="141"/>
        <v>1.5870730813698654E-12</v>
      </c>
      <c r="Q153" s="20">
        <f t="shared" si="108"/>
        <v>2.9494845662396269E-12</v>
      </c>
      <c r="R153" s="59">
        <f t="shared" si="109"/>
        <v>293.33333333333627</v>
      </c>
      <c r="S153" s="59">
        <f ca="1">AVERAGE(OFFSET($R$3,0,0,'Données projet'!$E$9+1,1))-AVERAGE(OFFSET($H$3,0,0,'Données projet'!$E$9+1,1))</f>
        <v>234.83702199169585</v>
      </c>
      <c r="T153" s="59">
        <f t="shared" si="142"/>
        <v>248.83008816685089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34.028999135008888</v>
      </c>
      <c r="AA153" s="21">
        <f>EXP(-LN(2)/25)*AA152+(1-EXP(-LN(2)/25))/(LN(2)/25)*Calculateur!V153*Calculateur!X153*VLOOKUP('Données projet'!$B$9,Paramètres!$A$1:$I$89,3,0)*0.475*44/12</f>
        <v>4.1295241567728933</v>
      </c>
      <c r="AB153" s="21">
        <f>EXP(-LN(2)/2)*AB152+(1-EXP(-LN(2)/2))/(LN(2)/2)*V153*Y153*VLOOKUP('Données projet'!$B$9,Paramètres!$A$1:$I$89,3,0)*0.475*44/12</f>
        <v>9.6346434467370538E-14</v>
      </c>
      <c r="AC153" s="22">
        <f t="shared" si="111"/>
        <v>38.158523291781883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5.6843418860808015E-13</v>
      </c>
      <c r="AJ153" s="13">
        <f>AI153*VLOOKUP('Données projet'!$B$10,Paramètres!$A$1:$I$89,3,0)*VLOOKUP('Données projet'!$B$10,Paramètres!$A$1:$I$89,5,0)</f>
        <v>2.2907897800905631E-13</v>
      </c>
      <c r="AK153" s="13">
        <f t="shared" si="143"/>
        <v>3.1248920576624499E-12</v>
      </c>
      <c r="AL153" s="20">
        <f t="shared" si="112"/>
        <v>5.8414995537945398E-12</v>
      </c>
      <c r="AM153" s="59">
        <f t="shared" si="113"/>
        <v>293.33333333333917</v>
      </c>
      <c r="AN153" s="59">
        <f ca="1">AVERAGE(OFFSET($AM$3,0,0,'Données projet'!$E$10+1,1))-AVERAGE(OFFSET($H$3,0,0,'Données projet'!$E$10+1,1))</f>
        <v>314.16268026911069</v>
      </c>
      <c r="AO153" s="59">
        <f t="shared" si="144"/>
        <v>265.23571072429735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51.172813673818098</v>
      </c>
      <c r="AV153" s="21">
        <f>EXP(-LN(2)/25)*AV152+(1-EXP(-LN(2)/25))/(LN(2)/25)*Calculateur!AQ153*Calculateur!AS153*VLOOKUP('Données projet'!$B$10,Paramètres!$A$1:$I$89,3,0)*0.475*44/12</f>
        <v>10.282811861237374</v>
      </c>
      <c r="AW153" s="21">
        <f>EXP(-LN(2)/2)*AW152+(1-EXP(-LN(2)/2))/(LN(2)/2)*AQ153*AT153*VLOOKUP('Données projet'!$B$10,Paramètres!$A$1:$I$89,3,0)*0.475*44/12</f>
        <v>2.2580804255457178E-9</v>
      </c>
      <c r="AX153" s="21">
        <f t="shared" si="114"/>
        <v>61.455625537313558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476.52216692322241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2.2737367544323206E-13</v>
      </c>
      <c r="O154" s="13">
        <f>N154*VLOOKUP('Données projet'!$B$9,Paramètres!$A$1:$I$89,3,0)*VLOOKUP('Données projet'!$B$9,Paramètres!$A$1:$I$89,5,0)</f>
        <v>1.064108801074326E-13</v>
      </c>
      <c r="P154" s="13">
        <f t="shared" si="141"/>
        <v>1.5870730813698654E-12</v>
      </c>
      <c r="Q154" s="20">
        <f t="shared" ref="Q154:Q203" si="162">(O154+P154)*0.475*44/12</f>
        <v>2.9494845662396269E-12</v>
      </c>
      <c r="R154" s="59">
        <f t="shared" si="109"/>
        <v>293.33333333333627</v>
      </c>
      <c r="S154" s="59">
        <f ca="1">AVERAGE(OFFSET($R$3,0,0,'Données projet'!$E$9+1,1))-AVERAGE(OFFSET($H$3,0,0,'Données projet'!$E$9+1,1))</f>
        <v>234.83702199169585</v>
      </c>
      <c r="T154" s="59">
        <f t="shared" si="142"/>
        <v>248.83008816685089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33.361711217611386</v>
      </c>
      <c r="AA154" s="21">
        <f>EXP(-LN(2)/25)*AA153+(1-EXP(-LN(2)/25))/(LN(2)/25)*Calculateur!V154*Calculateur!X154*VLOOKUP('Données projet'!$B$9,Paramètres!$A$1:$I$89,3,0)*0.475*44/12</f>
        <v>4.0166021015437012</v>
      </c>
      <c r="AB154" s="21">
        <f>EXP(-LN(2)/2)*AB153+(1-EXP(-LN(2)/2))/(LN(2)/2)*V154*Y154*VLOOKUP('Données projet'!$B$9,Paramètres!$A$1:$I$89,3,0)*0.475*44/12</f>
        <v>6.8127217155023018E-14</v>
      </c>
      <c r="AC154" s="22">
        <f t="shared" ref="AC154:AC203" si="163">SUM(Z154:AB154)</f>
        <v>37.378313319155161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5.6843418860808015E-13</v>
      </c>
      <c r="AJ154" s="13">
        <f>AI154*VLOOKUP('Données projet'!$B$10,Paramètres!$A$1:$I$89,3,0)*VLOOKUP('Données projet'!$B$10,Paramètres!$A$1:$I$89,5,0)</f>
        <v>2.2907897800905631E-13</v>
      </c>
      <c r="AK154" s="13">
        <f t="shared" ref="AK154:AK203" si="164">EXP(-1.0587+0.8836*LN(AJ154)+0.284)</f>
        <v>3.1248920576624499E-12</v>
      </c>
      <c r="AL154" s="20">
        <f t="shared" ref="AL154:AL203" si="165">(AJ154+AK154)*0.475*44/12</f>
        <v>5.8414995537945398E-12</v>
      </c>
      <c r="AM154" s="59">
        <f t="shared" si="113"/>
        <v>293.33333333333917</v>
      </c>
      <c r="AN154" s="59">
        <f ca="1">AVERAGE(OFFSET($AM$3,0,0,'Données projet'!$E$10+1,1))-AVERAGE(OFFSET($H$3,0,0,'Données projet'!$E$10+1,1))</f>
        <v>314.16268026911069</v>
      </c>
      <c r="AO154" s="59">
        <f t="shared" si="144"/>
        <v>265.23571072429735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50.169346010008901</v>
      </c>
      <c r="AV154" s="21">
        <f>EXP(-LN(2)/25)*AV153+(1-EXP(-LN(2)/25))/(LN(2)/25)*Calculateur!AQ154*Calculateur!AS154*VLOOKUP('Données projet'!$B$10,Paramètres!$A$1:$I$89,3,0)*0.475*44/12</f>
        <v>10.001627830142263</v>
      </c>
      <c r="AW154" s="21">
        <f>EXP(-LN(2)/2)*AW153+(1-EXP(-LN(2)/2))/(LN(2)/2)*AQ154*AT154*VLOOKUP('Données projet'!$B$10,Paramètres!$A$1:$I$89,3,0)*0.475*44/12</f>
        <v>1.596703981367982E-9</v>
      </c>
      <c r="AX154" s="21">
        <f t="shared" ref="AX154:AX203" si="166">SUM(AU154:AW154)</f>
        <v>60.170973841747866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477.70472638813214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2.2737367544323206E-13</v>
      </c>
      <c r="O155" s="13">
        <f>N155*VLOOKUP('Données projet'!$B$9,Paramètres!$A$1:$I$89,3,0)*VLOOKUP('Données projet'!$B$9,Paramètres!$A$1:$I$89,5,0)</f>
        <v>1.064108801074326E-13</v>
      </c>
      <c r="P155" s="13">
        <f t="shared" si="141"/>
        <v>1.5870730813698654E-12</v>
      </c>
      <c r="Q155" s="20">
        <f t="shared" si="162"/>
        <v>2.9494845662396269E-12</v>
      </c>
      <c r="R155" s="59">
        <f t="shared" si="109"/>
        <v>293.33333333333627</v>
      </c>
      <c r="S155" s="59">
        <f ca="1">AVERAGE(OFFSET($R$3,0,0,'Données projet'!$E$9+1,1))-AVERAGE(OFFSET($H$3,0,0,'Données projet'!$E$9+1,1))</f>
        <v>234.83702199169585</v>
      </c>
      <c r="T155" s="59">
        <f t="shared" si="142"/>
        <v>248.83008816685089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32.707508409268613</v>
      </c>
      <c r="AA155" s="21">
        <f>EXP(-LN(2)/25)*AA154+(1-EXP(-LN(2)/25))/(LN(2)/25)*Calculateur!V155*Calculateur!X155*VLOOKUP('Données projet'!$B$9,Paramètres!$A$1:$I$89,3,0)*0.475*44/12</f>
        <v>3.9067679058530644</v>
      </c>
      <c r="AB155" s="21">
        <f>EXP(-LN(2)/2)*AB154+(1-EXP(-LN(2)/2))/(LN(2)/2)*V155*Y155*VLOOKUP('Données projet'!$B$9,Paramètres!$A$1:$I$89,3,0)*0.475*44/12</f>
        <v>4.8173217233685269E-14</v>
      </c>
      <c r="AC155" s="22">
        <f t="shared" si="163"/>
        <v>36.614276315121728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5.6843418860808015E-13</v>
      </c>
      <c r="AJ155" s="13">
        <f>AI155*VLOOKUP('Données projet'!$B$10,Paramètres!$A$1:$I$89,3,0)*VLOOKUP('Données projet'!$B$10,Paramètres!$A$1:$I$89,5,0)</f>
        <v>2.2907897800905631E-13</v>
      </c>
      <c r="AK155" s="13">
        <f t="shared" si="164"/>
        <v>3.1248920576624499E-12</v>
      </c>
      <c r="AL155" s="20">
        <f t="shared" si="165"/>
        <v>5.8414995537945398E-12</v>
      </c>
      <c r="AM155" s="59">
        <f t="shared" si="113"/>
        <v>293.33333333333917</v>
      </c>
      <c r="AN155" s="59">
        <f ca="1">AVERAGE(OFFSET($AM$3,0,0,'Données projet'!$E$10+1,1))-AVERAGE(OFFSET($H$3,0,0,'Données projet'!$E$10+1,1))</f>
        <v>314.16268026911069</v>
      </c>
      <c r="AO155" s="59">
        <f t="shared" si="144"/>
        <v>265.23571072429735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49.185555735032167</v>
      </c>
      <c r="AV155" s="21">
        <f>EXP(-LN(2)/25)*AV154+(1-EXP(-LN(2)/25))/(LN(2)/25)*Calculateur!AQ155*Calculateur!AS155*VLOOKUP('Données projet'!$B$10,Paramètres!$A$1:$I$89,3,0)*0.475*44/12</f>
        <v>9.7281327911642741</v>
      </c>
      <c r="AW155" s="21">
        <f>EXP(-LN(2)/2)*AW154+(1-EXP(-LN(2)/2))/(LN(2)/2)*AQ155*AT155*VLOOKUP('Données projet'!$B$10,Paramètres!$A$1:$I$89,3,0)*0.475*44/12</f>
        <v>1.1290402127728589E-9</v>
      </c>
      <c r="AX155" s="21">
        <f t="shared" si="166"/>
        <v>58.913688527325476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478.88710855549317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2.2737367544323206E-13</v>
      </c>
      <c r="O156" s="13">
        <f>N156*VLOOKUP('Données projet'!$B$9,Paramètres!$A$1:$I$89,3,0)*VLOOKUP('Données projet'!$B$9,Paramètres!$A$1:$I$89,5,0)</f>
        <v>1.064108801074326E-13</v>
      </c>
      <c r="P156" s="13">
        <f t="shared" si="141"/>
        <v>1.5870730813698654E-12</v>
      </c>
      <c r="Q156" s="20">
        <f t="shared" si="162"/>
        <v>2.9494845662396269E-12</v>
      </c>
      <c r="R156" s="59">
        <f t="shared" si="109"/>
        <v>293.33333333333627</v>
      </c>
      <c r="S156" s="59">
        <f ca="1">AVERAGE(OFFSET($R$3,0,0,'Données projet'!$E$9+1,1))-AVERAGE(OFFSET($H$3,0,0,'Données projet'!$E$9+1,1))</f>
        <v>234.83702199169585</v>
      </c>
      <c r="T156" s="59">
        <f t="shared" si="142"/>
        <v>248.83008816685089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32.066134118973125</v>
      </c>
      <c r="AA156" s="21">
        <f>EXP(-LN(2)/25)*AA155+(1-EXP(-LN(2)/25))/(LN(2)/25)*Calculateur!V156*Calculateur!X156*VLOOKUP('Données projet'!$B$9,Paramètres!$A$1:$I$89,3,0)*0.475*44/12</f>
        <v>3.7999371320195174</v>
      </c>
      <c r="AB156" s="21">
        <f>EXP(-LN(2)/2)*AB155+(1-EXP(-LN(2)/2))/(LN(2)/2)*V156*Y156*VLOOKUP('Données projet'!$B$9,Paramètres!$A$1:$I$89,3,0)*0.475*44/12</f>
        <v>3.4063608577511509E-14</v>
      </c>
      <c r="AC156" s="22">
        <f t="shared" si="163"/>
        <v>35.866071250992675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5.6843418860808015E-13</v>
      </c>
      <c r="AJ156" s="13">
        <f>AI156*VLOOKUP('Données projet'!$B$10,Paramètres!$A$1:$I$89,3,0)*VLOOKUP('Données projet'!$B$10,Paramètres!$A$1:$I$89,5,0)</f>
        <v>2.2907897800905631E-13</v>
      </c>
      <c r="AK156" s="13">
        <f t="shared" si="164"/>
        <v>3.1248920576624499E-12</v>
      </c>
      <c r="AL156" s="20">
        <f t="shared" si="165"/>
        <v>5.8414995537945398E-12</v>
      </c>
      <c r="AM156" s="59">
        <f t="shared" si="113"/>
        <v>293.33333333333917</v>
      </c>
      <c r="AN156" s="59">
        <f ca="1">AVERAGE(OFFSET($AM$3,0,0,'Données projet'!$E$10+1,1))-AVERAGE(OFFSET($H$3,0,0,'Données projet'!$E$10+1,1))</f>
        <v>314.16268026911069</v>
      </c>
      <c r="AO156" s="59">
        <f t="shared" si="144"/>
        <v>265.23571072429735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48.221056987294908</v>
      </c>
      <c r="AV156" s="21">
        <f>EXP(-LN(2)/25)*AV155+(1-EXP(-LN(2)/25))/(LN(2)/25)*Calculateur!AQ156*Calculateur!AS156*VLOOKUP('Données projet'!$B$10,Paramètres!$A$1:$I$89,3,0)*0.475*44/12</f>
        <v>9.4621164884096167</v>
      </c>
      <c r="AW156" s="21">
        <f>EXP(-LN(2)/2)*AW155+(1-EXP(-LN(2)/2))/(LN(2)/2)*AQ156*AT156*VLOOKUP('Données projet'!$B$10,Paramètres!$A$1:$I$89,3,0)*0.475*44/12</f>
        <v>7.9835199068399101E-10</v>
      </c>
      <c r="AX156" s="21">
        <f t="shared" si="166"/>
        <v>57.683173476502873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480.06931471852465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2.2737367544323206E-13</v>
      </c>
      <c r="O157" s="13">
        <f>N157*VLOOKUP('Données projet'!$B$9,Paramètres!$A$1:$I$89,3,0)*VLOOKUP('Données projet'!$B$9,Paramètres!$A$1:$I$89,5,0)</f>
        <v>1.064108801074326E-13</v>
      </c>
      <c r="P157" s="13">
        <f t="shared" si="141"/>
        <v>1.5870730813698654E-12</v>
      </c>
      <c r="Q157" s="20">
        <f t="shared" si="162"/>
        <v>2.9494845662396269E-12</v>
      </c>
      <c r="R157" s="59">
        <f t="shared" si="109"/>
        <v>293.33333333333627</v>
      </c>
      <c r="S157" s="59">
        <f ca="1">AVERAGE(OFFSET($R$3,0,0,'Données projet'!$E$9+1,1))-AVERAGE(OFFSET($H$3,0,0,'Données projet'!$E$9+1,1))</f>
        <v>234.83702199169585</v>
      </c>
      <c r="T157" s="59">
        <f t="shared" si="142"/>
        <v>248.83008816685089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31.437336787310642</v>
      </c>
      <c r="AA157" s="21">
        <f>EXP(-LN(2)/25)*AA156+(1-EXP(-LN(2)/25))/(LN(2)/25)*Calculateur!V157*Calculateur!X157*VLOOKUP('Données projet'!$B$9,Paramètres!$A$1:$I$89,3,0)*0.475*44/12</f>
        <v>3.6960276513144348</v>
      </c>
      <c r="AB157" s="21">
        <f>EXP(-LN(2)/2)*AB156+(1-EXP(-LN(2)/2))/(LN(2)/2)*V157*Y157*VLOOKUP('Données projet'!$B$9,Paramètres!$A$1:$I$89,3,0)*0.475*44/12</f>
        <v>2.4086608616842635E-14</v>
      </c>
      <c r="AC157" s="22">
        <f t="shared" si="163"/>
        <v>35.133364438625101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5.6843418860808015E-13</v>
      </c>
      <c r="AJ157" s="13">
        <f>AI157*VLOOKUP('Données projet'!$B$10,Paramètres!$A$1:$I$89,3,0)*VLOOKUP('Données projet'!$B$10,Paramètres!$A$1:$I$89,5,0)</f>
        <v>2.2907897800905631E-13</v>
      </c>
      <c r="AK157" s="13">
        <f t="shared" si="164"/>
        <v>3.1248920576624499E-12</v>
      </c>
      <c r="AL157" s="20">
        <f t="shared" si="165"/>
        <v>5.8414995537945398E-12</v>
      </c>
      <c r="AM157" s="59">
        <f t="shared" si="113"/>
        <v>293.33333333333917</v>
      </c>
      <c r="AN157" s="59">
        <f ca="1">AVERAGE(OFFSET($AM$3,0,0,'Données projet'!$E$10+1,1))-AVERAGE(OFFSET($H$3,0,0,'Données projet'!$E$10+1,1))</f>
        <v>314.16268026911069</v>
      </c>
      <c r="AO157" s="59">
        <f t="shared" si="144"/>
        <v>265.23571072429735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47.275471471714631</v>
      </c>
      <c r="AV157" s="21">
        <f>EXP(-LN(2)/25)*AV156+(1-EXP(-LN(2)/25))/(LN(2)/25)*Calculateur!AQ157*Calculateur!AS157*VLOOKUP('Données projet'!$B$10,Paramètres!$A$1:$I$89,3,0)*0.475*44/12</f>
        <v>9.2033744154429762</v>
      </c>
      <c r="AW157" s="21">
        <f>EXP(-LN(2)/2)*AW156+(1-EXP(-LN(2)/2))/(LN(2)/2)*AQ157*AT157*VLOOKUP('Données projet'!$B$10,Paramètres!$A$1:$I$89,3,0)*0.475*44/12</f>
        <v>5.6452010638642945E-10</v>
      </c>
      <c r="AX157" s="21">
        <f t="shared" si="166"/>
        <v>56.478845887722123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481.25134615267967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2.2737367544323206E-13</v>
      </c>
      <c r="O158" s="13">
        <f>N158*VLOOKUP('Données projet'!$B$9,Paramètres!$A$1:$I$89,3,0)*VLOOKUP('Données projet'!$B$9,Paramètres!$A$1:$I$89,5,0)</f>
        <v>1.064108801074326E-13</v>
      </c>
      <c r="P158" s="13">
        <f t="shared" si="141"/>
        <v>1.5870730813698654E-12</v>
      </c>
      <c r="Q158" s="20">
        <f t="shared" si="162"/>
        <v>2.9494845662396269E-12</v>
      </c>
      <c r="R158" s="59">
        <f t="shared" si="109"/>
        <v>293.33333333333627</v>
      </c>
      <c r="S158" s="59">
        <f ca="1">AVERAGE(OFFSET($R$3,0,0,'Données projet'!$E$9+1,1))-AVERAGE(OFFSET($H$3,0,0,'Données projet'!$E$9+1,1))</f>
        <v>234.83702199169585</v>
      </c>
      <c r="T158" s="59">
        <f t="shared" si="142"/>
        <v>248.83008816685089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30.820869787793558</v>
      </c>
      <c r="AA158" s="21">
        <f>EXP(-LN(2)/25)*AA157+(1-EXP(-LN(2)/25))/(LN(2)/25)*Calculateur!V158*Calculateur!X158*VLOOKUP('Données projet'!$B$9,Paramètres!$A$1:$I$89,3,0)*0.475*44/12</f>
        <v>3.5949595808235948</v>
      </c>
      <c r="AB158" s="21">
        <f>EXP(-LN(2)/2)*AB157+(1-EXP(-LN(2)/2))/(LN(2)/2)*V158*Y158*VLOOKUP('Données projet'!$B$9,Paramètres!$A$1:$I$89,3,0)*0.475*44/12</f>
        <v>1.7031804288755755E-14</v>
      </c>
      <c r="AC158" s="22">
        <f t="shared" si="163"/>
        <v>34.415829368617167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5.6843418860808015E-13</v>
      </c>
      <c r="AJ158" s="13">
        <f>AI158*VLOOKUP('Données projet'!$B$10,Paramètres!$A$1:$I$89,3,0)*VLOOKUP('Données projet'!$B$10,Paramètres!$A$1:$I$89,5,0)</f>
        <v>2.2907897800905631E-13</v>
      </c>
      <c r="AK158" s="13">
        <f t="shared" si="164"/>
        <v>3.1248920576624499E-12</v>
      </c>
      <c r="AL158" s="20">
        <f t="shared" si="165"/>
        <v>5.8414995537945398E-12</v>
      </c>
      <c r="AM158" s="59">
        <f t="shared" si="113"/>
        <v>293.33333333333917</v>
      </c>
      <c r="AN158" s="59">
        <f ca="1">AVERAGE(OFFSET($AM$3,0,0,'Données projet'!$E$10+1,1))-AVERAGE(OFFSET($H$3,0,0,'Données projet'!$E$10+1,1))</f>
        <v>314.16268026911069</v>
      </c>
      <c r="AO158" s="59">
        <f t="shared" si="144"/>
        <v>265.23571072429735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46.348428311344669</v>
      </c>
      <c r="AV158" s="21">
        <f>EXP(-LN(2)/25)*AV157+(1-EXP(-LN(2)/25))/(LN(2)/25)*Calculateur!AQ158*Calculateur!AS158*VLOOKUP('Données projet'!$B$10,Paramètres!$A$1:$I$89,3,0)*0.475*44/12</f>
        <v>8.951707658068262</v>
      </c>
      <c r="AW158" s="21">
        <f>EXP(-LN(2)/2)*AW157+(1-EXP(-LN(2)/2))/(LN(2)/2)*AQ158*AT158*VLOOKUP('Données projet'!$B$10,Paramètres!$A$1:$I$89,3,0)*0.475*44/12</f>
        <v>3.991759953419955E-10</v>
      </c>
      <c r="AX158" s="21">
        <f t="shared" si="166"/>
        <v>55.300135969812111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482.433204116002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2.2737367544323206E-13</v>
      </c>
      <c r="O159" s="13">
        <f>N159*VLOOKUP('Données projet'!$B$9,Paramètres!$A$1:$I$89,3,0)*VLOOKUP('Données projet'!$B$9,Paramètres!$A$1:$I$89,5,0)</f>
        <v>1.064108801074326E-13</v>
      </c>
      <c r="P159" s="13">
        <f t="shared" si="141"/>
        <v>1.5870730813698654E-12</v>
      </c>
      <c r="Q159" s="20">
        <f t="shared" si="162"/>
        <v>2.9494845662396269E-12</v>
      </c>
      <c r="R159" s="59">
        <f t="shared" si="109"/>
        <v>293.33333333333627</v>
      </c>
      <c r="S159" s="59">
        <f ca="1">AVERAGE(OFFSET($R$3,0,0,'Données projet'!$E$9+1,1))-AVERAGE(OFFSET($H$3,0,0,'Données projet'!$E$9+1,1))</f>
        <v>234.83702199169585</v>
      </c>
      <c r="T159" s="59">
        <f t="shared" si="142"/>
        <v>248.83008816685089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30.216491330129262</v>
      </c>
      <c r="AA159" s="21">
        <f>EXP(-LN(2)/25)*AA158+(1-EXP(-LN(2)/25))/(LN(2)/25)*Calculateur!V159*Calculateur!X159*VLOOKUP('Données projet'!$B$9,Paramètres!$A$1:$I$89,3,0)*0.475*44/12</f>
        <v>3.4966552220352658</v>
      </c>
      <c r="AB159" s="21">
        <f>EXP(-LN(2)/2)*AB158+(1-EXP(-LN(2)/2))/(LN(2)/2)*V159*Y159*VLOOKUP('Données projet'!$B$9,Paramètres!$A$1:$I$89,3,0)*0.475*44/12</f>
        <v>1.2043304308421317E-14</v>
      </c>
      <c r="AC159" s="22">
        <f t="shared" si="163"/>
        <v>33.713146552164545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5.6843418860808015E-13</v>
      </c>
      <c r="AJ159" s="13">
        <f>AI159*VLOOKUP('Données projet'!$B$10,Paramètres!$A$1:$I$89,3,0)*VLOOKUP('Données projet'!$B$10,Paramètres!$A$1:$I$89,5,0)</f>
        <v>2.2907897800905631E-13</v>
      </c>
      <c r="AK159" s="13">
        <f t="shared" si="164"/>
        <v>3.1248920576624499E-12</v>
      </c>
      <c r="AL159" s="20">
        <f t="shared" si="165"/>
        <v>5.8414995537945398E-12</v>
      </c>
      <c r="AM159" s="59">
        <f t="shared" si="113"/>
        <v>293.33333333333917</v>
      </c>
      <c r="AN159" s="59">
        <f ca="1">AVERAGE(OFFSET($AM$3,0,0,'Données projet'!$E$10+1,1))-AVERAGE(OFFSET($H$3,0,0,'Données projet'!$E$10+1,1))</f>
        <v>314.16268026911069</v>
      </c>
      <c r="AO159" s="59">
        <f t="shared" si="144"/>
        <v>265.23571072429735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45.439563901909061</v>
      </c>
      <c r="AV159" s="21">
        <f>EXP(-LN(2)/25)*AV158+(1-EXP(-LN(2)/25))/(LN(2)/25)*Calculateur!AQ159*Calculateur!AS159*VLOOKUP('Données projet'!$B$10,Paramètres!$A$1:$I$89,3,0)*0.475*44/12</f>
        <v>8.7069227414085386</v>
      </c>
      <c r="AW159" s="21">
        <f>EXP(-LN(2)/2)*AW158+(1-EXP(-LN(2)/2))/(LN(2)/2)*AQ159*AT159*VLOOKUP('Données projet'!$B$10,Paramètres!$A$1:$I$89,3,0)*0.475*44/12</f>
        <v>2.8226005319321472E-10</v>
      </c>
      <c r="AX159" s="21">
        <f t="shared" si="166"/>
        <v>54.146486643599864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483.61488984947425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2.2737367544323206E-13</v>
      </c>
      <c r="O160" s="13">
        <f>N160*VLOOKUP('Données projet'!$B$9,Paramètres!$A$1:$I$89,3,0)*VLOOKUP('Données projet'!$B$9,Paramètres!$A$1:$I$89,5,0)</f>
        <v>1.064108801074326E-13</v>
      </c>
      <c r="P160" s="13">
        <f t="shared" si="141"/>
        <v>1.5870730813698654E-12</v>
      </c>
      <c r="Q160" s="20">
        <f t="shared" si="162"/>
        <v>2.9494845662396269E-12</v>
      </c>
      <c r="R160" s="59">
        <f t="shared" si="109"/>
        <v>293.33333333333627</v>
      </c>
      <c r="S160" s="59">
        <f ca="1">AVERAGE(OFFSET($R$3,0,0,'Données projet'!$E$9+1,1))-AVERAGE(OFFSET($H$3,0,0,'Données projet'!$E$9+1,1))</f>
        <v>234.83702199169585</v>
      </c>
      <c r="T160" s="59">
        <f t="shared" si="142"/>
        <v>248.83008816685089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29.623964365385305</v>
      </c>
      <c r="AA160" s="21">
        <f>EXP(-LN(2)/25)*AA159+(1-EXP(-LN(2)/25))/(LN(2)/25)*Calculateur!V160*Calculateur!X160*VLOOKUP('Données projet'!$B$9,Paramètres!$A$1:$I$89,3,0)*0.475*44/12</f>
        <v>3.401039001107605</v>
      </c>
      <c r="AB160" s="21">
        <f>EXP(-LN(2)/2)*AB159+(1-EXP(-LN(2)/2))/(LN(2)/2)*V160*Y160*VLOOKUP('Données projet'!$B$9,Paramètres!$A$1:$I$89,3,0)*0.475*44/12</f>
        <v>8.5159021443778773E-15</v>
      </c>
      <c r="AC160" s="22">
        <f t="shared" si="163"/>
        <v>33.025003366492918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5.6843418860808015E-13</v>
      </c>
      <c r="AJ160" s="13">
        <f>AI160*VLOOKUP('Données projet'!$B$10,Paramètres!$A$1:$I$89,3,0)*VLOOKUP('Données projet'!$B$10,Paramètres!$A$1:$I$89,5,0)</f>
        <v>2.2907897800905631E-13</v>
      </c>
      <c r="AK160" s="13">
        <f t="shared" si="164"/>
        <v>3.1248920576624499E-12</v>
      </c>
      <c r="AL160" s="20">
        <f t="shared" si="165"/>
        <v>5.8414995537945398E-12</v>
      </c>
      <c r="AM160" s="59">
        <f t="shared" si="113"/>
        <v>293.33333333333917</v>
      </c>
      <c r="AN160" s="59">
        <f ca="1">AVERAGE(OFFSET($AM$3,0,0,'Données projet'!$E$10+1,1))-AVERAGE(OFFSET($H$3,0,0,'Données projet'!$E$10+1,1))</f>
        <v>314.16268026911069</v>
      </c>
      <c r="AO160" s="59">
        <f t="shared" si="144"/>
        <v>265.23571072429735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44.548521769189939</v>
      </c>
      <c r="AV160" s="21">
        <f>EXP(-LN(2)/25)*AV159+(1-EXP(-LN(2)/25))/(LN(2)/25)*Calculateur!AQ160*Calculateur!AS160*VLOOKUP('Données projet'!$B$10,Paramètres!$A$1:$I$89,3,0)*0.475*44/12</f>
        <v>8.4688314811675554</v>
      </c>
      <c r="AW160" s="21">
        <f>EXP(-LN(2)/2)*AW159+(1-EXP(-LN(2)/2))/(LN(2)/2)*AQ160*AT160*VLOOKUP('Données projet'!$B$10,Paramètres!$A$1:$I$89,3,0)*0.475*44/12</f>
        <v>1.9958799767099775E-10</v>
      </c>
      <c r="AX160" s="21">
        <f t="shared" si="166"/>
        <v>53.017353250557086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484.79640457735582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2.2737367544323206E-13</v>
      </c>
      <c r="O161" s="13">
        <f>N161*VLOOKUP('Données projet'!$B$9,Paramètres!$A$1:$I$89,3,0)*VLOOKUP('Données projet'!$B$9,Paramètres!$A$1:$I$89,5,0)</f>
        <v>1.064108801074326E-13</v>
      </c>
      <c r="P161" s="13">
        <f t="shared" si="141"/>
        <v>1.5870730813698654E-12</v>
      </c>
      <c r="Q161" s="20">
        <f t="shared" si="162"/>
        <v>2.9494845662396269E-12</v>
      </c>
      <c r="R161" s="59">
        <f t="shared" si="109"/>
        <v>293.33333333333627</v>
      </c>
      <c r="S161" s="59">
        <f ca="1">AVERAGE(OFFSET($R$3,0,0,'Données projet'!$E$9+1,1))-AVERAGE(OFFSET($H$3,0,0,'Données projet'!$E$9+1,1))</f>
        <v>234.83702199169585</v>
      </c>
      <c r="T161" s="59">
        <f t="shared" si="142"/>
        <v>248.83008816685089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29.043056493014213</v>
      </c>
      <c r="AA161" s="21">
        <f>EXP(-LN(2)/25)*AA160+(1-EXP(-LN(2)/25))/(LN(2)/25)*Calculateur!V161*Calculateur!X161*VLOOKUP('Données projet'!$B$9,Paramètres!$A$1:$I$89,3,0)*0.475*44/12</f>
        <v>3.3080374107694497</v>
      </c>
      <c r="AB161" s="21">
        <f>EXP(-LN(2)/2)*AB160+(1-EXP(-LN(2)/2))/(LN(2)/2)*V161*Y161*VLOOKUP('Données projet'!$B$9,Paramètres!$A$1:$I$89,3,0)*0.475*44/12</f>
        <v>6.0216521542106586E-15</v>
      </c>
      <c r="AC161" s="22">
        <f t="shared" si="163"/>
        <v>32.351093903783671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5.6843418860808015E-13</v>
      </c>
      <c r="AJ161" s="13">
        <f>AI161*VLOOKUP('Données projet'!$B$10,Paramètres!$A$1:$I$89,3,0)*VLOOKUP('Données projet'!$B$10,Paramètres!$A$1:$I$89,5,0)</f>
        <v>2.2907897800905631E-13</v>
      </c>
      <c r="AK161" s="13">
        <f t="shared" si="164"/>
        <v>3.1248920576624499E-12</v>
      </c>
      <c r="AL161" s="20">
        <f t="shared" si="165"/>
        <v>5.8414995537945398E-12</v>
      </c>
      <c r="AM161" s="59">
        <f t="shared" si="113"/>
        <v>293.33333333333917</v>
      </c>
      <c r="AN161" s="59">
        <f ca="1">AVERAGE(OFFSET($AM$3,0,0,'Données projet'!$E$10+1,1))-AVERAGE(OFFSET($H$3,0,0,'Données projet'!$E$10+1,1))</f>
        <v>314.16268026911069</v>
      </c>
      <c r="AO161" s="59">
        <f t="shared" si="144"/>
        <v>265.23571072429735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43.674952429211402</v>
      </c>
      <c r="AV161" s="21">
        <f>EXP(-LN(2)/25)*AV160+(1-EXP(-LN(2)/25))/(LN(2)/25)*Calculateur!AQ161*Calculateur!AS161*VLOOKUP('Données projet'!$B$10,Paramètres!$A$1:$I$89,3,0)*0.475*44/12</f>
        <v>8.2372508389585359</v>
      </c>
      <c r="AW161" s="21">
        <f>EXP(-LN(2)/2)*AW160+(1-EXP(-LN(2)/2))/(LN(2)/2)*AQ161*AT161*VLOOKUP('Données projet'!$B$10,Paramètres!$A$1:$I$89,3,0)*0.475*44/12</f>
        <v>1.4113002659660736E-10</v>
      </c>
      <c r="AX161" s="21">
        <f t="shared" si="166"/>
        <v>51.912203268311067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485.97774950751329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2.2737367544323206E-13</v>
      </c>
      <c r="O162" s="13">
        <f>N162*VLOOKUP('Données projet'!$B$9,Paramètres!$A$1:$I$89,3,0)*VLOOKUP('Données projet'!$B$9,Paramètres!$A$1:$I$89,5,0)</f>
        <v>1.064108801074326E-13</v>
      </c>
      <c r="P162" s="13">
        <f t="shared" si="141"/>
        <v>1.5870730813698654E-12</v>
      </c>
      <c r="Q162" s="20">
        <f t="shared" si="162"/>
        <v>2.9494845662396269E-12</v>
      </c>
      <c r="R162" s="59">
        <f t="shared" si="109"/>
        <v>293.33333333333627</v>
      </c>
      <c r="S162" s="59">
        <f ca="1">AVERAGE(OFFSET($R$3,0,0,'Données projet'!$E$9+1,1))-AVERAGE(OFFSET($H$3,0,0,'Données projet'!$E$9+1,1))</f>
        <v>234.83702199169585</v>
      </c>
      <c r="T162" s="59">
        <f t="shared" si="142"/>
        <v>248.83008816685089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28.473539869701501</v>
      </c>
      <c r="AA162" s="21">
        <f>EXP(-LN(2)/25)*AA161+(1-EXP(-LN(2)/25))/(LN(2)/25)*Calculateur!V162*Calculateur!X162*VLOOKUP('Données projet'!$B$9,Paramètres!$A$1:$I$89,3,0)*0.475*44/12</f>
        <v>3.2175789538098321</v>
      </c>
      <c r="AB162" s="21">
        <f>EXP(-LN(2)/2)*AB161+(1-EXP(-LN(2)/2))/(LN(2)/2)*V162*Y162*VLOOKUP('Données projet'!$B$9,Paramètres!$A$1:$I$89,3,0)*0.475*44/12</f>
        <v>4.2579510721889386E-15</v>
      </c>
      <c r="AC162" s="22">
        <f t="shared" si="163"/>
        <v>31.691118823511335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5.6843418860808015E-13</v>
      </c>
      <c r="AJ162" s="13">
        <f>AI162*VLOOKUP('Données projet'!$B$10,Paramètres!$A$1:$I$89,3,0)*VLOOKUP('Données projet'!$B$10,Paramètres!$A$1:$I$89,5,0)</f>
        <v>2.2907897800905631E-13</v>
      </c>
      <c r="AK162" s="13">
        <f t="shared" si="164"/>
        <v>3.1248920576624499E-12</v>
      </c>
      <c r="AL162" s="20">
        <f t="shared" si="165"/>
        <v>5.8414995537945398E-12</v>
      </c>
      <c r="AM162" s="59">
        <f t="shared" si="113"/>
        <v>293.33333333333917</v>
      </c>
      <c r="AN162" s="59">
        <f ca="1">AVERAGE(OFFSET($AM$3,0,0,'Données projet'!$E$10+1,1))-AVERAGE(OFFSET($H$3,0,0,'Données projet'!$E$10+1,1))</f>
        <v>314.16268026911069</v>
      </c>
      <c r="AO162" s="59">
        <f t="shared" si="144"/>
        <v>265.23571072429735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42.818513251165157</v>
      </c>
      <c r="AV162" s="21">
        <f>EXP(-LN(2)/25)*AV161+(1-EXP(-LN(2)/25))/(LN(2)/25)*Calculateur!AQ162*Calculateur!AS162*VLOOKUP('Données projet'!$B$10,Paramètres!$A$1:$I$89,3,0)*0.475*44/12</f>
        <v>8.01200278158902</v>
      </c>
      <c r="AW162" s="21">
        <f>EXP(-LN(2)/2)*AW161+(1-EXP(-LN(2)/2))/(LN(2)/2)*AQ162*AT162*VLOOKUP('Données projet'!$B$10,Paramètres!$A$1:$I$89,3,0)*0.475*44/12</f>
        <v>9.9793998835498876E-11</v>
      </c>
      <c r="AX162" s="21">
        <f t="shared" si="166"/>
        <v>50.830516032853971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487.15892583174093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2.2737367544323206E-13</v>
      </c>
      <c r="O163" s="13">
        <f>N163*VLOOKUP('Données projet'!$B$9,Paramètres!$A$1:$I$89,3,0)*VLOOKUP('Données projet'!$B$9,Paramètres!$A$1:$I$89,5,0)</f>
        <v>1.064108801074326E-13</v>
      </c>
      <c r="P163" s="13">
        <f t="shared" si="141"/>
        <v>1.5870730813698654E-12</v>
      </c>
      <c r="Q163" s="20">
        <f t="shared" si="162"/>
        <v>2.9494845662396269E-12</v>
      </c>
      <c r="R163" s="59">
        <f t="shared" si="109"/>
        <v>293.33333333333627</v>
      </c>
      <c r="S163" s="59">
        <f ca="1">AVERAGE(OFFSET($R$3,0,0,'Données projet'!$E$9+1,1))-AVERAGE(OFFSET($H$3,0,0,'Données projet'!$E$9+1,1))</f>
        <v>234.83702199169585</v>
      </c>
      <c r="T163" s="59">
        <f t="shared" si="142"/>
        <v>248.83008816685089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27.915191120001111</v>
      </c>
      <c r="AA163" s="21">
        <f>EXP(-LN(2)/25)*AA162+(1-EXP(-LN(2)/25))/(LN(2)/25)*Calculateur!V163*Calculateur!X163*VLOOKUP('Données projet'!$B$9,Paramètres!$A$1:$I$89,3,0)*0.475*44/12</f>
        <v>3.1295940881127788</v>
      </c>
      <c r="AB163" s="21">
        <f>EXP(-LN(2)/2)*AB162+(1-EXP(-LN(2)/2))/(LN(2)/2)*V163*Y163*VLOOKUP('Données projet'!$B$9,Paramètres!$A$1:$I$89,3,0)*0.475*44/12</f>
        <v>3.0108260771053293E-15</v>
      </c>
      <c r="AC163" s="22">
        <f t="shared" si="163"/>
        <v>31.044785208113893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5.6843418860808015E-13</v>
      </c>
      <c r="AJ163" s="13">
        <f>AI163*VLOOKUP('Données projet'!$B$10,Paramètres!$A$1:$I$89,3,0)*VLOOKUP('Données projet'!$B$10,Paramètres!$A$1:$I$89,5,0)</f>
        <v>2.2907897800905631E-13</v>
      </c>
      <c r="AK163" s="13">
        <f t="shared" si="164"/>
        <v>3.1248920576624499E-12</v>
      </c>
      <c r="AL163" s="20">
        <f t="shared" si="165"/>
        <v>5.8414995537945398E-12</v>
      </c>
      <c r="AM163" s="59">
        <f t="shared" si="113"/>
        <v>293.33333333333917</v>
      </c>
      <c r="AN163" s="59">
        <f ca="1">AVERAGE(OFFSET($AM$3,0,0,'Données projet'!$E$10+1,1))-AVERAGE(OFFSET($H$3,0,0,'Données projet'!$E$10+1,1))</f>
        <v>314.16268026911069</v>
      </c>
      <c r="AO163" s="59">
        <f t="shared" si="144"/>
        <v>265.23571072429735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41.978868323024081</v>
      </c>
      <c r="AV163" s="21">
        <f>EXP(-LN(2)/25)*AV162+(1-EXP(-LN(2)/25))/(LN(2)/25)*Calculateur!AQ163*Calculateur!AS163*VLOOKUP('Données projet'!$B$10,Paramètres!$A$1:$I$89,3,0)*0.475*44/12</f>
        <v>7.7929141441935537</v>
      </c>
      <c r="AW163" s="21">
        <f>EXP(-LN(2)/2)*AW162+(1-EXP(-LN(2)/2))/(LN(2)/2)*AQ163*AT163*VLOOKUP('Données projet'!$B$10,Paramètres!$A$1:$I$89,3,0)*0.475*44/12</f>
        <v>7.0565013298303681E-11</v>
      </c>
      <c r="AX163" s="21">
        <f t="shared" si="166"/>
        <v>49.771782467288197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488.33993472607426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2.2737367544323206E-13</v>
      </c>
      <c r="O164" s="13">
        <f>N164*VLOOKUP('Données projet'!$B$9,Paramètres!$A$1:$I$89,3,0)*VLOOKUP('Données projet'!$B$9,Paramètres!$A$1:$I$89,5,0)</f>
        <v>1.064108801074326E-13</v>
      </c>
      <c r="P164" s="13">
        <f t="shared" si="141"/>
        <v>1.5870730813698654E-12</v>
      </c>
      <c r="Q164" s="20">
        <f t="shared" si="162"/>
        <v>2.9494845662396269E-12</v>
      </c>
      <c r="R164" s="59">
        <f t="shared" si="109"/>
        <v>293.33333333333627</v>
      </c>
      <c r="S164" s="59">
        <f ca="1">AVERAGE(OFFSET($R$3,0,0,'Données projet'!$E$9+1,1))-AVERAGE(OFFSET($H$3,0,0,'Données projet'!$E$9+1,1))</f>
        <v>234.83702199169585</v>
      </c>
      <c r="T164" s="59">
        <f t="shared" si="142"/>
        <v>248.83008816685089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27.367791248723236</v>
      </c>
      <c r="AA164" s="21">
        <f>EXP(-LN(2)/25)*AA163+(1-EXP(-LN(2)/25))/(LN(2)/25)*Calculateur!V164*Calculateur!X164*VLOOKUP('Données projet'!$B$9,Paramètres!$A$1:$I$89,3,0)*0.475*44/12</f>
        <v>3.0440151731951346</v>
      </c>
      <c r="AB164" s="21">
        <f>EXP(-LN(2)/2)*AB163+(1-EXP(-LN(2)/2))/(LN(2)/2)*V164*Y164*VLOOKUP('Données projet'!$B$9,Paramètres!$A$1:$I$89,3,0)*0.475*44/12</f>
        <v>2.1289755360944693E-15</v>
      </c>
      <c r="AC164" s="22">
        <f t="shared" si="163"/>
        <v>30.411806421918374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5.6843418860808015E-13</v>
      </c>
      <c r="AJ164" s="13">
        <f>AI164*VLOOKUP('Données projet'!$B$10,Paramètres!$A$1:$I$89,3,0)*VLOOKUP('Données projet'!$B$10,Paramètres!$A$1:$I$89,5,0)</f>
        <v>2.2907897800905631E-13</v>
      </c>
      <c r="AK164" s="13">
        <f t="shared" si="164"/>
        <v>3.1248920576624499E-12</v>
      </c>
      <c r="AL164" s="20">
        <f t="shared" si="165"/>
        <v>5.8414995537945398E-12</v>
      </c>
      <c r="AM164" s="59">
        <f t="shared" si="113"/>
        <v>293.33333333333917</v>
      </c>
      <c r="AN164" s="59">
        <f ca="1">AVERAGE(OFFSET($AM$3,0,0,'Données projet'!$E$10+1,1))-AVERAGE(OFFSET($H$3,0,0,'Données projet'!$E$10+1,1))</f>
        <v>314.16268026911069</v>
      </c>
      <c r="AO164" s="59">
        <f t="shared" si="144"/>
        <v>265.23571072429735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41.155688319791011</v>
      </c>
      <c r="AV164" s="21">
        <f>EXP(-LN(2)/25)*AV163+(1-EXP(-LN(2)/25))/(LN(2)/25)*Calculateur!AQ164*Calculateur!AS164*VLOOKUP('Données projet'!$B$10,Paramètres!$A$1:$I$89,3,0)*0.475*44/12</f>
        <v>7.5798164971090367</v>
      </c>
      <c r="AW164" s="21">
        <f>EXP(-LN(2)/2)*AW163+(1-EXP(-LN(2)/2))/(LN(2)/2)*AQ164*AT164*VLOOKUP('Données projet'!$B$10,Paramètres!$A$1:$I$89,3,0)*0.475*44/12</f>
        <v>4.9896999417749438E-11</v>
      </c>
      <c r="AX164" s="21">
        <f t="shared" si="166"/>
        <v>48.735504816949941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489.52077735109452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2.2737367544323206E-13</v>
      </c>
      <c r="O165" s="13">
        <f>N165*VLOOKUP('Données projet'!$B$9,Paramètres!$A$1:$I$89,3,0)*VLOOKUP('Données projet'!$B$9,Paramètres!$A$1:$I$89,5,0)</f>
        <v>1.064108801074326E-13</v>
      </c>
      <c r="P165" s="13">
        <f t="shared" si="141"/>
        <v>1.5870730813698654E-12</v>
      </c>
      <c r="Q165" s="20">
        <f t="shared" si="162"/>
        <v>2.9494845662396269E-12</v>
      </c>
      <c r="R165" s="59">
        <f t="shared" si="109"/>
        <v>293.33333333333627</v>
      </c>
      <c r="S165" s="59">
        <f ca="1">AVERAGE(OFFSET($R$3,0,0,'Données projet'!$E$9+1,1))-AVERAGE(OFFSET($H$3,0,0,'Données projet'!$E$9+1,1))</f>
        <v>234.83702199169585</v>
      </c>
      <c r="T165" s="59">
        <f t="shared" si="142"/>
        <v>248.83008816685089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26.831125555040167</v>
      </c>
      <c r="AA165" s="21">
        <f>EXP(-LN(2)/25)*AA164+(1-EXP(-LN(2)/25))/(LN(2)/25)*Calculateur!V165*Calculateur!X165*VLOOKUP('Données projet'!$B$9,Paramètres!$A$1:$I$89,3,0)*0.475*44/12</f>
        <v>2.9607764182063128</v>
      </c>
      <c r="AB165" s="21">
        <f>EXP(-LN(2)/2)*AB164+(1-EXP(-LN(2)/2))/(LN(2)/2)*V165*Y165*VLOOKUP('Données projet'!$B$9,Paramètres!$A$1:$I$89,3,0)*0.475*44/12</f>
        <v>1.5054130385526647E-15</v>
      </c>
      <c r="AC165" s="22">
        <f t="shared" si="163"/>
        <v>29.791901973246478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5.6843418860808015E-13</v>
      </c>
      <c r="AJ165" s="13">
        <f>AI165*VLOOKUP('Données projet'!$B$10,Paramètres!$A$1:$I$89,3,0)*VLOOKUP('Données projet'!$B$10,Paramètres!$A$1:$I$89,5,0)</f>
        <v>2.2907897800905631E-13</v>
      </c>
      <c r="AK165" s="13">
        <f t="shared" si="164"/>
        <v>3.1248920576624499E-12</v>
      </c>
      <c r="AL165" s="20">
        <f t="shared" si="165"/>
        <v>5.8414995537945398E-12</v>
      </c>
      <c r="AM165" s="59">
        <f t="shared" si="113"/>
        <v>293.33333333333917</v>
      </c>
      <c r="AN165" s="59">
        <f ca="1">AVERAGE(OFFSET($AM$3,0,0,'Données projet'!$E$10+1,1))-AVERAGE(OFFSET($H$3,0,0,'Données projet'!$E$10+1,1))</f>
        <v>314.16268026911069</v>
      </c>
      <c r="AO165" s="59">
        <f t="shared" si="144"/>
        <v>265.23571072429735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40.348650374331122</v>
      </c>
      <c r="AV165" s="21">
        <f>EXP(-LN(2)/25)*AV164+(1-EXP(-LN(2)/25))/(LN(2)/25)*Calculateur!AQ165*Calculateur!AS165*VLOOKUP('Données projet'!$B$10,Paramètres!$A$1:$I$89,3,0)*0.475*44/12</f>
        <v>7.3725460163903644</v>
      </c>
      <c r="AW165" s="21">
        <f>EXP(-LN(2)/2)*AW164+(1-EXP(-LN(2)/2))/(LN(2)/2)*AQ165*AT165*VLOOKUP('Données projet'!$B$10,Paramètres!$A$1:$I$89,3,0)*0.475*44/12</f>
        <v>3.528250664915184E-11</v>
      </c>
      <c r="AX165" s="21">
        <f t="shared" si="166"/>
        <v>47.721196390756774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490.70145485222611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2.2737367544323206E-13</v>
      </c>
      <c r="O166" s="13">
        <f>N166*VLOOKUP('Données projet'!$B$9,Paramètres!$A$1:$I$89,3,0)*VLOOKUP('Données projet'!$B$9,Paramètres!$A$1:$I$89,5,0)</f>
        <v>1.064108801074326E-13</v>
      </c>
      <c r="P166" s="13">
        <f t="shared" si="141"/>
        <v>1.5870730813698654E-12</v>
      </c>
      <c r="Q166" s="20">
        <f t="shared" si="162"/>
        <v>2.9494845662396269E-12</v>
      </c>
      <c r="R166" s="59">
        <f t="shared" si="109"/>
        <v>293.33333333333627</v>
      </c>
      <c r="S166" s="59">
        <f ca="1">AVERAGE(OFFSET($R$3,0,0,'Données projet'!$E$9+1,1))-AVERAGE(OFFSET($H$3,0,0,'Données projet'!$E$9+1,1))</f>
        <v>234.83702199169585</v>
      </c>
      <c r="T166" s="59">
        <f t="shared" si="142"/>
        <v>248.83008816685089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26.304983548276471</v>
      </c>
      <c r="AA166" s="21">
        <f>EXP(-LN(2)/25)*AA165+(1-EXP(-LN(2)/25))/(LN(2)/25)*Calculateur!V166*Calculateur!X166*VLOOKUP('Données projet'!$B$9,Paramètres!$A$1:$I$89,3,0)*0.475*44/12</f>
        <v>2.8798138313499964</v>
      </c>
      <c r="AB166" s="21">
        <f>EXP(-LN(2)/2)*AB165+(1-EXP(-LN(2)/2))/(LN(2)/2)*V166*Y166*VLOOKUP('Données projet'!$B$9,Paramètres!$A$1:$I$89,3,0)*0.475*44/12</f>
        <v>1.0644877680472347E-15</v>
      </c>
      <c r="AC166" s="22">
        <f t="shared" si="163"/>
        <v>29.184797379626467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5.6843418860808015E-13</v>
      </c>
      <c r="AJ166" s="13">
        <f>AI166*VLOOKUP('Données projet'!$B$10,Paramètres!$A$1:$I$89,3,0)*VLOOKUP('Données projet'!$B$10,Paramètres!$A$1:$I$89,5,0)</f>
        <v>2.2907897800905631E-13</v>
      </c>
      <c r="AK166" s="13">
        <f t="shared" si="164"/>
        <v>3.1248920576624499E-12</v>
      </c>
      <c r="AL166" s="20">
        <f t="shared" si="165"/>
        <v>5.8414995537945398E-12</v>
      </c>
      <c r="AM166" s="59">
        <f t="shared" si="113"/>
        <v>293.33333333333917</v>
      </c>
      <c r="AN166" s="59">
        <f ca="1">AVERAGE(OFFSET($AM$3,0,0,'Données projet'!$E$10+1,1))-AVERAGE(OFFSET($H$3,0,0,'Données projet'!$E$10+1,1))</f>
        <v>314.16268026911069</v>
      </c>
      <c r="AO166" s="59">
        <f t="shared" si="144"/>
        <v>265.23571072429735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39.55743795073716</v>
      </c>
      <c r="AV166" s="21">
        <f>EXP(-LN(2)/25)*AV165+(1-EXP(-LN(2)/25))/(LN(2)/25)*Calculateur!AQ166*Calculateur!AS166*VLOOKUP('Données projet'!$B$10,Paramètres!$A$1:$I$89,3,0)*0.475*44/12</f>
        <v>7.1709433578668254</v>
      </c>
      <c r="AW166" s="21">
        <f>EXP(-LN(2)/2)*AW165+(1-EXP(-LN(2)/2))/(LN(2)/2)*AQ166*AT166*VLOOKUP('Données projet'!$B$10,Paramètres!$A$1:$I$89,3,0)*0.475*44/12</f>
        <v>2.4948499708874719E-11</v>
      </c>
      <c r="AX166" s="21">
        <f t="shared" si="166"/>
        <v>46.728381308628933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491.88196836002629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2.2737367544323206E-13</v>
      </c>
      <c r="O167" s="13">
        <f>N167*VLOOKUP('Données projet'!$B$9,Paramètres!$A$1:$I$89,3,0)*VLOOKUP('Données projet'!$B$9,Paramètres!$A$1:$I$89,5,0)</f>
        <v>1.064108801074326E-13</v>
      </c>
      <c r="P167" s="13">
        <f t="shared" si="141"/>
        <v>1.5870730813698654E-12</v>
      </c>
      <c r="Q167" s="20">
        <f t="shared" si="162"/>
        <v>2.9494845662396269E-12</v>
      </c>
      <c r="R167" s="59">
        <f t="shared" si="109"/>
        <v>293.33333333333627</v>
      </c>
      <c r="S167" s="59">
        <f ca="1">AVERAGE(OFFSET($R$3,0,0,'Données projet'!$E$9+1,1))-AVERAGE(OFFSET($H$3,0,0,'Données projet'!$E$9+1,1))</f>
        <v>234.83702199169585</v>
      </c>
      <c r="T167" s="59">
        <f t="shared" si="142"/>
        <v>248.83008816685089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25.789158865350476</v>
      </c>
      <c r="AA167" s="21">
        <f>EXP(-LN(2)/25)*AA166+(1-EXP(-LN(2)/25))/(LN(2)/25)*Calculateur!V167*Calculateur!X167*VLOOKUP('Données projet'!$B$9,Paramètres!$A$1:$I$89,3,0)*0.475*44/12</f>
        <v>2.8010651706889034</v>
      </c>
      <c r="AB167" s="21">
        <f>EXP(-LN(2)/2)*AB166+(1-EXP(-LN(2)/2))/(LN(2)/2)*V167*Y167*VLOOKUP('Données projet'!$B$9,Paramètres!$A$1:$I$89,3,0)*0.475*44/12</f>
        <v>7.5270651927633233E-16</v>
      </c>
      <c r="AC167" s="22">
        <f t="shared" si="163"/>
        <v>28.59022403603938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5.6843418860808015E-13</v>
      </c>
      <c r="AJ167" s="13">
        <f>AI167*VLOOKUP('Données projet'!$B$10,Paramètres!$A$1:$I$89,3,0)*VLOOKUP('Données projet'!$B$10,Paramètres!$A$1:$I$89,5,0)</f>
        <v>2.2907897800905631E-13</v>
      </c>
      <c r="AK167" s="13">
        <f t="shared" si="164"/>
        <v>3.1248920576624499E-12</v>
      </c>
      <c r="AL167" s="20">
        <f t="shared" si="165"/>
        <v>5.8414995537945398E-12</v>
      </c>
      <c r="AM167" s="59">
        <f t="shared" si="113"/>
        <v>293.33333333333917</v>
      </c>
      <c r="AN167" s="59">
        <f ca="1">AVERAGE(OFFSET($AM$3,0,0,'Données projet'!$E$10+1,1))-AVERAGE(OFFSET($H$3,0,0,'Données projet'!$E$10+1,1))</f>
        <v>314.16268026911069</v>
      </c>
      <c r="AO167" s="59">
        <f t="shared" si="144"/>
        <v>265.23571072429735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38.781740720177943</v>
      </c>
      <c r="AV167" s="21">
        <f>EXP(-LN(2)/25)*AV166+(1-EXP(-LN(2)/25))/(LN(2)/25)*Calculateur!AQ167*Calculateur!AS167*VLOOKUP('Données projet'!$B$10,Paramètres!$A$1:$I$89,3,0)*0.475*44/12</f>
        <v>6.9748535346424356</v>
      </c>
      <c r="AW167" s="21">
        <f>EXP(-LN(2)/2)*AW166+(1-EXP(-LN(2)/2))/(LN(2)/2)*AQ167*AT167*VLOOKUP('Données projet'!$B$10,Paramètres!$A$1:$I$89,3,0)*0.475*44/12</f>
        <v>1.764125332457592E-11</v>
      </c>
      <c r="AX167" s="21">
        <f t="shared" si="166"/>
        <v>45.756594254838021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493.06231899046742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2.2737367544323206E-13</v>
      </c>
      <c r="O168" s="13">
        <f>N168*VLOOKUP('Données projet'!$B$9,Paramètres!$A$1:$I$89,3,0)*VLOOKUP('Données projet'!$B$9,Paramètres!$A$1:$I$89,5,0)</f>
        <v>1.064108801074326E-13</v>
      </c>
      <c r="P168" s="13">
        <f t="shared" si="141"/>
        <v>1.5870730813698654E-12</v>
      </c>
      <c r="Q168" s="20">
        <f t="shared" si="162"/>
        <v>2.9494845662396269E-12</v>
      </c>
      <c r="R168" s="59">
        <f t="shared" si="109"/>
        <v>293.33333333333627</v>
      </c>
      <c r="S168" s="59">
        <f ca="1">AVERAGE(OFFSET($R$3,0,0,'Données projet'!$E$9+1,1))-AVERAGE(OFFSET($H$3,0,0,'Données projet'!$E$9+1,1))</f>
        <v>234.83702199169585</v>
      </c>
      <c r="T168" s="59">
        <f t="shared" si="142"/>
        <v>248.83008816685089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25.28344918983467</v>
      </c>
      <c r="AA168" s="21">
        <f>EXP(-LN(2)/25)*AA167+(1-EXP(-LN(2)/25))/(LN(2)/25)*Calculateur!V168*Calculateur!X168*VLOOKUP('Données projet'!$B$9,Paramètres!$A$1:$I$89,3,0)*0.475*44/12</f>
        <v>2.7244698962947997</v>
      </c>
      <c r="AB168" s="21">
        <f>EXP(-LN(2)/2)*AB167+(1-EXP(-LN(2)/2))/(LN(2)/2)*V168*Y168*VLOOKUP('Données projet'!$B$9,Paramètres!$A$1:$I$89,3,0)*0.475*44/12</f>
        <v>5.3224388402361733E-16</v>
      </c>
      <c r="AC168" s="22">
        <f t="shared" si="163"/>
        <v>28.007919086129469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5.6843418860808015E-13</v>
      </c>
      <c r="AJ168" s="13">
        <f>AI168*VLOOKUP('Données projet'!$B$10,Paramètres!$A$1:$I$89,3,0)*VLOOKUP('Données projet'!$B$10,Paramètres!$A$1:$I$89,5,0)</f>
        <v>2.2907897800905631E-13</v>
      </c>
      <c r="AK168" s="13">
        <f t="shared" si="164"/>
        <v>3.1248920576624499E-12</v>
      </c>
      <c r="AL168" s="20">
        <f t="shared" si="165"/>
        <v>5.8414995537945398E-12</v>
      </c>
      <c r="AM168" s="59">
        <f t="shared" si="113"/>
        <v>293.33333333333917</v>
      </c>
      <c r="AN168" s="59">
        <f ca="1">AVERAGE(OFFSET($AM$3,0,0,'Données projet'!$E$10+1,1))-AVERAGE(OFFSET($H$3,0,0,'Données projet'!$E$10+1,1))</f>
        <v>314.16268026911069</v>
      </c>
      <c r="AO168" s="59">
        <f t="shared" si="144"/>
        <v>265.23571072429735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38.021254439181405</v>
      </c>
      <c r="AV168" s="21">
        <f>EXP(-LN(2)/25)*AV167+(1-EXP(-LN(2)/25))/(LN(2)/25)*Calculateur!AQ168*Calculateur!AS168*VLOOKUP('Données projet'!$B$10,Paramètres!$A$1:$I$89,3,0)*0.475*44/12</f>
        <v>6.7841257979460323</v>
      </c>
      <c r="AW168" s="21">
        <f>EXP(-LN(2)/2)*AW167+(1-EXP(-LN(2)/2))/(LN(2)/2)*AQ168*AT168*VLOOKUP('Données projet'!$B$10,Paramètres!$A$1:$I$89,3,0)*0.475*44/12</f>
        <v>1.247424985443736E-11</v>
      </c>
      <c r="AX168" s="21">
        <f t="shared" si="166"/>
        <v>44.805380237139914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494.24250784521246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2.2737367544323206E-13</v>
      </c>
      <c r="O169" s="13">
        <f>N169*VLOOKUP('Données projet'!$B$9,Paramètres!$A$1:$I$89,3,0)*VLOOKUP('Données projet'!$B$9,Paramètres!$A$1:$I$89,5,0)</f>
        <v>1.064108801074326E-13</v>
      </c>
      <c r="P169" s="13">
        <f t="shared" si="141"/>
        <v>1.5870730813698654E-12</v>
      </c>
      <c r="Q169" s="20">
        <f t="shared" si="162"/>
        <v>2.9494845662396269E-12</v>
      </c>
      <c r="R169" s="59">
        <f t="shared" si="109"/>
        <v>293.33333333333627</v>
      </c>
      <c r="S169" s="59">
        <f ca="1">AVERAGE(OFFSET($R$3,0,0,'Données projet'!$E$9+1,1))-AVERAGE(OFFSET($H$3,0,0,'Données projet'!$E$9+1,1))</f>
        <v>234.83702199169585</v>
      </c>
      <c r="T169" s="59">
        <f t="shared" si="142"/>
        <v>248.83008816685089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24.787656172603281</v>
      </c>
      <c r="AA169" s="21">
        <f>EXP(-LN(2)/25)*AA168+(1-EXP(-LN(2)/25))/(LN(2)/25)*Calculateur!V169*Calculateur!X169*VLOOKUP('Données projet'!$B$9,Paramètres!$A$1:$I$89,3,0)*0.475*44/12</f>
        <v>2.6499691237069736</v>
      </c>
      <c r="AB169" s="21">
        <f>EXP(-LN(2)/2)*AB168+(1-EXP(-LN(2)/2))/(LN(2)/2)*V169*Y169*VLOOKUP('Données projet'!$B$9,Paramètres!$A$1:$I$89,3,0)*0.475*44/12</f>
        <v>3.7635325963816616E-16</v>
      </c>
      <c r="AC169" s="22">
        <f t="shared" si="163"/>
        <v>27.437625296310255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5.6843418860808015E-13</v>
      </c>
      <c r="AJ169" s="13">
        <f>AI169*VLOOKUP('Données projet'!$B$10,Paramètres!$A$1:$I$89,3,0)*VLOOKUP('Données projet'!$B$10,Paramètres!$A$1:$I$89,5,0)</f>
        <v>2.2907897800905631E-13</v>
      </c>
      <c r="AK169" s="13">
        <f t="shared" si="164"/>
        <v>3.1248920576624499E-12</v>
      </c>
      <c r="AL169" s="20">
        <f t="shared" si="165"/>
        <v>5.8414995537945398E-12</v>
      </c>
      <c r="AM169" s="59">
        <f t="shared" si="113"/>
        <v>293.33333333333917</v>
      </c>
      <c r="AN169" s="59">
        <f ca="1">AVERAGE(OFFSET($AM$3,0,0,'Données projet'!$E$10+1,1))-AVERAGE(OFFSET($H$3,0,0,'Données projet'!$E$10+1,1))</f>
        <v>314.16268026911069</v>
      </c>
      <c r="AO169" s="59">
        <f t="shared" si="144"/>
        <v>265.23571072429735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37.275680830304374</v>
      </c>
      <c r="AV169" s="21">
        <f>EXP(-LN(2)/25)*AV168+(1-EXP(-LN(2)/25))/(LN(2)/25)*Calculateur!AQ169*Calculateur!AS169*VLOOKUP('Données projet'!$B$10,Paramètres!$A$1:$I$89,3,0)*0.475*44/12</f>
        <v>6.5986135212395274</v>
      </c>
      <c r="AW169" s="21">
        <f>EXP(-LN(2)/2)*AW168+(1-EXP(-LN(2)/2))/(LN(2)/2)*AQ169*AT169*VLOOKUP('Données projet'!$B$10,Paramètres!$A$1:$I$89,3,0)*0.475*44/12</f>
        <v>8.8206266622879601E-12</v>
      </c>
      <c r="AX169" s="21">
        <f t="shared" si="166"/>
        <v>43.87429435155272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495.42253601188349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2.2737367544323206E-13</v>
      </c>
      <c r="O170" s="13">
        <f>N170*VLOOKUP('Données projet'!$B$9,Paramètres!$A$1:$I$89,3,0)*VLOOKUP('Données projet'!$B$9,Paramètres!$A$1:$I$89,5,0)</f>
        <v>1.064108801074326E-13</v>
      </c>
      <c r="P170" s="13">
        <f t="shared" si="141"/>
        <v>1.5870730813698654E-12</v>
      </c>
      <c r="Q170" s="20">
        <f t="shared" si="162"/>
        <v>2.9494845662396269E-12</v>
      </c>
      <c r="R170" s="59">
        <f t="shared" si="109"/>
        <v>293.33333333333627</v>
      </c>
      <c r="S170" s="59">
        <f ca="1">AVERAGE(OFFSET($R$3,0,0,'Données projet'!$E$9+1,1))-AVERAGE(OFFSET($H$3,0,0,'Données projet'!$E$9+1,1))</f>
        <v>234.83702199169585</v>
      </c>
      <c r="T170" s="59">
        <f t="shared" si="142"/>
        <v>248.83008816685089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24.301585354035922</v>
      </c>
      <c r="AA170" s="21">
        <f>EXP(-LN(2)/25)*AA169+(1-EXP(-LN(2)/25))/(LN(2)/25)*Calculateur!V170*Calculateur!X170*VLOOKUP('Données projet'!$B$9,Paramètres!$A$1:$I$89,3,0)*0.475*44/12</f>
        <v>2.5775055786633869</v>
      </c>
      <c r="AB170" s="21">
        <f>EXP(-LN(2)/2)*AB169+(1-EXP(-LN(2)/2))/(LN(2)/2)*V170*Y170*VLOOKUP('Données projet'!$B$9,Paramètres!$A$1:$I$89,3,0)*0.475*44/12</f>
        <v>2.6612194201180866E-16</v>
      </c>
      <c r="AC170" s="22">
        <f t="shared" si="163"/>
        <v>26.879090932699309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5.6843418860808015E-13</v>
      </c>
      <c r="AJ170" s="13">
        <f>AI170*VLOOKUP('Données projet'!$B$10,Paramètres!$A$1:$I$89,3,0)*VLOOKUP('Données projet'!$B$10,Paramètres!$A$1:$I$89,5,0)</f>
        <v>2.2907897800905631E-13</v>
      </c>
      <c r="AK170" s="13">
        <f t="shared" si="164"/>
        <v>3.1248920576624499E-12</v>
      </c>
      <c r="AL170" s="20">
        <f t="shared" si="165"/>
        <v>5.8414995537945398E-12</v>
      </c>
      <c r="AM170" s="59">
        <f t="shared" si="113"/>
        <v>293.33333333333917</v>
      </c>
      <c r="AN170" s="59">
        <f ca="1">AVERAGE(OFFSET($AM$3,0,0,'Données projet'!$E$10+1,1))-AVERAGE(OFFSET($H$3,0,0,'Données projet'!$E$10+1,1))</f>
        <v>314.16268026911069</v>
      </c>
      <c r="AO170" s="59">
        <f t="shared" si="144"/>
        <v>265.23571072429735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36.544727465142429</v>
      </c>
      <c r="AV170" s="21">
        <f>EXP(-LN(2)/25)*AV169+(1-EXP(-LN(2)/25))/(LN(2)/25)*Calculateur!AQ170*Calculateur!AS170*VLOOKUP('Données projet'!$B$10,Paramètres!$A$1:$I$89,3,0)*0.475*44/12</f>
        <v>6.4181740874952284</v>
      </c>
      <c r="AW170" s="21">
        <f>EXP(-LN(2)/2)*AW169+(1-EXP(-LN(2)/2))/(LN(2)/2)*AQ170*AT170*VLOOKUP('Données projet'!$B$10,Paramètres!$A$1:$I$89,3,0)*0.475*44/12</f>
        <v>6.2371249272186798E-12</v>
      </c>
      <c r="AX170" s="21">
        <f t="shared" si="166"/>
        <v>42.962901552643899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496.60240456432382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2.2737367544323206E-13</v>
      </c>
      <c r="O171" s="13">
        <f>N171*VLOOKUP('Données projet'!$B$9,Paramètres!$A$1:$I$89,3,0)*VLOOKUP('Données projet'!$B$9,Paramètres!$A$1:$I$89,5,0)</f>
        <v>1.064108801074326E-13</v>
      </c>
      <c r="P171" s="13">
        <f t="shared" si="141"/>
        <v>1.5870730813698654E-12</v>
      </c>
      <c r="Q171" s="20">
        <f t="shared" si="162"/>
        <v>2.9494845662396269E-12</v>
      </c>
      <c r="R171" s="59">
        <f t="shared" si="109"/>
        <v>293.33333333333627</v>
      </c>
      <c r="S171" s="59">
        <f ca="1">AVERAGE(OFFSET($R$3,0,0,'Données projet'!$E$9+1,1))-AVERAGE(OFFSET($H$3,0,0,'Données projet'!$E$9+1,1))</f>
        <v>234.83702199169585</v>
      </c>
      <c r="T171" s="59">
        <f t="shared" si="142"/>
        <v>248.83008816685089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23.825046087746742</v>
      </c>
      <c r="AA171" s="21">
        <f>EXP(-LN(2)/25)*AA170+(1-EXP(-LN(2)/25))/(LN(2)/25)*Calculateur!V171*Calculateur!X171*VLOOKUP('Données projet'!$B$9,Paramètres!$A$1:$I$89,3,0)*0.475*44/12</f>
        <v>2.5070235530697094</v>
      </c>
      <c r="AB171" s="21">
        <f>EXP(-LN(2)/2)*AB170+(1-EXP(-LN(2)/2))/(LN(2)/2)*V171*Y171*VLOOKUP('Données projet'!$B$9,Paramètres!$A$1:$I$89,3,0)*0.475*44/12</f>
        <v>1.8817662981908308E-16</v>
      </c>
      <c r="AC171" s="22">
        <f t="shared" si="163"/>
        <v>26.332069640816449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5.6843418860808015E-13</v>
      </c>
      <c r="AJ171" s="13">
        <f>AI171*VLOOKUP('Données projet'!$B$10,Paramètres!$A$1:$I$89,3,0)*VLOOKUP('Données projet'!$B$10,Paramètres!$A$1:$I$89,5,0)</f>
        <v>2.2907897800905631E-13</v>
      </c>
      <c r="AK171" s="13">
        <f t="shared" si="164"/>
        <v>3.1248920576624499E-12</v>
      </c>
      <c r="AL171" s="20">
        <f t="shared" si="165"/>
        <v>5.8414995537945398E-12</v>
      </c>
      <c r="AM171" s="59">
        <f t="shared" si="113"/>
        <v>293.33333333333917</v>
      </c>
      <c r="AN171" s="59">
        <f ca="1">AVERAGE(OFFSET($AM$3,0,0,'Données projet'!$E$10+1,1))-AVERAGE(OFFSET($H$3,0,0,'Données projet'!$E$10+1,1))</f>
        <v>314.16268026911069</v>
      </c>
      <c r="AO171" s="59">
        <f t="shared" si="144"/>
        <v>265.23571072429735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35.828107649633779</v>
      </c>
      <c r="AV171" s="21">
        <f>EXP(-LN(2)/25)*AV170+(1-EXP(-LN(2)/25))/(LN(2)/25)*Calculateur!AQ171*Calculateur!AS171*VLOOKUP('Données projet'!$B$10,Paramètres!$A$1:$I$89,3,0)*0.475*44/12</f>
        <v>6.2426687795555651</v>
      </c>
      <c r="AW171" s="21">
        <f>EXP(-LN(2)/2)*AW170+(1-EXP(-LN(2)/2))/(LN(2)/2)*AQ171*AT171*VLOOKUP('Données projet'!$B$10,Paramètres!$A$1:$I$89,3,0)*0.475*44/12</f>
        <v>4.41031333114398E-12</v>
      </c>
      <c r="AX171" s="21">
        <f t="shared" si="166"/>
        <v>42.070776429193756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497.78211456285305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2.2737367544323206E-13</v>
      </c>
      <c r="O172" s="13">
        <f>N172*VLOOKUP('Données projet'!$B$9,Paramètres!$A$1:$I$89,3,0)*VLOOKUP('Données projet'!$B$9,Paramètres!$A$1:$I$89,5,0)</f>
        <v>1.064108801074326E-13</v>
      </c>
      <c r="P172" s="13">
        <f t="shared" si="141"/>
        <v>1.5870730813698654E-12</v>
      </c>
      <c r="Q172" s="20">
        <f t="shared" si="162"/>
        <v>2.9494845662396269E-12</v>
      </c>
      <c r="R172" s="59">
        <f t="shared" si="109"/>
        <v>293.33333333333627</v>
      </c>
      <c r="S172" s="59">
        <f ca="1">AVERAGE(OFFSET($R$3,0,0,'Données projet'!$E$9+1,1))-AVERAGE(OFFSET($H$3,0,0,'Données projet'!$E$9+1,1))</f>
        <v>234.83702199169585</v>
      </c>
      <c r="T172" s="59">
        <f t="shared" si="142"/>
        <v>248.83008816685089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23.35785146580924</v>
      </c>
      <c r="AA172" s="21">
        <f>EXP(-LN(2)/25)*AA171+(1-EXP(-LN(2)/25))/(LN(2)/25)*Calculateur!V172*Calculateur!X172*VLOOKUP('Données projet'!$B$9,Paramètres!$A$1:$I$89,3,0)*0.475*44/12</f>
        <v>2.4384688621723796</v>
      </c>
      <c r="AB172" s="21">
        <f>EXP(-LN(2)/2)*AB171+(1-EXP(-LN(2)/2))/(LN(2)/2)*V172*Y172*VLOOKUP('Données projet'!$B$9,Paramètres!$A$1:$I$89,3,0)*0.475*44/12</f>
        <v>1.3306097100590433E-16</v>
      </c>
      <c r="AC172" s="22">
        <f t="shared" si="163"/>
        <v>25.796320327981618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5.6843418860808015E-13</v>
      </c>
      <c r="AJ172" s="13">
        <f>AI172*VLOOKUP('Données projet'!$B$10,Paramètres!$A$1:$I$89,3,0)*VLOOKUP('Données projet'!$B$10,Paramètres!$A$1:$I$89,5,0)</f>
        <v>2.2907897800905631E-13</v>
      </c>
      <c r="AK172" s="13">
        <f t="shared" si="164"/>
        <v>3.1248920576624499E-12</v>
      </c>
      <c r="AL172" s="20">
        <f t="shared" si="165"/>
        <v>5.8414995537945398E-12</v>
      </c>
      <c r="AM172" s="59">
        <f t="shared" si="113"/>
        <v>293.33333333333917</v>
      </c>
      <c r="AN172" s="59">
        <f ca="1">AVERAGE(OFFSET($AM$3,0,0,'Données projet'!$E$10+1,1))-AVERAGE(OFFSET($H$3,0,0,'Données projet'!$E$10+1,1))</f>
        <v>314.16268026911069</v>
      </c>
      <c r="AO172" s="59">
        <f t="shared" si="144"/>
        <v>265.23571072429735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35.125540311612326</v>
      </c>
      <c r="AV172" s="21">
        <f>EXP(-LN(2)/25)*AV171+(1-EXP(-LN(2)/25))/(LN(2)/25)*Calculateur!AQ172*Calculateur!AS172*VLOOKUP('Données projet'!$B$10,Paramètres!$A$1:$I$89,3,0)*0.475*44/12</f>
        <v>6.0719626734909351</v>
      </c>
      <c r="AW172" s="21">
        <f>EXP(-LN(2)/2)*AW171+(1-EXP(-LN(2)/2))/(LN(2)/2)*AQ172*AT172*VLOOKUP('Données projet'!$B$10,Paramètres!$A$1:$I$89,3,0)*0.475*44/12</f>
        <v>3.1185624636093399E-12</v>
      </c>
      <c r="AX172" s="21">
        <f t="shared" si="166"/>
        <v>41.197502985106382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498.96166705451697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2.2737367544323206E-13</v>
      </c>
      <c r="O173" s="13">
        <f>N173*VLOOKUP('Données projet'!$B$9,Paramètres!$A$1:$I$89,3,0)*VLOOKUP('Données projet'!$B$9,Paramètres!$A$1:$I$89,5,0)</f>
        <v>1.064108801074326E-13</v>
      </c>
      <c r="P173" s="13">
        <f t="shared" si="141"/>
        <v>1.5870730813698654E-12</v>
      </c>
      <c r="Q173" s="20">
        <f t="shared" si="162"/>
        <v>2.9494845662396269E-12</v>
      </c>
      <c r="R173" s="59">
        <f t="shared" si="109"/>
        <v>293.33333333333627</v>
      </c>
      <c r="S173" s="59">
        <f ca="1">AVERAGE(OFFSET($R$3,0,0,'Données projet'!$E$9+1,1))-AVERAGE(OFFSET($H$3,0,0,'Données projet'!$E$9+1,1))</f>
        <v>234.83702199169585</v>
      </c>
      <c r="T173" s="59">
        <f t="shared" si="142"/>
        <v>248.83008816685089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22.899818245447353</v>
      </c>
      <c r="AA173" s="21">
        <f>EXP(-LN(2)/25)*AA172+(1-EXP(-LN(2)/25))/(LN(2)/25)*Calculateur!V173*Calculateur!X173*VLOOKUP('Données projet'!$B$9,Paramètres!$A$1:$I$89,3,0)*0.475*44/12</f>
        <v>2.3717888029027714</v>
      </c>
      <c r="AB173" s="21">
        <f>EXP(-LN(2)/2)*AB172+(1-EXP(-LN(2)/2))/(LN(2)/2)*V173*Y173*VLOOKUP('Données projet'!$B$9,Paramètres!$A$1:$I$89,3,0)*0.475*44/12</f>
        <v>9.4088314909541541E-17</v>
      </c>
      <c r="AC173" s="22">
        <f t="shared" si="163"/>
        <v>25.271607048350123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5.6843418860808015E-13</v>
      </c>
      <c r="AJ173" s="13">
        <f>AI173*VLOOKUP('Données projet'!$B$10,Paramètres!$A$1:$I$89,3,0)*VLOOKUP('Données projet'!$B$10,Paramètres!$A$1:$I$89,5,0)</f>
        <v>2.2907897800905631E-13</v>
      </c>
      <c r="AK173" s="13">
        <f t="shared" si="164"/>
        <v>3.1248920576624499E-12</v>
      </c>
      <c r="AL173" s="20">
        <f t="shared" si="165"/>
        <v>5.8414995537945398E-12</v>
      </c>
      <c r="AM173" s="59">
        <f t="shared" si="113"/>
        <v>293.33333333333917</v>
      </c>
      <c r="AN173" s="59">
        <f ca="1">AVERAGE(OFFSET($AM$3,0,0,'Données projet'!$E$10+1,1))-AVERAGE(OFFSET($H$3,0,0,'Données projet'!$E$10+1,1))</f>
        <v>314.16268026911069</v>
      </c>
      <c r="AO173" s="59">
        <f t="shared" si="144"/>
        <v>265.23571072429735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34.436749890565707</v>
      </c>
      <c r="AV173" s="21">
        <f>EXP(-LN(2)/25)*AV172+(1-EXP(-LN(2)/25))/(LN(2)/25)*Calculateur!AQ173*Calculateur!AS173*VLOOKUP('Données projet'!$B$10,Paramètres!$A$1:$I$89,3,0)*0.475*44/12</f>
        <v>5.9059245348736864</v>
      </c>
      <c r="AW173" s="21">
        <f>EXP(-LN(2)/2)*AW172+(1-EXP(-LN(2)/2))/(LN(2)/2)*AQ173*AT173*VLOOKUP('Données projet'!$B$10,Paramètres!$A$1:$I$89,3,0)*0.475*44/12</f>
        <v>2.20515666557199E-12</v>
      </c>
      <c r="AX173" s="21">
        <f t="shared" si="166"/>
        <v>40.342674425441594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500.1410630733302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2.2737367544323206E-13</v>
      </c>
      <c r="O174" s="13">
        <f>N174*VLOOKUP('Données projet'!$B$9,Paramètres!$A$1:$I$89,3,0)*VLOOKUP('Données projet'!$B$9,Paramètres!$A$1:$I$89,5,0)</f>
        <v>1.064108801074326E-13</v>
      </c>
      <c r="P174" s="13">
        <f t="shared" si="141"/>
        <v>1.5870730813698654E-12</v>
      </c>
      <c r="Q174" s="20">
        <f t="shared" si="162"/>
        <v>2.9494845662396269E-12</v>
      </c>
      <c r="R174" s="59">
        <f t="shared" si="109"/>
        <v>293.33333333333627</v>
      </c>
      <c r="S174" s="59">
        <f ca="1">AVERAGE(OFFSET($R$3,0,0,'Données projet'!$E$9+1,1))-AVERAGE(OFFSET($H$3,0,0,'Données projet'!$E$9+1,1))</f>
        <v>234.83702199169585</v>
      </c>
      <c r="T174" s="59">
        <f t="shared" si="142"/>
        <v>248.83008816685089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22.450766777164084</v>
      </c>
      <c r="AA174" s="21">
        <f>EXP(-LN(2)/25)*AA173+(1-EXP(-LN(2)/25))/(LN(2)/25)*Calculateur!V174*Calculateur!X174*VLOOKUP('Données projet'!$B$9,Paramètres!$A$1:$I$89,3,0)*0.475*44/12</f>
        <v>2.3069321133604426</v>
      </c>
      <c r="AB174" s="21">
        <f>EXP(-LN(2)/2)*AB173+(1-EXP(-LN(2)/2))/(LN(2)/2)*V174*Y174*VLOOKUP('Données projet'!$B$9,Paramètres!$A$1:$I$89,3,0)*0.475*44/12</f>
        <v>6.6530485502952166E-17</v>
      </c>
      <c r="AC174" s="22">
        <f t="shared" si="163"/>
        <v>24.757698890524527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5.6843418860808015E-13</v>
      </c>
      <c r="AJ174" s="13">
        <f>AI174*VLOOKUP('Données projet'!$B$10,Paramètres!$A$1:$I$89,3,0)*VLOOKUP('Données projet'!$B$10,Paramètres!$A$1:$I$89,5,0)</f>
        <v>2.2907897800905631E-13</v>
      </c>
      <c r="AK174" s="13">
        <f t="shared" si="164"/>
        <v>3.1248920576624499E-12</v>
      </c>
      <c r="AL174" s="20">
        <f t="shared" si="165"/>
        <v>5.8414995537945398E-12</v>
      </c>
      <c r="AM174" s="59">
        <f t="shared" si="113"/>
        <v>293.33333333333917</v>
      </c>
      <c r="AN174" s="59">
        <f ca="1">AVERAGE(OFFSET($AM$3,0,0,'Données projet'!$E$10+1,1))-AVERAGE(OFFSET($H$3,0,0,'Données projet'!$E$10+1,1))</f>
        <v>314.16268026911069</v>
      </c>
      <c r="AO174" s="59">
        <f t="shared" si="144"/>
        <v>265.23571072429735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33.76146622955514</v>
      </c>
      <c r="AV174" s="21">
        <f>EXP(-LN(2)/25)*AV173+(1-EXP(-LN(2)/25))/(LN(2)/25)*Calculateur!AQ174*Calculateur!AS174*VLOOKUP('Données projet'!$B$10,Paramètres!$A$1:$I$89,3,0)*0.475*44/12</f>
        <v>5.7444267178884925</v>
      </c>
      <c r="AW174" s="21">
        <f>EXP(-LN(2)/2)*AW173+(1-EXP(-LN(2)/2))/(LN(2)/2)*AQ174*AT174*VLOOKUP('Données projet'!$B$10,Paramètres!$A$1:$I$89,3,0)*0.475*44/12</f>
        <v>1.5592812318046699E-12</v>
      </c>
      <c r="AX174" s="21">
        <f t="shared" si="166"/>
        <v>39.50589294744519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501.32030364051411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2.2737367544323206E-13</v>
      </c>
      <c r="O175" s="13">
        <f>N175*VLOOKUP('Données projet'!$B$9,Paramètres!$A$1:$I$89,3,0)*VLOOKUP('Données projet'!$B$9,Paramètres!$A$1:$I$89,5,0)</f>
        <v>1.064108801074326E-13</v>
      </c>
      <c r="P175" s="13">
        <f t="shared" si="141"/>
        <v>1.5870730813698654E-12</v>
      </c>
      <c r="Q175" s="20">
        <f t="shared" si="162"/>
        <v>2.9494845662396269E-12</v>
      </c>
      <c r="R175" s="59">
        <f t="shared" si="109"/>
        <v>293.33333333333627</v>
      </c>
      <c r="S175" s="59">
        <f ca="1">AVERAGE(OFFSET($R$3,0,0,'Données projet'!$E$9+1,1))-AVERAGE(OFFSET($H$3,0,0,'Données projet'!$E$9+1,1))</f>
        <v>234.83702199169585</v>
      </c>
      <c r="T175" s="59">
        <f t="shared" si="142"/>
        <v>248.83008816685089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22.010520934279498</v>
      </c>
      <c r="AA175" s="21">
        <f>EXP(-LN(2)/25)*AA174+(1-EXP(-LN(2)/25))/(LN(2)/25)*Calculateur!V175*Calculateur!X175*VLOOKUP('Données projet'!$B$9,Paramètres!$A$1:$I$89,3,0)*0.475*44/12</f>
        <v>2.2438489334043141</v>
      </c>
      <c r="AB175" s="21">
        <f>EXP(-LN(2)/2)*AB174+(1-EXP(-LN(2)/2))/(LN(2)/2)*V175*Y175*VLOOKUP('Données projet'!$B$9,Paramètres!$A$1:$I$89,3,0)*0.475*44/12</f>
        <v>4.7044157454770771E-17</v>
      </c>
      <c r="AC175" s="22">
        <f t="shared" si="163"/>
        <v>24.254369867683813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5.6843418860808015E-13</v>
      </c>
      <c r="AJ175" s="13">
        <f>AI175*VLOOKUP('Données projet'!$B$10,Paramètres!$A$1:$I$89,3,0)*VLOOKUP('Données projet'!$B$10,Paramètres!$A$1:$I$89,5,0)</f>
        <v>2.2907897800905631E-13</v>
      </c>
      <c r="AK175" s="13">
        <f t="shared" si="164"/>
        <v>3.1248920576624499E-12</v>
      </c>
      <c r="AL175" s="20">
        <f t="shared" si="165"/>
        <v>5.8414995537945398E-12</v>
      </c>
      <c r="AM175" s="59">
        <f t="shared" si="113"/>
        <v>293.33333333333917</v>
      </c>
      <c r="AN175" s="59">
        <f ca="1">AVERAGE(OFFSET($AM$3,0,0,'Données projet'!$E$10+1,1))-AVERAGE(OFFSET($H$3,0,0,'Données projet'!$E$10+1,1))</f>
        <v>314.16268026911069</v>
      </c>
      <c r="AO175" s="59">
        <f t="shared" si="144"/>
        <v>265.23571072429735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33.099424469254629</v>
      </c>
      <c r="AV175" s="21">
        <f>EXP(-LN(2)/25)*AV174+(1-EXP(-LN(2)/25))/(LN(2)/25)*Calculateur!AQ175*Calculateur!AS175*VLOOKUP('Données projet'!$B$10,Paramètres!$A$1:$I$89,3,0)*0.475*44/12</f>
        <v>5.5873450672015599</v>
      </c>
      <c r="AW175" s="21">
        <f>EXP(-LN(2)/2)*AW174+(1-EXP(-LN(2)/2))/(LN(2)/2)*AQ175*AT175*VLOOKUP('Données projet'!$B$10,Paramètres!$A$1:$I$89,3,0)*0.475*44/12</f>
        <v>1.102578332785995E-12</v>
      </c>
      <c r="AX175" s="21">
        <f t="shared" si="166"/>
        <v>38.686769536457291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502.49938976472833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2.2737367544323206E-13</v>
      </c>
      <c r="O176" s="13">
        <f>N176*VLOOKUP('Données projet'!$B$9,Paramètres!$A$1:$I$89,3,0)*VLOOKUP('Données projet'!$B$9,Paramètres!$A$1:$I$89,5,0)</f>
        <v>1.064108801074326E-13</v>
      </c>
      <c r="P176" s="13">
        <f t="shared" si="141"/>
        <v>1.5870730813698654E-12</v>
      </c>
      <c r="Q176" s="20">
        <f t="shared" si="162"/>
        <v>2.9494845662396269E-12</v>
      </c>
      <c r="R176" s="59">
        <f t="shared" si="109"/>
        <v>293.33333333333627</v>
      </c>
      <c r="S176" s="59">
        <f ca="1">AVERAGE(OFFSET($R$3,0,0,'Données projet'!$E$9+1,1))-AVERAGE(OFFSET($H$3,0,0,'Données projet'!$E$9+1,1))</f>
        <v>234.83702199169585</v>
      </c>
      <c r="T176" s="59">
        <f t="shared" si="142"/>
        <v>248.83008816685089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21.578908043850429</v>
      </c>
      <c r="AA176" s="21">
        <f>EXP(-LN(2)/25)*AA175+(1-EXP(-LN(2)/25))/(LN(2)/25)*Calculateur!V176*Calculateur!X176*VLOOKUP('Données projet'!$B$9,Paramètres!$A$1:$I$89,3,0)*0.475*44/12</f>
        <v>2.1824907663214863</v>
      </c>
      <c r="AB176" s="21">
        <f>EXP(-LN(2)/2)*AB175+(1-EXP(-LN(2)/2))/(LN(2)/2)*V176*Y176*VLOOKUP('Données projet'!$B$9,Paramètres!$A$1:$I$89,3,0)*0.475*44/12</f>
        <v>3.3265242751476083E-17</v>
      </c>
      <c r="AC176" s="22">
        <f t="shared" si="163"/>
        <v>23.761398810171915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5.6843418860808015E-13</v>
      </c>
      <c r="AJ176" s="13">
        <f>AI176*VLOOKUP('Données projet'!$B$10,Paramètres!$A$1:$I$89,3,0)*VLOOKUP('Données projet'!$B$10,Paramètres!$A$1:$I$89,5,0)</f>
        <v>2.2907897800905631E-13</v>
      </c>
      <c r="AK176" s="13">
        <f t="shared" si="164"/>
        <v>3.1248920576624499E-12</v>
      </c>
      <c r="AL176" s="20">
        <f t="shared" si="165"/>
        <v>5.8414995537945398E-12</v>
      </c>
      <c r="AM176" s="59">
        <f t="shared" si="113"/>
        <v>293.33333333333917</v>
      </c>
      <c r="AN176" s="59">
        <f ca="1">AVERAGE(OFFSET($AM$3,0,0,'Données projet'!$E$10+1,1))-AVERAGE(OFFSET($H$3,0,0,'Données projet'!$E$10+1,1))</f>
        <v>314.16268026911069</v>
      </c>
      <c r="AO176" s="59">
        <f t="shared" si="144"/>
        <v>265.23571072429735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32.450364944068006</v>
      </c>
      <c r="AV176" s="21">
        <f>EXP(-LN(2)/25)*AV175+(1-EXP(-LN(2)/25))/(LN(2)/25)*Calculateur!AQ176*Calculateur!AS176*VLOOKUP('Données projet'!$B$10,Paramètres!$A$1:$I$89,3,0)*0.475*44/12</f>
        <v>5.4345588225132264</v>
      </c>
      <c r="AW176" s="21">
        <f>EXP(-LN(2)/2)*AW175+(1-EXP(-LN(2)/2))/(LN(2)/2)*AQ176*AT176*VLOOKUP('Données projet'!$B$10,Paramètres!$A$1:$I$89,3,0)*0.475*44/12</f>
        <v>7.7964061590233497E-13</v>
      </c>
      <c r="AX176" s="21">
        <f t="shared" si="166"/>
        <v>37.884923766582013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503.67832244229692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2.2737367544323206E-13</v>
      </c>
      <c r="O177" s="13">
        <f>N177*VLOOKUP('Données projet'!$B$9,Paramètres!$A$1:$I$89,3,0)*VLOOKUP('Données projet'!$B$9,Paramètres!$A$1:$I$89,5,0)</f>
        <v>1.064108801074326E-13</v>
      </c>
      <c r="P177" s="13">
        <f t="shared" si="141"/>
        <v>1.5870730813698654E-12</v>
      </c>
      <c r="Q177" s="20">
        <f t="shared" si="162"/>
        <v>2.9494845662396269E-12</v>
      </c>
      <c r="R177" s="59">
        <f t="shared" si="109"/>
        <v>293.33333333333627</v>
      </c>
      <c r="S177" s="59">
        <f ca="1">AVERAGE(OFFSET($R$3,0,0,'Données projet'!$E$9+1,1))-AVERAGE(OFFSET($H$3,0,0,'Données projet'!$E$9+1,1))</f>
        <v>234.83702199169585</v>
      </c>
      <c r="T177" s="59">
        <f t="shared" si="142"/>
        <v>248.83008816685089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21.155758818944808</v>
      </c>
      <c r="AA177" s="21">
        <f>EXP(-LN(2)/25)*AA176+(1-EXP(-LN(2)/25))/(LN(2)/25)*Calculateur!V177*Calculateur!X177*VLOOKUP('Données projet'!$B$9,Paramètres!$A$1:$I$89,3,0)*0.475*44/12</f>
        <v>2.1228104415442242</v>
      </c>
      <c r="AB177" s="21">
        <f>EXP(-LN(2)/2)*AB176+(1-EXP(-LN(2)/2))/(LN(2)/2)*V177*Y177*VLOOKUP('Données projet'!$B$9,Paramètres!$A$1:$I$89,3,0)*0.475*44/12</f>
        <v>2.3522078727385385E-17</v>
      </c>
      <c r="AC177" s="22">
        <f t="shared" si="163"/>
        <v>23.278569260489032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5.6843418860808015E-13</v>
      </c>
      <c r="AJ177" s="13">
        <f>AI177*VLOOKUP('Données projet'!$B$10,Paramètres!$A$1:$I$89,3,0)*VLOOKUP('Données projet'!$B$10,Paramètres!$A$1:$I$89,5,0)</f>
        <v>2.2907897800905631E-13</v>
      </c>
      <c r="AK177" s="13">
        <f t="shared" si="164"/>
        <v>3.1248920576624499E-12</v>
      </c>
      <c r="AL177" s="20">
        <f t="shared" si="165"/>
        <v>5.8414995537945398E-12</v>
      </c>
      <c r="AM177" s="59">
        <f t="shared" si="113"/>
        <v>293.33333333333917</v>
      </c>
      <c r="AN177" s="59">
        <f ca="1">AVERAGE(OFFSET($AM$3,0,0,'Données projet'!$E$10+1,1))-AVERAGE(OFFSET($H$3,0,0,'Données projet'!$E$10+1,1))</f>
        <v>314.16268026911069</v>
      </c>
      <c r="AO177" s="59">
        <f t="shared" si="144"/>
        <v>265.23571072429735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31.814033080283075</v>
      </c>
      <c r="AV177" s="21">
        <f>EXP(-LN(2)/25)*AV176+(1-EXP(-LN(2)/25))/(LN(2)/25)*Calculateur!AQ177*Calculateur!AS177*VLOOKUP('Données projet'!$B$10,Paramètres!$A$1:$I$89,3,0)*0.475*44/12</f>
        <v>5.2859505257205743</v>
      </c>
      <c r="AW177" s="21">
        <f>EXP(-LN(2)/2)*AW176+(1-EXP(-LN(2)/2))/(LN(2)/2)*AQ177*AT177*VLOOKUP('Données projet'!$B$10,Paramètres!$A$1:$I$89,3,0)*0.475*44/12</f>
        <v>5.5128916639299751E-13</v>
      </c>
      <c r="AX177" s="21">
        <f t="shared" si="166"/>
        <v>37.099983606004201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504.85710265742932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2.2737367544323206E-13</v>
      </c>
      <c r="O178" s="13">
        <f>N178*VLOOKUP('Données projet'!$B$9,Paramètres!$A$1:$I$89,3,0)*VLOOKUP('Données projet'!$B$9,Paramètres!$A$1:$I$89,5,0)</f>
        <v>1.064108801074326E-13</v>
      </c>
      <c r="P178" s="13">
        <f t="shared" si="141"/>
        <v>1.5870730813698654E-12</v>
      </c>
      <c r="Q178" s="20">
        <f t="shared" si="162"/>
        <v>2.9494845662396269E-12</v>
      </c>
      <c r="R178" s="59">
        <f t="shared" si="109"/>
        <v>293.33333333333627</v>
      </c>
      <c r="S178" s="59">
        <f ca="1">AVERAGE(OFFSET($R$3,0,0,'Données projet'!$E$9+1,1))-AVERAGE(OFFSET($H$3,0,0,'Données projet'!$E$9+1,1))</f>
        <v>234.83702199169585</v>
      </c>
      <c r="T178" s="59">
        <f t="shared" si="142"/>
        <v>248.83008816685089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20.740907292244042</v>
      </c>
      <c r="AA178" s="21">
        <f>EXP(-LN(2)/25)*AA177+(1-EXP(-LN(2)/25))/(LN(2)/25)*Calculateur!V178*Calculateur!X178*VLOOKUP('Données projet'!$B$9,Paramètres!$A$1:$I$89,3,0)*0.475*44/12</f>
        <v>2.064762078386448</v>
      </c>
      <c r="AB178" s="21">
        <f>EXP(-LN(2)/2)*AB177+(1-EXP(-LN(2)/2))/(LN(2)/2)*V178*Y178*VLOOKUP('Données projet'!$B$9,Paramètres!$A$1:$I$89,3,0)*0.475*44/12</f>
        <v>1.6632621375738042E-17</v>
      </c>
      <c r="AC178" s="22">
        <f t="shared" si="163"/>
        <v>22.80566937063049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5.6843418860808015E-13</v>
      </c>
      <c r="AJ178" s="13">
        <f>AI178*VLOOKUP('Données projet'!$B$10,Paramètres!$A$1:$I$89,3,0)*VLOOKUP('Données projet'!$B$10,Paramètres!$A$1:$I$89,5,0)</f>
        <v>2.2907897800905631E-13</v>
      </c>
      <c r="AK178" s="13">
        <f t="shared" si="164"/>
        <v>3.1248920576624499E-12</v>
      </c>
      <c r="AL178" s="20">
        <f t="shared" si="165"/>
        <v>5.8414995537945398E-12</v>
      </c>
      <c r="AM178" s="59">
        <f t="shared" si="113"/>
        <v>293.33333333333917</v>
      </c>
      <c r="AN178" s="59">
        <f ca="1">AVERAGE(OFFSET($AM$3,0,0,'Données projet'!$E$10+1,1))-AVERAGE(OFFSET($H$3,0,0,'Données projet'!$E$10+1,1))</f>
        <v>314.16268026911069</v>
      </c>
      <c r="AO178" s="59">
        <f t="shared" si="144"/>
        <v>265.23571072429735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31.190179296222855</v>
      </c>
      <c r="AV178" s="21">
        <f>EXP(-LN(2)/25)*AV177+(1-EXP(-LN(2)/25))/(LN(2)/25)*Calculateur!AQ178*Calculateur!AS178*VLOOKUP('Données projet'!$B$10,Paramètres!$A$1:$I$89,3,0)*0.475*44/12</f>
        <v>5.1414059306186886</v>
      </c>
      <c r="AW178" s="21">
        <f>EXP(-LN(2)/2)*AW177+(1-EXP(-LN(2)/2))/(LN(2)/2)*AQ178*AT178*VLOOKUP('Données projet'!$B$10,Paramètres!$A$1:$I$89,3,0)*0.475*44/12</f>
        <v>3.8982030795116748E-13</v>
      </c>
      <c r="AX178" s="21">
        <f t="shared" si="166"/>
        <v>36.331585226841931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506.03573138243593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2.2737367544323206E-13</v>
      </c>
      <c r="O179" s="13">
        <f>N179*VLOOKUP('Données projet'!$B$9,Paramètres!$A$1:$I$89,3,0)*VLOOKUP('Données projet'!$B$9,Paramètres!$A$1:$I$89,5,0)</f>
        <v>1.064108801074326E-13</v>
      </c>
      <c r="P179" s="13">
        <f t="shared" si="141"/>
        <v>1.5870730813698654E-12</v>
      </c>
      <c r="Q179" s="20">
        <f t="shared" si="162"/>
        <v>2.9494845662396269E-12</v>
      </c>
      <c r="R179" s="59">
        <f t="shared" si="109"/>
        <v>293.33333333333627</v>
      </c>
      <c r="S179" s="59">
        <f ca="1">AVERAGE(OFFSET($R$3,0,0,'Données projet'!$E$9+1,1))-AVERAGE(OFFSET($H$3,0,0,'Données projet'!$E$9+1,1))</f>
        <v>234.83702199169585</v>
      </c>
      <c r="T179" s="59">
        <f t="shared" si="142"/>
        <v>248.83008816685089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20.334190750947432</v>
      </c>
      <c r="AA179" s="21">
        <f>EXP(-LN(2)/25)*AA178+(1-EXP(-LN(2)/25))/(LN(2)/25)*Calculateur!V179*Calculateur!X179*VLOOKUP('Données projet'!$B$9,Paramètres!$A$1:$I$89,3,0)*0.475*44/12</f>
        <v>2.0083010507718519</v>
      </c>
      <c r="AB179" s="21">
        <f>EXP(-LN(2)/2)*AB178+(1-EXP(-LN(2)/2))/(LN(2)/2)*V179*Y179*VLOOKUP('Données projet'!$B$9,Paramètres!$A$1:$I$89,3,0)*0.475*44/12</f>
        <v>1.1761039363692693E-17</v>
      </c>
      <c r="AC179" s="22">
        <f t="shared" si="163"/>
        <v>22.342491801719284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5.6843418860808015E-13</v>
      </c>
      <c r="AJ179" s="13">
        <f>AI179*VLOOKUP('Données projet'!$B$10,Paramètres!$A$1:$I$89,3,0)*VLOOKUP('Données projet'!$B$10,Paramètres!$A$1:$I$89,5,0)</f>
        <v>2.2907897800905631E-13</v>
      </c>
      <c r="AK179" s="13">
        <f t="shared" si="164"/>
        <v>3.1248920576624499E-12</v>
      </c>
      <c r="AL179" s="20">
        <f t="shared" si="165"/>
        <v>5.8414995537945398E-12</v>
      </c>
      <c r="AM179" s="59">
        <f t="shared" si="113"/>
        <v>293.33333333333917</v>
      </c>
      <c r="AN179" s="59">
        <f ca="1">AVERAGE(OFFSET($AM$3,0,0,'Données projet'!$E$10+1,1))-AVERAGE(OFFSET($H$3,0,0,'Données projet'!$E$10+1,1))</f>
        <v>314.16268026911069</v>
      </c>
      <c r="AO179" s="59">
        <f t="shared" si="144"/>
        <v>265.23571072429735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30.578558904354818</v>
      </c>
      <c r="AV179" s="21">
        <f>EXP(-LN(2)/25)*AV178+(1-EXP(-LN(2)/25))/(LN(2)/25)*Calculateur!AQ179*Calculateur!AS179*VLOOKUP('Données projet'!$B$10,Paramètres!$A$1:$I$89,3,0)*0.475*44/12</f>
        <v>5.0008139150711335</v>
      </c>
      <c r="AW179" s="21">
        <f>EXP(-LN(2)/2)*AW178+(1-EXP(-LN(2)/2))/(LN(2)/2)*AQ179*AT179*VLOOKUP('Données projet'!$B$10,Paramètres!$A$1:$I$89,3,0)*0.475*44/12</f>
        <v>2.7564458319649875E-13</v>
      </c>
      <c r="AX179" s="21">
        <f t="shared" si="166"/>
        <v>35.579372819426226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507.21420957793879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2.2737367544323206E-13</v>
      </c>
      <c r="O180" s="13">
        <f>N180*VLOOKUP('Données projet'!$B$9,Paramètres!$A$1:$I$89,3,0)*VLOOKUP('Données projet'!$B$9,Paramètres!$A$1:$I$89,5,0)</f>
        <v>1.064108801074326E-13</v>
      </c>
      <c r="P180" s="13">
        <f t="shared" si="141"/>
        <v>1.5870730813698654E-12</v>
      </c>
      <c r="Q180" s="20">
        <f t="shared" si="162"/>
        <v>2.9494845662396269E-12</v>
      </c>
      <c r="R180" s="59">
        <f t="shared" si="109"/>
        <v>293.33333333333627</v>
      </c>
      <c r="S180" s="59">
        <f ca="1">AVERAGE(OFFSET($R$3,0,0,'Données projet'!$E$9+1,1))-AVERAGE(OFFSET($H$3,0,0,'Données projet'!$E$9+1,1))</f>
        <v>234.83702199169585</v>
      </c>
      <c r="T180" s="59">
        <f t="shared" si="142"/>
        <v>248.83008816685089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19.935449672953052</v>
      </c>
      <c r="AA180" s="21">
        <f>EXP(-LN(2)/25)*AA179+(1-EXP(-LN(2)/25))/(LN(2)/25)*Calculateur!V180*Calculateur!X180*VLOOKUP('Données projet'!$B$9,Paramètres!$A$1:$I$89,3,0)*0.475*44/12</f>
        <v>1.9533839529265333</v>
      </c>
      <c r="AB180" s="21">
        <f>EXP(-LN(2)/2)*AB179+(1-EXP(-LN(2)/2))/(LN(2)/2)*V180*Y180*VLOOKUP('Données projet'!$B$9,Paramètres!$A$1:$I$89,3,0)*0.475*44/12</f>
        <v>8.3163106878690208E-18</v>
      </c>
      <c r="AC180" s="22">
        <f t="shared" si="163"/>
        <v>21.888833625879585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5.6843418860808015E-13</v>
      </c>
      <c r="AJ180" s="13">
        <f>AI180*VLOOKUP('Données projet'!$B$10,Paramètres!$A$1:$I$89,3,0)*VLOOKUP('Données projet'!$B$10,Paramètres!$A$1:$I$89,5,0)</f>
        <v>2.2907897800905631E-13</v>
      </c>
      <c r="AK180" s="13">
        <f t="shared" si="164"/>
        <v>3.1248920576624499E-12</v>
      </c>
      <c r="AL180" s="20">
        <f t="shared" si="165"/>
        <v>5.8414995537945398E-12</v>
      </c>
      <c r="AM180" s="59">
        <f t="shared" si="113"/>
        <v>293.33333333333917</v>
      </c>
      <c r="AN180" s="59">
        <f ca="1">AVERAGE(OFFSET($AM$3,0,0,'Données projet'!$E$10+1,1))-AVERAGE(OFFSET($H$3,0,0,'Données projet'!$E$10+1,1))</f>
        <v>314.16268026911069</v>
      </c>
      <c r="AO180" s="59">
        <f t="shared" si="144"/>
        <v>265.23571072429735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29.97893201531971</v>
      </c>
      <c r="AV180" s="21">
        <f>EXP(-LN(2)/25)*AV179+(1-EXP(-LN(2)/25))/(LN(2)/25)*Calculateur!AQ180*Calculateur!AS180*VLOOKUP('Données projet'!$B$10,Paramètres!$A$1:$I$89,3,0)*0.475*44/12</f>
        <v>4.8640663955821388</v>
      </c>
      <c r="AW180" s="21">
        <f>EXP(-LN(2)/2)*AW179+(1-EXP(-LN(2)/2))/(LN(2)/2)*AQ180*AT180*VLOOKUP('Données projet'!$B$10,Paramètres!$A$1:$I$89,3,0)*0.475*44/12</f>
        <v>1.9491015397558374E-13</v>
      </c>
      <c r="AX180" s="21">
        <f t="shared" si="166"/>
        <v>34.842998410902041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508.39253819307743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2.2737367544323206E-13</v>
      </c>
      <c r="O181" s="13">
        <f>N181*VLOOKUP('Données projet'!$B$9,Paramètres!$A$1:$I$89,3,0)*VLOOKUP('Données projet'!$B$9,Paramètres!$A$1:$I$89,5,0)</f>
        <v>1.064108801074326E-13</v>
      </c>
      <c r="P181" s="13">
        <f t="shared" si="141"/>
        <v>1.5870730813698654E-12</v>
      </c>
      <c r="Q181" s="20">
        <f t="shared" si="162"/>
        <v>2.9494845662396269E-12</v>
      </c>
      <c r="R181" s="59">
        <f t="shared" si="109"/>
        <v>293.33333333333627</v>
      </c>
      <c r="S181" s="59">
        <f ca="1">AVERAGE(OFFSET($R$3,0,0,'Données projet'!$E$9+1,1))-AVERAGE(OFFSET($H$3,0,0,'Données projet'!$E$9+1,1))</f>
        <v>234.83702199169585</v>
      </c>
      <c r="T181" s="59">
        <f t="shared" si="142"/>
        <v>248.83008816685089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19.544527664290101</v>
      </c>
      <c r="AA181" s="21">
        <f>EXP(-LN(2)/25)*AA180+(1-EXP(-LN(2)/25))/(LN(2)/25)*Calculateur!V181*Calculateur!X181*VLOOKUP('Données projet'!$B$9,Paramètres!$A$1:$I$89,3,0)*0.475*44/12</f>
        <v>1.8999685660097596</v>
      </c>
      <c r="AB181" s="21">
        <f>EXP(-LN(2)/2)*AB180+(1-EXP(-LN(2)/2))/(LN(2)/2)*V181*Y181*VLOOKUP('Données projet'!$B$9,Paramètres!$A$1:$I$89,3,0)*0.475*44/12</f>
        <v>5.8805196818463463E-18</v>
      </c>
      <c r="AC181" s="22">
        <f t="shared" si="163"/>
        <v>21.444496230299862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5.6843418860808015E-13</v>
      </c>
      <c r="AJ181" s="13">
        <f>AI181*VLOOKUP('Données projet'!$B$10,Paramètres!$A$1:$I$89,3,0)*VLOOKUP('Données projet'!$B$10,Paramètres!$A$1:$I$89,5,0)</f>
        <v>2.2907897800905631E-13</v>
      </c>
      <c r="AK181" s="13">
        <f t="shared" si="164"/>
        <v>3.1248920576624499E-12</v>
      </c>
      <c r="AL181" s="20">
        <f t="shared" si="165"/>
        <v>5.8414995537945398E-12</v>
      </c>
      <c r="AM181" s="59">
        <f t="shared" si="113"/>
        <v>293.33333333333917</v>
      </c>
      <c r="AN181" s="59">
        <f ca="1">AVERAGE(OFFSET($AM$3,0,0,'Données projet'!$E$10+1,1))-AVERAGE(OFFSET($H$3,0,0,'Données projet'!$E$10+1,1))</f>
        <v>314.16268026911069</v>
      </c>
      <c r="AO181" s="59">
        <f t="shared" si="144"/>
        <v>265.23571072429735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29.391063443842292</v>
      </c>
      <c r="AV181" s="21">
        <f>EXP(-LN(2)/25)*AV180+(1-EXP(-LN(2)/25))/(LN(2)/25)*Calculateur!AQ181*Calculateur!AS181*VLOOKUP('Données projet'!$B$10,Paramètres!$A$1:$I$89,3,0)*0.475*44/12</f>
        <v>4.7310582442048101</v>
      </c>
      <c r="AW181" s="21">
        <f>EXP(-LN(2)/2)*AW180+(1-EXP(-LN(2)/2))/(LN(2)/2)*AQ181*AT181*VLOOKUP('Données projet'!$B$10,Paramètres!$A$1:$I$89,3,0)*0.475*44/12</f>
        <v>1.3782229159824938E-13</v>
      </c>
      <c r="AX181" s="21">
        <f t="shared" si="166"/>
        <v>34.122121688047237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509.57071816570965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2.2737367544323206E-13</v>
      </c>
      <c r="O182" s="13">
        <f>N182*VLOOKUP('Données projet'!$B$9,Paramètres!$A$1:$I$89,3,0)*VLOOKUP('Données projet'!$B$9,Paramètres!$A$1:$I$89,5,0)</f>
        <v>1.064108801074326E-13</v>
      </c>
      <c r="P182" s="13">
        <f t="shared" si="141"/>
        <v>1.5870730813698654E-12</v>
      </c>
      <c r="Q182" s="20">
        <f t="shared" si="162"/>
        <v>2.9494845662396269E-12</v>
      </c>
      <c r="R182" s="59">
        <f t="shared" si="109"/>
        <v>293.33333333333627</v>
      </c>
      <c r="S182" s="59">
        <f ca="1">AVERAGE(OFFSET($R$3,0,0,'Données projet'!$E$9+1,1))-AVERAGE(OFFSET($H$3,0,0,'Données projet'!$E$9+1,1))</f>
        <v>234.83702199169585</v>
      </c>
      <c r="T182" s="59">
        <f t="shared" si="142"/>
        <v>248.83008816685089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19.161271397778147</v>
      </c>
      <c r="AA182" s="21">
        <f>EXP(-LN(2)/25)*AA181+(1-EXP(-LN(2)/25))/(LN(2)/25)*Calculateur!V182*Calculateur!X182*VLOOKUP('Données projet'!$B$9,Paramètres!$A$1:$I$89,3,0)*0.475*44/12</f>
        <v>1.8480138256572183</v>
      </c>
      <c r="AB182" s="21">
        <f>EXP(-LN(2)/2)*AB181+(1-EXP(-LN(2)/2))/(LN(2)/2)*V182*Y182*VLOOKUP('Données projet'!$B$9,Paramètres!$A$1:$I$89,3,0)*0.475*44/12</f>
        <v>4.1581553439345104E-18</v>
      </c>
      <c r="AC182" s="22">
        <f t="shared" si="163"/>
        <v>21.009285223435366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5.6843418860808015E-13</v>
      </c>
      <c r="AJ182" s="13">
        <f>AI182*VLOOKUP('Données projet'!$B$10,Paramètres!$A$1:$I$89,3,0)*VLOOKUP('Données projet'!$B$10,Paramètres!$A$1:$I$89,5,0)</f>
        <v>2.2907897800905631E-13</v>
      </c>
      <c r="AK182" s="13">
        <f t="shared" si="164"/>
        <v>3.1248920576624499E-12</v>
      </c>
      <c r="AL182" s="20">
        <f t="shared" si="165"/>
        <v>5.8414995537945398E-12</v>
      </c>
      <c r="AM182" s="59">
        <f t="shared" si="113"/>
        <v>293.33333333333917</v>
      </c>
      <c r="AN182" s="59">
        <f ca="1">AVERAGE(OFFSET($AM$3,0,0,'Données projet'!$E$10+1,1))-AVERAGE(OFFSET($H$3,0,0,'Données projet'!$E$10+1,1))</f>
        <v>314.16268026911069</v>
      </c>
      <c r="AO182" s="59">
        <f t="shared" si="144"/>
        <v>265.23571072429735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28.814722616487124</v>
      </c>
      <c r="AV182" s="21">
        <f>EXP(-LN(2)/25)*AV181+(1-EXP(-LN(2)/25))/(LN(2)/25)*Calculateur!AQ182*Calculateur!AS182*VLOOKUP('Données projet'!$B$10,Paramètres!$A$1:$I$89,3,0)*0.475*44/12</f>
        <v>4.6016872077214899</v>
      </c>
      <c r="AW182" s="21">
        <f>EXP(-LN(2)/2)*AW181+(1-EXP(-LN(2)/2))/(LN(2)/2)*AQ182*AT182*VLOOKUP('Données projet'!$B$10,Paramètres!$A$1:$I$89,3,0)*0.475*44/12</f>
        <v>9.7455076987791871E-14</v>
      </c>
      <c r="AX182" s="21">
        <f t="shared" si="166"/>
        <v>33.416409824208714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510.74875042260788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2.2737367544323206E-13</v>
      </c>
      <c r="O183" s="13">
        <f>N183*VLOOKUP('Données projet'!$B$9,Paramètres!$A$1:$I$89,3,0)*VLOOKUP('Données projet'!$B$9,Paramètres!$A$1:$I$89,5,0)</f>
        <v>1.064108801074326E-13</v>
      </c>
      <c r="P183" s="13">
        <f t="shared" si="141"/>
        <v>1.5870730813698654E-12</v>
      </c>
      <c r="Q183" s="20">
        <f t="shared" si="162"/>
        <v>2.9494845662396269E-12</v>
      </c>
      <c r="R183" s="59">
        <f t="shared" si="109"/>
        <v>293.33333333333627</v>
      </c>
      <c r="S183" s="59">
        <f ca="1">AVERAGE(OFFSET($R$3,0,0,'Données projet'!$E$9+1,1))-AVERAGE(OFFSET($H$3,0,0,'Données projet'!$E$9+1,1))</f>
        <v>234.83702199169585</v>
      </c>
      <c r="T183" s="59">
        <f t="shared" si="142"/>
        <v>248.83008816685089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18.785530552889252</v>
      </c>
      <c r="AA183" s="21">
        <f>EXP(-LN(2)/25)*AA182+(1-EXP(-LN(2)/25))/(LN(2)/25)*Calculateur!V183*Calculateur!X183*VLOOKUP('Données projet'!$B$9,Paramètres!$A$1:$I$89,3,0)*0.475*44/12</f>
        <v>1.7974797904117983</v>
      </c>
      <c r="AB183" s="21">
        <f>EXP(-LN(2)/2)*AB182+(1-EXP(-LN(2)/2))/(LN(2)/2)*V183*Y183*VLOOKUP('Données projet'!$B$9,Paramètres!$A$1:$I$89,3,0)*0.475*44/12</f>
        <v>2.9402598409231732E-18</v>
      </c>
      <c r="AC183" s="22">
        <f t="shared" si="163"/>
        <v>20.583010343301051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5.6843418860808015E-13</v>
      </c>
      <c r="AJ183" s="13">
        <f>AI183*VLOOKUP('Données projet'!$B$10,Paramètres!$A$1:$I$89,3,0)*VLOOKUP('Données projet'!$B$10,Paramètres!$A$1:$I$89,5,0)</f>
        <v>2.2907897800905631E-13</v>
      </c>
      <c r="AK183" s="13">
        <f t="shared" si="164"/>
        <v>3.1248920576624499E-12</v>
      </c>
      <c r="AL183" s="20">
        <f t="shared" si="165"/>
        <v>5.8414995537945398E-12</v>
      </c>
      <c r="AM183" s="59">
        <f t="shared" si="113"/>
        <v>293.33333333333917</v>
      </c>
      <c r="AN183" s="59">
        <f ca="1">AVERAGE(OFFSET($AM$3,0,0,'Données projet'!$E$10+1,1))-AVERAGE(OFFSET($H$3,0,0,'Données projet'!$E$10+1,1))</f>
        <v>314.16268026911069</v>
      </c>
      <c r="AO183" s="59">
        <f t="shared" si="144"/>
        <v>265.23571072429735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28.249683481223197</v>
      </c>
      <c r="AV183" s="21">
        <f>EXP(-LN(2)/25)*AV182+(1-EXP(-LN(2)/25))/(LN(2)/25)*Calculateur!AQ183*Calculateur!AS183*VLOOKUP('Données projet'!$B$10,Paramètres!$A$1:$I$89,3,0)*0.475*44/12</f>
        <v>4.4758538290341328</v>
      </c>
      <c r="AW183" s="21">
        <f>EXP(-LN(2)/2)*AW182+(1-EXP(-LN(2)/2))/(LN(2)/2)*AQ183*AT183*VLOOKUP('Données projet'!$B$10,Paramètres!$A$1:$I$89,3,0)*0.475*44/12</f>
        <v>6.8911145799124688E-14</v>
      </c>
      <c r="AX183" s="21">
        <f t="shared" si="166"/>
        <v>32.725537310257401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511.92663587965137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2.2737367544323206E-13</v>
      </c>
      <c r="O184" s="13">
        <f>N184*VLOOKUP('Données projet'!$B$9,Paramètres!$A$1:$I$89,3,0)*VLOOKUP('Données projet'!$B$9,Paramètres!$A$1:$I$89,5,0)</f>
        <v>1.064108801074326E-13</v>
      </c>
      <c r="P184" s="13">
        <f t="shared" si="141"/>
        <v>1.5870730813698654E-12</v>
      </c>
      <c r="Q184" s="20">
        <f t="shared" si="162"/>
        <v>2.9494845662396269E-12</v>
      </c>
      <c r="R184" s="59">
        <f t="shared" si="109"/>
        <v>293.33333333333627</v>
      </c>
      <c r="S184" s="59">
        <f ca="1">AVERAGE(OFFSET($R$3,0,0,'Données projet'!$E$9+1,1))-AVERAGE(OFFSET($H$3,0,0,'Données projet'!$E$9+1,1))</f>
        <v>234.83702199169585</v>
      </c>
      <c r="T184" s="59">
        <f t="shared" si="142"/>
        <v>248.83008816685089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18.417157756789344</v>
      </c>
      <c r="AA184" s="21">
        <f>EXP(-LN(2)/25)*AA183+(1-EXP(-LN(2)/25))/(LN(2)/25)*Calculateur!V184*Calculateur!X184*VLOOKUP('Données projet'!$B$9,Paramètres!$A$1:$I$89,3,0)*0.475*44/12</f>
        <v>1.7483276110176338</v>
      </c>
      <c r="AB184" s="21">
        <f>EXP(-LN(2)/2)*AB183+(1-EXP(-LN(2)/2))/(LN(2)/2)*V184*Y184*VLOOKUP('Données projet'!$B$9,Paramètres!$A$1:$I$89,3,0)*0.475*44/12</f>
        <v>2.0790776719672552E-18</v>
      </c>
      <c r="AC184" s="22">
        <f t="shared" si="163"/>
        <v>20.165485367806976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5.6843418860808015E-13</v>
      </c>
      <c r="AJ184" s="13">
        <f>AI184*VLOOKUP('Données projet'!$B$10,Paramètres!$A$1:$I$89,3,0)*VLOOKUP('Données projet'!$B$10,Paramètres!$A$1:$I$89,5,0)</f>
        <v>2.2907897800905631E-13</v>
      </c>
      <c r="AK184" s="13">
        <f t="shared" si="164"/>
        <v>3.1248920576624499E-12</v>
      </c>
      <c r="AL184" s="20">
        <f t="shared" si="165"/>
        <v>5.8414995537945398E-12</v>
      </c>
      <c r="AM184" s="59">
        <f t="shared" si="113"/>
        <v>293.33333333333917</v>
      </c>
      <c r="AN184" s="59">
        <f ca="1">AVERAGE(OFFSET($AM$3,0,0,'Données projet'!$E$10+1,1))-AVERAGE(OFFSET($H$3,0,0,'Données projet'!$E$10+1,1))</f>
        <v>314.16268026911069</v>
      </c>
      <c r="AO184" s="59">
        <f t="shared" si="144"/>
        <v>265.23571072429735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27.695724418761952</v>
      </c>
      <c r="AV184" s="21">
        <f>EXP(-LN(2)/25)*AV183+(1-EXP(-LN(2)/25))/(LN(2)/25)*Calculateur!AQ184*Calculateur!AS184*VLOOKUP('Données projet'!$B$10,Paramètres!$A$1:$I$89,3,0)*0.475*44/12</f>
        <v>4.3534613707042711</v>
      </c>
      <c r="AW184" s="21">
        <f>EXP(-LN(2)/2)*AW183+(1-EXP(-LN(2)/2))/(LN(2)/2)*AQ184*AT184*VLOOKUP('Données projet'!$B$10,Paramètres!$A$1:$I$89,3,0)*0.475*44/12</f>
        <v>4.8727538493895936E-14</v>
      </c>
      <c r="AX184" s="21">
        <f t="shared" si="166"/>
        <v>32.049185789466272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513.10437544201318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2.2737367544323206E-13</v>
      </c>
      <c r="O185" s="13">
        <f>N185*VLOOKUP('Données projet'!$B$9,Paramètres!$A$1:$I$89,3,0)*VLOOKUP('Données projet'!$B$9,Paramètres!$A$1:$I$89,5,0)</f>
        <v>1.064108801074326E-13</v>
      </c>
      <c r="P185" s="13">
        <f t="shared" si="141"/>
        <v>1.5870730813698654E-12</v>
      </c>
      <c r="Q185" s="20">
        <f t="shared" si="162"/>
        <v>2.9494845662396269E-12</v>
      </c>
      <c r="R185" s="59">
        <f t="shared" si="109"/>
        <v>293.33333333333627</v>
      </c>
      <c r="S185" s="59">
        <f ca="1">AVERAGE(OFFSET($R$3,0,0,'Données projet'!$E$9+1,1))-AVERAGE(OFFSET($H$3,0,0,'Données projet'!$E$9+1,1))</f>
        <v>234.83702199169585</v>
      </c>
      <c r="T185" s="59">
        <f t="shared" si="142"/>
        <v>248.83008816685089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18.056008526535734</v>
      </c>
      <c r="AA185" s="21">
        <f>EXP(-LN(2)/25)*AA184+(1-EXP(-LN(2)/25))/(LN(2)/25)*Calculateur!V185*Calculateur!X185*VLOOKUP('Données projet'!$B$9,Paramètres!$A$1:$I$89,3,0)*0.475*44/12</f>
        <v>1.7005195005538034</v>
      </c>
      <c r="AB185" s="21">
        <f>EXP(-LN(2)/2)*AB184+(1-EXP(-LN(2)/2))/(LN(2)/2)*V185*Y185*VLOOKUP('Données projet'!$B$9,Paramètres!$A$1:$I$89,3,0)*0.475*44/12</f>
        <v>1.4701299204615866E-18</v>
      </c>
      <c r="AC185" s="22">
        <f t="shared" si="163"/>
        <v>19.756528027089537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5.6843418860808015E-13</v>
      </c>
      <c r="AJ185" s="13">
        <f>AI185*VLOOKUP('Données projet'!$B$10,Paramètres!$A$1:$I$89,3,0)*VLOOKUP('Données projet'!$B$10,Paramètres!$A$1:$I$89,5,0)</f>
        <v>2.2907897800905631E-13</v>
      </c>
      <c r="AK185" s="13">
        <f t="shared" si="164"/>
        <v>3.1248920576624499E-12</v>
      </c>
      <c r="AL185" s="20">
        <f t="shared" si="165"/>
        <v>5.8414995537945398E-12</v>
      </c>
      <c r="AM185" s="59">
        <f t="shared" si="113"/>
        <v>293.33333333333917</v>
      </c>
      <c r="AN185" s="59">
        <f ca="1">AVERAGE(OFFSET($AM$3,0,0,'Données projet'!$E$10+1,1))-AVERAGE(OFFSET($H$3,0,0,'Données projet'!$E$10+1,1))</f>
        <v>314.16268026911069</v>
      </c>
      <c r="AO185" s="59">
        <f t="shared" si="144"/>
        <v>265.23571072429735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27.152628155633906</v>
      </c>
      <c r="AV185" s="21">
        <f>EXP(-LN(2)/25)*AV184+(1-EXP(-LN(2)/25))/(LN(2)/25)*Calculateur!AQ185*Calculateur!AS185*VLOOKUP('Données projet'!$B$10,Paramètres!$A$1:$I$89,3,0)*0.475*44/12</f>
        <v>4.2344157405837795</v>
      </c>
      <c r="AW185" s="21">
        <f>EXP(-LN(2)/2)*AW184+(1-EXP(-LN(2)/2))/(LN(2)/2)*AQ185*AT185*VLOOKUP('Données projet'!$B$10,Paramètres!$A$1:$I$89,3,0)*0.475*44/12</f>
        <v>3.4455572899562344E-14</v>
      </c>
      <c r="AX185" s="21">
        <f t="shared" si="166"/>
        <v>31.387043896217719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514.28197000434375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2.2737367544323206E-13</v>
      </c>
      <c r="O186" s="13">
        <f>N186*VLOOKUP('Données projet'!$B$9,Paramètres!$A$1:$I$89,3,0)*VLOOKUP('Données projet'!$B$9,Paramètres!$A$1:$I$89,5,0)</f>
        <v>1.064108801074326E-13</v>
      </c>
      <c r="P186" s="13">
        <f t="shared" si="141"/>
        <v>1.5870730813698654E-12</v>
      </c>
      <c r="Q186" s="20">
        <f t="shared" si="162"/>
        <v>2.9494845662396269E-12</v>
      </c>
      <c r="R186" s="59">
        <f t="shared" si="109"/>
        <v>293.33333333333627</v>
      </c>
      <c r="S186" s="59">
        <f ca="1">AVERAGE(OFFSET($R$3,0,0,'Données projet'!$E$9+1,1))-AVERAGE(OFFSET($H$3,0,0,'Données projet'!$E$9+1,1))</f>
        <v>234.83702199169585</v>
      </c>
      <c r="T186" s="59">
        <f t="shared" si="142"/>
        <v>248.83008816685089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17.701941212408119</v>
      </c>
      <c r="AA186" s="21">
        <f>EXP(-LN(2)/25)*AA185+(1-EXP(-LN(2)/25))/(LN(2)/25)*Calculateur!V186*Calculateur!X186*VLOOKUP('Données projet'!$B$9,Paramètres!$A$1:$I$89,3,0)*0.475*44/12</f>
        <v>1.6540187053847257</v>
      </c>
      <c r="AB186" s="21">
        <f>EXP(-LN(2)/2)*AB185+(1-EXP(-LN(2)/2))/(LN(2)/2)*V186*Y186*VLOOKUP('Données projet'!$B$9,Paramètres!$A$1:$I$89,3,0)*0.475*44/12</f>
        <v>1.0395388359836276E-18</v>
      </c>
      <c r="AC186" s="22">
        <f t="shared" si="163"/>
        <v>19.355959917792845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5.6843418860808015E-13</v>
      </c>
      <c r="AJ186" s="13">
        <f>AI186*VLOOKUP('Données projet'!$B$10,Paramètres!$A$1:$I$89,3,0)*VLOOKUP('Données projet'!$B$10,Paramètres!$A$1:$I$89,5,0)</f>
        <v>2.2907897800905631E-13</v>
      </c>
      <c r="AK186" s="13">
        <f t="shared" si="164"/>
        <v>3.1248920576624499E-12</v>
      </c>
      <c r="AL186" s="20">
        <f t="shared" si="165"/>
        <v>5.8414995537945398E-12</v>
      </c>
      <c r="AM186" s="59">
        <f t="shared" si="113"/>
        <v>293.33333333333917</v>
      </c>
      <c r="AN186" s="59">
        <f ca="1">AVERAGE(OFFSET($AM$3,0,0,'Données projet'!$E$10+1,1))-AVERAGE(OFFSET($H$3,0,0,'Données projet'!$E$10+1,1))</f>
        <v>314.16268026911069</v>
      </c>
      <c r="AO186" s="59">
        <f t="shared" si="144"/>
        <v>265.23571072429735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26.620181678969789</v>
      </c>
      <c r="AV186" s="21">
        <f>EXP(-LN(2)/25)*AV185+(1-EXP(-LN(2)/25))/(LN(2)/25)*Calculateur!AQ186*Calculateur!AS186*VLOOKUP('Données projet'!$B$10,Paramètres!$A$1:$I$89,3,0)*0.475*44/12</f>
        <v>4.1186254194792697</v>
      </c>
      <c r="AW186" s="21">
        <f>EXP(-LN(2)/2)*AW185+(1-EXP(-LN(2)/2))/(LN(2)/2)*AQ186*AT186*VLOOKUP('Données projet'!$B$10,Paramètres!$A$1:$I$89,3,0)*0.475*44/12</f>
        <v>2.4363769246947968E-14</v>
      </c>
      <c r="AX186" s="21">
        <f t="shared" si="166"/>
        <v>30.738807098449083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515.45942045095035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2.2737367544323206E-13</v>
      </c>
      <c r="O187" s="13">
        <f>N187*VLOOKUP('Données projet'!$B$9,Paramètres!$A$1:$I$89,3,0)*VLOOKUP('Données projet'!$B$9,Paramètres!$A$1:$I$89,5,0)</f>
        <v>1.064108801074326E-13</v>
      </c>
      <c r="P187" s="13">
        <f t="shared" si="141"/>
        <v>1.5870730813698654E-12</v>
      </c>
      <c r="Q187" s="20">
        <f t="shared" si="162"/>
        <v>2.9494845662396269E-12</v>
      </c>
      <c r="R187" s="59">
        <f t="shared" si="109"/>
        <v>293.33333333333627</v>
      </c>
      <c r="S187" s="59">
        <f ca="1">AVERAGE(OFFSET($R$3,0,0,'Données projet'!$E$9+1,1))-AVERAGE(OFFSET($H$3,0,0,'Données projet'!$E$9+1,1))</f>
        <v>234.83702199169585</v>
      </c>
      <c r="T187" s="59">
        <f t="shared" si="142"/>
        <v>248.83008816685089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17.354816942350809</v>
      </c>
      <c r="AA187" s="21">
        <f>EXP(-LN(2)/25)*AA186+(1-EXP(-LN(2)/25))/(LN(2)/25)*Calculateur!V187*Calculateur!X187*VLOOKUP('Données projet'!$B$9,Paramètres!$A$1:$I$89,3,0)*0.475*44/12</f>
        <v>1.6087894769049169</v>
      </c>
      <c r="AB187" s="21">
        <f>EXP(-LN(2)/2)*AB186+(1-EXP(-LN(2)/2))/(LN(2)/2)*V187*Y187*VLOOKUP('Données projet'!$B$9,Paramètres!$A$1:$I$89,3,0)*0.475*44/12</f>
        <v>7.3506496023079329E-19</v>
      </c>
      <c r="AC187" s="22">
        <f t="shared" si="163"/>
        <v>18.963606419255726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5.6843418860808015E-13</v>
      </c>
      <c r="AJ187" s="13">
        <f>AI187*VLOOKUP('Données projet'!$B$10,Paramètres!$A$1:$I$89,3,0)*VLOOKUP('Données projet'!$B$10,Paramètres!$A$1:$I$89,5,0)</f>
        <v>2.2907897800905631E-13</v>
      </c>
      <c r="AK187" s="13">
        <f t="shared" si="164"/>
        <v>3.1248920576624499E-12</v>
      </c>
      <c r="AL187" s="20">
        <f t="shared" si="165"/>
        <v>5.8414995537945398E-12</v>
      </c>
      <c r="AM187" s="59">
        <f t="shared" si="113"/>
        <v>293.33333333333917</v>
      </c>
      <c r="AN187" s="59">
        <f ca="1">AVERAGE(OFFSET($AM$3,0,0,'Données projet'!$E$10+1,1))-AVERAGE(OFFSET($H$3,0,0,'Données projet'!$E$10+1,1))</f>
        <v>314.16268026911069</v>
      </c>
      <c r="AO187" s="59">
        <f t="shared" si="144"/>
        <v>265.23571072429735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26.098176152952774</v>
      </c>
      <c r="AV187" s="21">
        <f>EXP(-LN(2)/25)*AV186+(1-EXP(-LN(2)/25))/(LN(2)/25)*Calculateur!AQ187*Calculateur!AS187*VLOOKUP('Données projet'!$B$10,Paramètres!$A$1:$I$89,3,0)*0.475*44/12</f>
        <v>4.0060013907945118</v>
      </c>
      <c r="AW187" s="21">
        <f>EXP(-LN(2)/2)*AW186+(1-EXP(-LN(2)/2))/(LN(2)/2)*AQ187*AT187*VLOOKUP('Données projet'!$B$10,Paramètres!$A$1:$I$89,3,0)*0.475*44/12</f>
        <v>1.7227786449781172E-14</v>
      </c>
      <c r="AX187" s="21">
        <f t="shared" si="166"/>
        <v>30.104177543747305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516.63672765597119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2.2737367544323206E-13</v>
      </c>
      <c r="O188" s="13">
        <f>N188*VLOOKUP('Données projet'!$B$9,Paramètres!$A$1:$I$89,3,0)*VLOOKUP('Données projet'!$B$9,Paramètres!$A$1:$I$89,5,0)</f>
        <v>1.064108801074326E-13</v>
      </c>
      <c r="P188" s="13">
        <f t="shared" si="141"/>
        <v>1.5870730813698654E-12</v>
      </c>
      <c r="Q188" s="20">
        <f t="shared" si="162"/>
        <v>2.9494845662396269E-12</v>
      </c>
      <c r="R188" s="59">
        <f t="shared" si="109"/>
        <v>293.33333333333627</v>
      </c>
      <c r="S188" s="59">
        <f ca="1">AVERAGE(OFFSET($R$3,0,0,'Données projet'!$E$9+1,1))-AVERAGE(OFFSET($H$3,0,0,'Données projet'!$E$9+1,1))</f>
        <v>234.83702199169585</v>
      </c>
      <c r="T188" s="59">
        <f t="shared" si="142"/>
        <v>248.83008816685089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17.014499567504423</v>
      </c>
      <c r="AA188" s="21">
        <f>EXP(-LN(2)/25)*AA187+(1-EXP(-LN(2)/25))/(LN(2)/25)*Calculateur!V188*Calculateur!X188*VLOOKUP('Données projet'!$B$9,Paramètres!$A$1:$I$89,3,0)*0.475*44/12</f>
        <v>1.5647970440563903</v>
      </c>
      <c r="AB188" s="21">
        <f>EXP(-LN(2)/2)*AB187+(1-EXP(-LN(2)/2))/(LN(2)/2)*V188*Y188*VLOOKUP('Données projet'!$B$9,Paramètres!$A$1:$I$89,3,0)*0.475*44/12</f>
        <v>5.197694179918138E-19</v>
      </c>
      <c r="AC188" s="22">
        <f t="shared" si="163"/>
        <v>18.579296611560814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5.6843418860808015E-13</v>
      </c>
      <c r="AJ188" s="13">
        <f>AI188*VLOOKUP('Données projet'!$B$10,Paramètres!$A$1:$I$89,3,0)*VLOOKUP('Données projet'!$B$10,Paramètres!$A$1:$I$89,5,0)</f>
        <v>2.2907897800905631E-13</v>
      </c>
      <c r="AK188" s="13">
        <f t="shared" si="164"/>
        <v>3.1248920576624499E-12</v>
      </c>
      <c r="AL188" s="20">
        <f t="shared" si="165"/>
        <v>5.8414995537945398E-12</v>
      </c>
      <c r="AM188" s="59">
        <f t="shared" si="113"/>
        <v>293.33333333333917</v>
      </c>
      <c r="AN188" s="59">
        <f ca="1">AVERAGE(OFFSET($AM$3,0,0,'Données projet'!$E$10+1,1))-AVERAGE(OFFSET($H$3,0,0,'Données projet'!$E$10+1,1))</f>
        <v>314.16268026911069</v>
      </c>
      <c r="AO188" s="59">
        <f t="shared" si="144"/>
        <v>265.23571072429735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25.586406836909021</v>
      </c>
      <c r="AV188" s="21">
        <f>EXP(-LN(2)/25)*AV187+(1-EXP(-LN(2)/25))/(LN(2)/25)*Calculateur!AQ188*Calculateur!AS188*VLOOKUP('Données projet'!$B$10,Paramètres!$A$1:$I$89,3,0)*0.475*44/12</f>
        <v>3.8964570720967786</v>
      </c>
      <c r="AW188" s="21">
        <f>EXP(-LN(2)/2)*AW187+(1-EXP(-LN(2)/2))/(LN(2)/2)*AQ188*AT188*VLOOKUP('Données projet'!$B$10,Paramètres!$A$1:$I$89,3,0)*0.475*44/12</f>
        <v>1.2181884623473984E-14</v>
      </c>
      <c r="AX188" s="21">
        <f t="shared" si="166"/>
        <v>29.482863909005811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517.81389248354799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2.2737367544323206E-13</v>
      </c>
      <c r="O189" s="13">
        <f>N189*VLOOKUP('Données projet'!$B$9,Paramètres!$A$1:$I$89,3,0)*VLOOKUP('Données projet'!$B$9,Paramètres!$A$1:$I$89,5,0)</f>
        <v>1.064108801074326E-13</v>
      </c>
      <c r="P189" s="13">
        <f t="shared" si="141"/>
        <v>1.5870730813698654E-12</v>
      </c>
      <c r="Q189" s="20">
        <f t="shared" si="162"/>
        <v>2.9494845662396269E-12</v>
      </c>
      <c r="R189" s="59">
        <f t="shared" si="109"/>
        <v>293.33333333333627</v>
      </c>
      <c r="S189" s="59">
        <f ca="1">AVERAGE(OFFSET($R$3,0,0,'Données projet'!$E$9+1,1))-AVERAGE(OFFSET($H$3,0,0,'Données projet'!$E$9+1,1))</f>
        <v>234.83702199169585</v>
      </c>
      <c r="T189" s="59">
        <f t="shared" si="142"/>
        <v>248.83008816685089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16.680855608805672</v>
      </c>
      <c r="AA189" s="21">
        <f>EXP(-LN(2)/25)*AA188+(1-EXP(-LN(2)/25))/(LN(2)/25)*Calculateur!V189*Calculateur!X189*VLOOKUP('Données projet'!$B$9,Paramètres!$A$1:$I$89,3,0)*0.475*44/12</f>
        <v>1.5220075865975682</v>
      </c>
      <c r="AB189" s="21">
        <f>EXP(-LN(2)/2)*AB188+(1-EXP(-LN(2)/2))/(LN(2)/2)*V189*Y189*VLOOKUP('Données projet'!$B$9,Paramètres!$A$1:$I$89,3,0)*0.475*44/12</f>
        <v>3.6753248011539664E-19</v>
      </c>
      <c r="AC189" s="22">
        <f t="shared" si="163"/>
        <v>18.202863195403239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5.6843418860808015E-13</v>
      </c>
      <c r="AJ189" s="13">
        <f>AI189*VLOOKUP('Données projet'!$B$10,Paramètres!$A$1:$I$89,3,0)*VLOOKUP('Données projet'!$B$10,Paramètres!$A$1:$I$89,5,0)</f>
        <v>2.2907897800905631E-13</v>
      </c>
      <c r="AK189" s="13">
        <f t="shared" si="164"/>
        <v>3.1248920576624499E-12</v>
      </c>
      <c r="AL189" s="20">
        <f t="shared" si="165"/>
        <v>5.8414995537945398E-12</v>
      </c>
      <c r="AM189" s="59">
        <f t="shared" si="113"/>
        <v>293.33333333333917</v>
      </c>
      <c r="AN189" s="59">
        <f ca="1">AVERAGE(OFFSET($AM$3,0,0,'Données projet'!$E$10+1,1))-AVERAGE(OFFSET($H$3,0,0,'Données projet'!$E$10+1,1))</f>
        <v>314.16268026911069</v>
      </c>
      <c r="AO189" s="59">
        <f t="shared" si="144"/>
        <v>265.23571072429735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25.084673005004426</v>
      </c>
      <c r="AV189" s="21">
        <f>EXP(-LN(2)/25)*AV188+(1-EXP(-LN(2)/25))/(LN(2)/25)*Calculateur!AQ189*Calculateur!AS189*VLOOKUP('Données projet'!$B$10,Paramètres!$A$1:$I$89,3,0)*0.475*44/12</f>
        <v>3.7899082485545201</v>
      </c>
      <c r="AW189" s="21">
        <f>EXP(-LN(2)/2)*AW188+(1-EXP(-LN(2)/2))/(LN(2)/2)*AQ189*AT189*VLOOKUP('Données projet'!$B$10,Paramètres!$A$1:$I$89,3,0)*0.475*44/12</f>
        <v>8.613893224890586E-15</v>
      </c>
      <c r="AX189" s="21">
        <f t="shared" si="166"/>
        <v>28.874581253558954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518.99091578799244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2.2737367544323206E-13</v>
      </c>
      <c r="O190" s="13">
        <f>N190*VLOOKUP('Données projet'!$B$9,Paramètres!$A$1:$I$89,3,0)*VLOOKUP('Données projet'!$B$9,Paramètres!$A$1:$I$89,5,0)</f>
        <v>1.064108801074326E-13</v>
      </c>
      <c r="P190" s="13">
        <f t="shared" si="141"/>
        <v>1.5870730813698654E-12</v>
      </c>
      <c r="Q190" s="20">
        <f t="shared" si="162"/>
        <v>2.9494845662396269E-12</v>
      </c>
      <c r="R190" s="59">
        <f t="shared" si="109"/>
        <v>293.33333333333627</v>
      </c>
      <c r="S190" s="59">
        <f ca="1">AVERAGE(OFFSET($R$3,0,0,'Données projet'!$E$9+1,1))-AVERAGE(OFFSET($H$3,0,0,'Données projet'!$E$9+1,1))</f>
        <v>234.83702199169585</v>
      </c>
      <c r="T190" s="59">
        <f t="shared" si="142"/>
        <v>248.83008816685089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16.353754204634285</v>
      </c>
      <c r="AA190" s="21">
        <f>EXP(-LN(2)/25)*AA189+(1-EXP(-LN(2)/25))/(LN(2)/25)*Calculateur!V190*Calculateur!X190*VLOOKUP('Données projet'!$B$9,Paramètres!$A$1:$I$89,3,0)*0.475*44/12</f>
        <v>1.4803882091031573</v>
      </c>
      <c r="AB190" s="21">
        <f>EXP(-LN(2)/2)*AB189+(1-EXP(-LN(2)/2))/(LN(2)/2)*V190*Y190*VLOOKUP('Données projet'!$B$9,Paramètres!$A$1:$I$89,3,0)*0.475*44/12</f>
        <v>2.598847089959069E-19</v>
      </c>
      <c r="AC190" s="22">
        <f t="shared" si="163"/>
        <v>17.834142413737442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5.6843418860808015E-13</v>
      </c>
      <c r="AJ190" s="13">
        <f>AI190*VLOOKUP('Données projet'!$B$10,Paramètres!$A$1:$I$89,3,0)*VLOOKUP('Données projet'!$B$10,Paramètres!$A$1:$I$89,5,0)</f>
        <v>2.2907897800905631E-13</v>
      </c>
      <c r="AK190" s="13">
        <f t="shared" si="164"/>
        <v>3.1248920576624499E-12</v>
      </c>
      <c r="AL190" s="20">
        <f t="shared" si="165"/>
        <v>5.8414995537945398E-12</v>
      </c>
      <c r="AM190" s="59">
        <f t="shared" si="113"/>
        <v>293.33333333333917</v>
      </c>
      <c r="AN190" s="59">
        <f ca="1">AVERAGE(OFFSET($AM$3,0,0,'Données projet'!$E$10+1,1))-AVERAGE(OFFSET($H$3,0,0,'Données projet'!$E$10+1,1))</f>
        <v>314.16268026911069</v>
      </c>
      <c r="AO190" s="59">
        <f t="shared" si="144"/>
        <v>265.23571072429735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24.592777867516059</v>
      </c>
      <c r="AV190" s="21">
        <f>EXP(-LN(2)/25)*AV189+(1-EXP(-LN(2)/25))/(LN(2)/25)*Calculateur!AQ190*Calculateur!AS190*VLOOKUP('Données projet'!$B$10,Paramètres!$A$1:$I$89,3,0)*0.475*44/12</f>
        <v>3.686273008195184</v>
      </c>
      <c r="AW190" s="21">
        <f>EXP(-LN(2)/2)*AW189+(1-EXP(-LN(2)/2))/(LN(2)/2)*AQ190*AT190*VLOOKUP('Données projet'!$B$10,Paramètres!$A$1:$I$89,3,0)*0.475*44/12</f>
        <v>6.0909423117369919E-15</v>
      </c>
      <c r="AX190" s="21">
        <f t="shared" si="166"/>
        <v>28.279050875711249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520.16779841395021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2.2737367544323206E-13</v>
      </c>
      <c r="O191" s="13">
        <f>N191*VLOOKUP('Données projet'!$B$9,Paramètres!$A$1:$I$89,3,0)*VLOOKUP('Données projet'!$B$9,Paramètres!$A$1:$I$89,5,0)</f>
        <v>1.064108801074326E-13</v>
      </c>
      <c r="P191" s="13">
        <f t="shared" si="141"/>
        <v>1.5870730813698654E-12</v>
      </c>
      <c r="Q191" s="20">
        <f t="shared" si="162"/>
        <v>2.9494845662396269E-12</v>
      </c>
      <c r="R191" s="59">
        <f t="shared" si="109"/>
        <v>293.33333333333627</v>
      </c>
      <c r="S191" s="59">
        <f ca="1">AVERAGE(OFFSET($R$3,0,0,'Données projet'!$E$9+1,1))-AVERAGE(OFFSET($H$3,0,0,'Données projet'!$E$9+1,1))</f>
        <v>234.83702199169585</v>
      </c>
      <c r="T191" s="59">
        <f t="shared" si="142"/>
        <v>248.83008816685089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16.033067059486541</v>
      </c>
      <c r="AA191" s="21">
        <f>EXP(-LN(2)/25)*AA190+(1-EXP(-LN(2)/25))/(LN(2)/25)*Calculateur!V191*Calculateur!X191*VLOOKUP('Données projet'!$B$9,Paramètres!$A$1:$I$89,3,0)*0.475*44/12</f>
        <v>1.4399069156749991</v>
      </c>
      <c r="AB191" s="21">
        <f>EXP(-LN(2)/2)*AB190+(1-EXP(-LN(2)/2))/(LN(2)/2)*V191*Y191*VLOOKUP('Données projet'!$B$9,Paramètres!$A$1:$I$89,3,0)*0.475*44/12</f>
        <v>1.8376624005769832E-19</v>
      </c>
      <c r="AC191" s="22">
        <f t="shared" si="163"/>
        <v>17.47297397516154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5.6843418860808015E-13</v>
      </c>
      <c r="AJ191" s="13">
        <f>AI191*VLOOKUP('Données projet'!$B$10,Paramètres!$A$1:$I$89,3,0)*VLOOKUP('Données projet'!$B$10,Paramètres!$A$1:$I$89,5,0)</f>
        <v>2.2907897800905631E-13</v>
      </c>
      <c r="AK191" s="13">
        <f t="shared" si="164"/>
        <v>3.1248920576624499E-12</v>
      </c>
      <c r="AL191" s="20">
        <f t="shared" si="165"/>
        <v>5.8414995537945398E-12</v>
      </c>
      <c r="AM191" s="59">
        <f t="shared" si="113"/>
        <v>293.33333333333917</v>
      </c>
      <c r="AN191" s="59">
        <f ca="1">AVERAGE(OFFSET($AM$3,0,0,'Données projet'!$E$10+1,1))-AVERAGE(OFFSET($H$3,0,0,'Données projet'!$E$10+1,1))</f>
        <v>314.16268026911069</v>
      </c>
      <c r="AO191" s="59">
        <f t="shared" si="144"/>
        <v>265.23571072429735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24.110528493647429</v>
      </c>
      <c r="AV191" s="21">
        <f>EXP(-LN(2)/25)*AV190+(1-EXP(-LN(2)/25))/(LN(2)/25)*Calculateur!AQ191*Calculateur!AS191*VLOOKUP('Données projet'!$B$10,Paramètres!$A$1:$I$89,3,0)*0.475*44/12</f>
        <v>3.5854716789334145</v>
      </c>
      <c r="AW191" s="21">
        <f>EXP(-LN(2)/2)*AW190+(1-EXP(-LN(2)/2))/(LN(2)/2)*AQ191*AT191*VLOOKUP('Données projet'!$B$10,Paramètres!$A$1:$I$89,3,0)*0.475*44/12</f>
        <v>4.306946612445293E-15</v>
      </c>
      <c r="AX191" s="21">
        <f t="shared" si="166"/>
        <v>27.696000172580849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521.34454119656175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2.2737367544323206E-13</v>
      </c>
      <c r="O192" s="13">
        <f>N192*VLOOKUP('Données projet'!$B$9,Paramètres!$A$1:$I$89,3,0)*VLOOKUP('Données projet'!$B$9,Paramètres!$A$1:$I$89,5,0)</f>
        <v>1.064108801074326E-13</v>
      </c>
      <c r="P192" s="13">
        <f t="shared" si="141"/>
        <v>1.5870730813698654E-12</v>
      </c>
      <c r="Q192" s="20">
        <f t="shared" si="162"/>
        <v>2.9494845662396269E-12</v>
      </c>
      <c r="R192" s="59">
        <f t="shared" si="109"/>
        <v>293.33333333333627</v>
      </c>
      <c r="S192" s="59">
        <f ca="1">AVERAGE(OFFSET($R$3,0,0,'Données projet'!$E$9+1,1))-AVERAGE(OFFSET($H$3,0,0,'Données projet'!$E$9+1,1))</f>
        <v>234.83702199169585</v>
      </c>
      <c r="T192" s="59">
        <f t="shared" si="142"/>
        <v>248.83008816685089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15.7186683936553</v>
      </c>
      <c r="AA192" s="21">
        <f>EXP(-LN(2)/25)*AA191+(1-EXP(-LN(2)/25))/(LN(2)/25)*Calculateur!V192*Calculateur!X192*VLOOKUP('Données projet'!$B$9,Paramètres!$A$1:$I$89,3,0)*0.475*44/12</f>
        <v>1.4005325853444526</v>
      </c>
      <c r="AB192" s="21">
        <f>EXP(-LN(2)/2)*AB191+(1-EXP(-LN(2)/2))/(LN(2)/2)*V192*Y192*VLOOKUP('Données projet'!$B$9,Paramètres!$A$1:$I$89,3,0)*0.475*44/12</f>
        <v>1.2994235449795345E-19</v>
      </c>
      <c r="AC192" s="22">
        <f t="shared" si="163"/>
        <v>17.119200978999753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5.6843418860808015E-13</v>
      </c>
      <c r="AJ192" s="13">
        <f>AI192*VLOOKUP('Données projet'!$B$10,Paramètres!$A$1:$I$89,3,0)*VLOOKUP('Données projet'!$B$10,Paramètres!$A$1:$I$89,5,0)</f>
        <v>2.2907897800905631E-13</v>
      </c>
      <c r="AK192" s="13">
        <f t="shared" si="164"/>
        <v>3.1248920576624499E-12</v>
      </c>
      <c r="AL192" s="20">
        <f t="shared" si="165"/>
        <v>5.8414995537945398E-12</v>
      </c>
      <c r="AM192" s="59">
        <f t="shared" si="113"/>
        <v>293.33333333333917</v>
      </c>
      <c r="AN192" s="59">
        <f ca="1">AVERAGE(OFFSET($AM$3,0,0,'Données projet'!$E$10+1,1))-AVERAGE(OFFSET($H$3,0,0,'Données projet'!$E$10+1,1))</f>
        <v>314.16268026911069</v>
      </c>
      <c r="AO192" s="59">
        <f t="shared" si="144"/>
        <v>265.23571072429735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23.637735735857291</v>
      </c>
      <c r="AV192" s="21">
        <f>EXP(-LN(2)/25)*AV191+(1-EXP(-LN(2)/25))/(LN(2)/25)*Calculateur!AQ192*Calculateur!AS192*VLOOKUP('Données projet'!$B$10,Paramètres!$A$1:$I$89,3,0)*0.475*44/12</f>
        <v>3.4874267673212191</v>
      </c>
      <c r="AW192" s="21">
        <f>EXP(-LN(2)/2)*AW191+(1-EXP(-LN(2)/2))/(LN(2)/2)*AQ192*AT192*VLOOKUP('Données projet'!$B$10,Paramètres!$A$1:$I$89,3,0)*0.475*44/12</f>
        <v>3.045471155868496E-15</v>
      </c>
      <c r="AX192" s="21">
        <f t="shared" si="166"/>
        <v>27.125162503178512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522.52114496161767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2.2737367544323206E-13</v>
      </c>
      <c r="O193" s="13">
        <f>N193*VLOOKUP('Données projet'!$B$9,Paramètres!$A$1:$I$89,3,0)*VLOOKUP('Données projet'!$B$9,Paramètres!$A$1:$I$89,5,0)</f>
        <v>1.064108801074326E-13</v>
      </c>
      <c r="P193" s="13">
        <f t="shared" si="141"/>
        <v>1.5870730813698654E-12</v>
      </c>
      <c r="Q193" s="20">
        <f t="shared" si="162"/>
        <v>2.9494845662396269E-12</v>
      </c>
      <c r="R193" s="59">
        <f t="shared" si="109"/>
        <v>293.33333333333627</v>
      </c>
      <c r="S193" s="59">
        <f ca="1">AVERAGE(OFFSET($R$3,0,0,'Données projet'!$E$9+1,1))-AVERAGE(OFFSET($H$3,0,0,'Données projet'!$E$9+1,1))</f>
        <v>234.83702199169585</v>
      </c>
      <c r="T193" s="59">
        <f t="shared" si="142"/>
        <v>248.83008816685089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15.410434893896758</v>
      </c>
      <c r="AA193" s="21">
        <f>EXP(-LN(2)/25)*AA192+(1-EXP(-LN(2)/25))/(LN(2)/25)*Calculateur!V193*Calculateur!X193*VLOOKUP('Données projet'!$B$9,Paramètres!$A$1:$I$89,3,0)*0.475*44/12</f>
        <v>1.3622349481474008</v>
      </c>
      <c r="AB193" s="21">
        <f>EXP(-LN(2)/2)*AB192+(1-EXP(-LN(2)/2))/(LN(2)/2)*V193*Y193*VLOOKUP('Données projet'!$B$9,Paramètres!$A$1:$I$89,3,0)*0.475*44/12</f>
        <v>9.1883120028849161E-20</v>
      </c>
      <c r="AC193" s="22">
        <f t="shared" si="163"/>
        <v>16.772669842044159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5.6843418860808015E-13</v>
      </c>
      <c r="AJ193" s="13">
        <f>AI193*VLOOKUP('Données projet'!$B$10,Paramètres!$A$1:$I$89,3,0)*VLOOKUP('Données projet'!$B$10,Paramètres!$A$1:$I$89,5,0)</f>
        <v>2.2907897800905631E-13</v>
      </c>
      <c r="AK193" s="13">
        <f t="shared" si="164"/>
        <v>3.1248920576624499E-12</v>
      </c>
      <c r="AL193" s="20">
        <f t="shared" si="165"/>
        <v>5.8414995537945398E-12</v>
      </c>
      <c r="AM193" s="59">
        <f t="shared" si="113"/>
        <v>293.33333333333917</v>
      </c>
      <c r="AN193" s="59">
        <f ca="1">AVERAGE(OFFSET($AM$3,0,0,'Données projet'!$E$10+1,1))-AVERAGE(OFFSET($H$3,0,0,'Données projet'!$E$10+1,1))</f>
        <v>314.16268026911069</v>
      </c>
      <c r="AO193" s="59">
        <f t="shared" si="144"/>
        <v>265.23571072429735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23.17421415567231</v>
      </c>
      <c r="AV193" s="21">
        <f>EXP(-LN(2)/25)*AV192+(1-EXP(-LN(2)/25))/(LN(2)/25)*Calculateur!AQ193*Calculateur!AS193*VLOOKUP('Données projet'!$B$10,Paramètres!$A$1:$I$89,3,0)*0.475*44/12</f>
        <v>3.3920628989730175</v>
      </c>
      <c r="AW193" s="21">
        <f>EXP(-LN(2)/2)*AW192+(1-EXP(-LN(2)/2))/(LN(2)/2)*AQ193*AT193*VLOOKUP('Données projet'!$B$10,Paramètres!$A$1:$I$89,3,0)*0.475*44/12</f>
        <v>2.1534733062226465E-15</v>
      </c>
      <c r="AX193" s="21">
        <f t="shared" si="166"/>
        <v>26.56627705464533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523.69761052571369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2.2737367544323206E-13</v>
      </c>
      <c r="O194" s="13">
        <f>N194*VLOOKUP('Données projet'!$B$9,Paramètres!$A$1:$I$89,3,0)*VLOOKUP('Données projet'!$B$9,Paramètres!$A$1:$I$89,5,0)</f>
        <v>1.064108801074326E-13</v>
      </c>
      <c r="P194" s="13">
        <f t="shared" si="141"/>
        <v>1.5870730813698654E-12</v>
      </c>
      <c r="Q194" s="20">
        <f t="shared" si="162"/>
        <v>2.9494845662396269E-12</v>
      </c>
      <c r="R194" s="59">
        <f t="shared" si="109"/>
        <v>293.33333333333627</v>
      </c>
      <c r="S194" s="59">
        <f ca="1">AVERAGE(OFFSET($R$3,0,0,'Données projet'!$E$9+1,1))-AVERAGE(OFFSET($H$3,0,0,'Données projet'!$E$9+1,1))</f>
        <v>234.83702199169585</v>
      </c>
      <c r="T194" s="59">
        <f t="shared" si="142"/>
        <v>248.83008816685089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15.10824566506461</v>
      </c>
      <c r="AA194" s="21">
        <f>EXP(-LN(2)/25)*AA193+(1-EXP(-LN(2)/25))/(LN(2)/25)*Calculateur!V194*Calculateur!X194*VLOOKUP('Données projet'!$B$9,Paramètres!$A$1:$I$89,3,0)*0.475*44/12</f>
        <v>1.3249845618534877</v>
      </c>
      <c r="AB194" s="21">
        <f>EXP(-LN(2)/2)*AB193+(1-EXP(-LN(2)/2))/(LN(2)/2)*V194*Y194*VLOOKUP('Données projet'!$B$9,Paramètres!$A$1:$I$89,3,0)*0.475*44/12</f>
        <v>6.4971177248976725E-20</v>
      </c>
      <c r="AC194" s="22">
        <f t="shared" si="163"/>
        <v>16.433230226918099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5.6843418860808015E-13</v>
      </c>
      <c r="AJ194" s="13">
        <f>AI194*VLOOKUP('Données projet'!$B$10,Paramètres!$A$1:$I$89,3,0)*VLOOKUP('Données projet'!$B$10,Paramètres!$A$1:$I$89,5,0)</f>
        <v>2.2907897800905631E-13</v>
      </c>
      <c r="AK194" s="13">
        <f t="shared" si="164"/>
        <v>3.1248920576624499E-12</v>
      </c>
      <c r="AL194" s="20">
        <f t="shared" si="165"/>
        <v>5.8414995537945398E-12</v>
      </c>
      <c r="AM194" s="59">
        <f t="shared" si="113"/>
        <v>293.33333333333917</v>
      </c>
      <c r="AN194" s="59">
        <f ca="1">AVERAGE(OFFSET($AM$3,0,0,'Données projet'!$E$10+1,1))-AVERAGE(OFFSET($H$3,0,0,'Données projet'!$E$10+1,1))</f>
        <v>314.16268026911069</v>
      </c>
      <c r="AO194" s="59">
        <f t="shared" si="144"/>
        <v>265.23571072429735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22.719781950954509</v>
      </c>
      <c r="AV194" s="21">
        <f>EXP(-LN(2)/25)*AV193+(1-EXP(-LN(2)/25))/(LN(2)/25)*Calculateur!AQ194*Calculateur!AS194*VLOOKUP('Données projet'!$B$10,Paramètres!$A$1:$I$89,3,0)*0.475*44/12</f>
        <v>3.299306760619765</v>
      </c>
      <c r="AW194" s="21">
        <f>EXP(-LN(2)/2)*AW193+(1-EXP(-LN(2)/2))/(LN(2)/2)*AQ194*AT194*VLOOKUP('Données projet'!$B$10,Paramètres!$A$1:$I$89,3,0)*0.475*44/12</f>
        <v>1.522735577934248E-15</v>
      </c>
      <c r="AX194" s="21">
        <f t="shared" si="166"/>
        <v>26.019088711574273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524.87393869639902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2.2737367544323206E-13</v>
      </c>
      <c r="O195" s="13">
        <f>N195*VLOOKUP('Données projet'!$B$9,Paramètres!$A$1:$I$89,3,0)*VLOOKUP('Données projet'!$B$9,Paramètres!$A$1:$I$89,5,0)</f>
        <v>1.064108801074326E-13</v>
      </c>
      <c r="P195" s="13">
        <f t="shared" si="141"/>
        <v>1.5870730813698654E-12</v>
      </c>
      <c r="Q195" s="20">
        <f t="shared" si="162"/>
        <v>2.9494845662396269E-12</v>
      </c>
      <c r="R195" s="59">
        <f t="shared" ref="R195:R203" si="191">Q195+(I195+J195)*44/12</f>
        <v>293.33333333333627</v>
      </c>
      <c r="S195" s="59">
        <f ca="1">AVERAGE(OFFSET($R$3,0,0,'Données projet'!$E$9+1,1))-AVERAGE(OFFSET($H$3,0,0,'Données projet'!$E$9+1,1))</f>
        <v>234.83702199169585</v>
      </c>
      <c r="T195" s="59">
        <f t="shared" si="142"/>
        <v>248.83008816685089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14.811982182692631</v>
      </c>
      <c r="AA195" s="21">
        <f>EXP(-LN(2)/25)*AA194+(1-EXP(-LN(2)/25))/(LN(2)/25)*Calculateur!V195*Calculateur!X195*VLOOKUP('Données projet'!$B$9,Paramètres!$A$1:$I$89,3,0)*0.475*44/12</f>
        <v>1.2887527893316943</v>
      </c>
      <c r="AB195" s="21">
        <f>EXP(-LN(2)/2)*AB194+(1-EXP(-LN(2)/2))/(LN(2)/2)*V195*Y195*VLOOKUP('Données projet'!$B$9,Paramètres!$A$1:$I$89,3,0)*0.475*44/12</f>
        <v>4.5941560014424581E-20</v>
      </c>
      <c r="AC195" s="22">
        <f t="shared" si="163"/>
        <v>16.100734972024327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5.6843418860808015E-13</v>
      </c>
      <c r="AJ195" s="13">
        <f>AI195*VLOOKUP('Données projet'!$B$10,Paramètres!$A$1:$I$89,3,0)*VLOOKUP('Données projet'!$B$10,Paramètres!$A$1:$I$89,5,0)</f>
        <v>2.2907897800905631E-13</v>
      </c>
      <c r="AK195" s="13">
        <f t="shared" si="164"/>
        <v>3.1248920576624499E-12</v>
      </c>
      <c r="AL195" s="20">
        <f t="shared" si="165"/>
        <v>5.8414995537945398E-12</v>
      </c>
      <c r="AM195" s="59">
        <f t="shared" si="113"/>
        <v>293.33333333333917</v>
      </c>
      <c r="AN195" s="59">
        <f ca="1">AVERAGE(OFFSET($AM$3,0,0,'Données projet'!$E$10+1,1))-AVERAGE(OFFSET($H$3,0,0,'Données projet'!$E$10+1,1))</f>
        <v>314.16268026911069</v>
      </c>
      <c r="AO195" s="59">
        <f t="shared" si="144"/>
        <v>265.23571072429735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22.274260884594948</v>
      </c>
      <c r="AV195" s="21">
        <f>EXP(-LN(2)/25)*AV194+(1-EXP(-LN(2)/25))/(LN(2)/25)*Calculateur!AQ195*Calculateur!AS195*VLOOKUP('Données projet'!$B$10,Paramètres!$A$1:$I$89,3,0)*0.475*44/12</f>
        <v>3.2090870437476156</v>
      </c>
      <c r="AW195" s="21">
        <f>EXP(-LN(2)/2)*AW194+(1-EXP(-LN(2)/2))/(LN(2)/2)*AQ195*AT195*VLOOKUP('Données projet'!$B$10,Paramètres!$A$1:$I$89,3,0)*0.475*44/12</f>
        <v>1.0767366531113233E-15</v>
      </c>
      <c r="AX195" s="21">
        <f t="shared" si="166"/>
        <v>25.483347928342564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526.0501302723244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2.2737367544323206E-13</v>
      </c>
      <c r="O196" s="13">
        <f>N196*VLOOKUP('Données projet'!$B$9,Paramètres!$A$1:$I$89,3,0)*VLOOKUP('Données projet'!$B$9,Paramètres!$A$1:$I$89,5,0)</f>
        <v>1.064108801074326E-13</v>
      </c>
      <c r="P196" s="13">
        <f t="shared" si="141"/>
        <v>1.5870730813698654E-12</v>
      </c>
      <c r="Q196" s="20">
        <f t="shared" si="162"/>
        <v>2.9494845662396269E-12</v>
      </c>
      <c r="R196" s="59">
        <f t="shared" si="191"/>
        <v>293.33333333333627</v>
      </c>
      <c r="S196" s="59">
        <f ca="1">AVERAGE(OFFSET($R$3,0,0,'Données projet'!$E$9+1,1))-AVERAGE(OFFSET($H$3,0,0,'Données projet'!$E$9+1,1))</f>
        <v>234.83702199169585</v>
      </c>
      <c r="T196" s="59">
        <f t="shared" si="142"/>
        <v>248.83008816685089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14.521528246507085</v>
      </c>
      <c r="AA196" s="21">
        <f>EXP(-LN(2)/25)*AA195+(1-EXP(-LN(2)/25))/(LN(2)/25)*Calculateur!V196*Calculateur!X196*VLOOKUP('Données projet'!$B$9,Paramètres!$A$1:$I$89,3,0)*0.475*44/12</f>
        <v>1.2535117765348556</v>
      </c>
      <c r="AB196" s="21">
        <f>EXP(-LN(2)/2)*AB195+(1-EXP(-LN(2)/2))/(LN(2)/2)*V196*Y196*VLOOKUP('Données projet'!$B$9,Paramètres!$A$1:$I$89,3,0)*0.475*44/12</f>
        <v>3.2485588624488362E-20</v>
      </c>
      <c r="AC196" s="22">
        <f t="shared" si="163"/>
        <v>15.775040023041941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5.6843418860808015E-13</v>
      </c>
      <c r="AJ196" s="13">
        <f>AI196*VLOOKUP('Données projet'!$B$10,Paramètres!$A$1:$I$89,3,0)*VLOOKUP('Données projet'!$B$10,Paramètres!$A$1:$I$89,5,0)</f>
        <v>2.2907897800905631E-13</v>
      </c>
      <c r="AK196" s="13">
        <f t="shared" si="164"/>
        <v>3.1248920576624499E-12</v>
      </c>
      <c r="AL196" s="20">
        <f t="shared" si="165"/>
        <v>5.8414995537945398E-12</v>
      </c>
      <c r="AM196" s="59">
        <f t="shared" ref="AM196:AM203" si="193">AL196+(AD196+AE196)*44/12</f>
        <v>293.33333333333917</v>
      </c>
      <c r="AN196" s="59">
        <f ca="1">AVERAGE(OFFSET($AM$3,0,0,'Données projet'!$E$10+1,1))-AVERAGE(OFFSET($H$3,0,0,'Données projet'!$E$10+1,1))</f>
        <v>314.16268026911069</v>
      </c>
      <c r="AO196" s="59">
        <f t="shared" si="144"/>
        <v>265.23571072429735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21.83747621460568</v>
      </c>
      <c r="AV196" s="21">
        <f>EXP(-LN(2)/25)*AV195+(1-EXP(-LN(2)/25))/(LN(2)/25)*Calculateur!AQ196*Calculateur!AS196*VLOOKUP('Données projet'!$B$10,Paramètres!$A$1:$I$89,3,0)*0.475*44/12</f>
        <v>3.1213343897777839</v>
      </c>
      <c r="AW196" s="21">
        <f>EXP(-LN(2)/2)*AW195+(1-EXP(-LN(2)/2))/(LN(2)/2)*AQ196*AT196*VLOOKUP('Données projet'!$B$10,Paramètres!$A$1:$I$89,3,0)*0.475*44/12</f>
        <v>7.6136778896712399E-16</v>
      </c>
      <c r="AX196" s="21">
        <f t="shared" si="166"/>
        <v>24.958810604383462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527.22618604338504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2.2737367544323206E-13</v>
      </c>
      <c r="O197" s="13">
        <f>N197*VLOOKUP('Données projet'!$B$9,Paramètres!$A$1:$I$89,3,0)*VLOOKUP('Données projet'!$B$9,Paramètres!$A$1:$I$89,5,0)</f>
        <v>1.064108801074326E-13</v>
      </c>
      <c r="P197" s="13">
        <f t="shared" ref="P197:P203" si="203">EXP(-1.0587+0.8836*LN(O197)+0.284)</f>
        <v>1.5870730813698654E-12</v>
      </c>
      <c r="Q197" s="20">
        <f t="shared" si="162"/>
        <v>2.9494845662396269E-12</v>
      </c>
      <c r="R197" s="59">
        <f t="shared" si="191"/>
        <v>293.33333333333627</v>
      </c>
      <c r="S197" s="59">
        <f ca="1">AVERAGE(OFFSET($R$3,0,0,'Données projet'!$E$9+1,1))-AVERAGE(OFFSET($H$3,0,0,'Données projet'!$E$9+1,1))</f>
        <v>234.83702199169585</v>
      </c>
      <c r="T197" s="59">
        <f t="shared" ref="T197:T203" si="204">$T$3</f>
        <v>248.83008816685089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14.236769934850729</v>
      </c>
      <c r="AA197" s="21">
        <f>EXP(-LN(2)/25)*AA196+(1-EXP(-LN(2)/25))/(LN(2)/25)*Calculateur!V197*Calculateur!X197*VLOOKUP('Données projet'!$B$9,Paramètres!$A$1:$I$89,3,0)*0.475*44/12</f>
        <v>1.2192344310861905</v>
      </c>
      <c r="AB197" s="21">
        <f>EXP(-LN(2)/2)*AB196+(1-EXP(-LN(2)/2))/(LN(2)/2)*V197*Y197*VLOOKUP('Données projet'!$B$9,Paramètres!$A$1:$I$89,3,0)*0.475*44/12</f>
        <v>2.297078000721229E-20</v>
      </c>
      <c r="AC197" s="22">
        <f t="shared" si="163"/>
        <v>15.45600436593692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5.6843418860808015E-13</v>
      </c>
      <c r="AJ197" s="13">
        <f>AI197*VLOOKUP('Données projet'!$B$10,Paramètres!$A$1:$I$89,3,0)*VLOOKUP('Données projet'!$B$10,Paramètres!$A$1:$I$89,5,0)</f>
        <v>2.2907897800905631E-13</v>
      </c>
      <c r="AK197" s="13">
        <f t="shared" si="164"/>
        <v>3.1248920576624499E-12</v>
      </c>
      <c r="AL197" s="20">
        <f t="shared" si="165"/>
        <v>5.8414995537945398E-12</v>
      </c>
      <c r="AM197" s="59">
        <f t="shared" si="193"/>
        <v>293.33333333333917</v>
      </c>
      <c r="AN197" s="59">
        <f ca="1">AVERAGE(OFFSET($AM$3,0,0,'Données projet'!$E$10+1,1))-AVERAGE(OFFSET($H$3,0,0,'Données projet'!$E$10+1,1))</f>
        <v>314.16268026911069</v>
      </c>
      <c r="AO197" s="59">
        <f t="shared" ref="AO197:AO203" si="205">$AO$3</f>
        <v>265.23571072429735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21.409256625582557</v>
      </c>
      <c r="AV197" s="21">
        <f>EXP(-LN(2)/25)*AV196+(1-EXP(-LN(2)/25))/(LN(2)/25)*Calculateur!AQ197*Calculateur!AS197*VLOOKUP('Données projet'!$B$10,Paramètres!$A$1:$I$89,3,0)*0.475*44/12</f>
        <v>3.0359813367454689</v>
      </c>
      <c r="AW197" s="21">
        <f>EXP(-LN(2)/2)*AW196+(1-EXP(-LN(2)/2))/(LN(2)/2)*AQ197*AT197*VLOOKUP('Données projet'!$B$10,Paramètres!$A$1:$I$89,3,0)*0.475*44/12</f>
        <v>5.3836832655566163E-16</v>
      </c>
      <c r="AX197" s="21">
        <f t="shared" si="166"/>
        <v>24.445237962328026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528.40210679086135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2.2737367544323206E-13</v>
      </c>
      <c r="O198" s="13">
        <f>N198*VLOOKUP('Données projet'!$B$9,Paramètres!$A$1:$I$89,3,0)*VLOOKUP('Données projet'!$B$9,Paramètres!$A$1:$I$89,5,0)</f>
        <v>1.064108801074326E-13</v>
      </c>
      <c r="P198" s="13">
        <f t="shared" si="203"/>
        <v>1.5870730813698654E-12</v>
      </c>
      <c r="Q198" s="20">
        <f t="shared" si="162"/>
        <v>2.9494845662396269E-12</v>
      </c>
      <c r="R198" s="59">
        <f t="shared" si="191"/>
        <v>293.33333333333627</v>
      </c>
      <c r="S198" s="59">
        <f ca="1">AVERAGE(OFFSET($R$3,0,0,'Données projet'!$E$9+1,1))-AVERAGE(OFFSET($H$3,0,0,'Données projet'!$E$9+1,1))</f>
        <v>234.83702199169585</v>
      </c>
      <c r="T198" s="59">
        <f t="shared" si="204"/>
        <v>248.83008816685089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13.957595560000534</v>
      </c>
      <c r="AA198" s="21">
        <f>EXP(-LN(2)/25)*AA197+(1-EXP(-LN(2)/25))/(LN(2)/25)*Calculateur!V198*Calculateur!X198*VLOOKUP('Données projet'!$B$9,Paramètres!$A$1:$I$89,3,0)*0.475*44/12</f>
        <v>1.1858944014513864</v>
      </c>
      <c r="AB198" s="21">
        <f>EXP(-LN(2)/2)*AB197+(1-EXP(-LN(2)/2))/(LN(2)/2)*V198*Y198*VLOOKUP('Données projet'!$B$9,Paramètres!$A$1:$I$89,3,0)*0.475*44/12</f>
        <v>1.6242794312244181E-20</v>
      </c>
      <c r="AC198" s="22">
        <f t="shared" si="163"/>
        <v>15.143489961451921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5.6843418860808015E-13</v>
      </c>
      <c r="AJ198" s="13">
        <f>AI198*VLOOKUP('Données projet'!$B$10,Paramètres!$A$1:$I$89,3,0)*VLOOKUP('Données projet'!$B$10,Paramètres!$A$1:$I$89,5,0)</f>
        <v>2.2907897800905631E-13</v>
      </c>
      <c r="AK198" s="13">
        <f t="shared" si="164"/>
        <v>3.1248920576624499E-12</v>
      </c>
      <c r="AL198" s="20">
        <f t="shared" si="165"/>
        <v>5.8414995537945398E-12</v>
      </c>
      <c r="AM198" s="59">
        <f t="shared" si="193"/>
        <v>293.33333333333917</v>
      </c>
      <c r="AN198" s="59">
        <f ca="1">AVERAGE(OFFSET($AM$3,0,0,'Données projet'!$E$10+1,1))-AVERAGE(OFFSET($H$3,0,0,'Données projet'!$E$10+1,1))</f>
        <v>314.16268026911069</v>
      </c>
      <c r="AO198" s="59">
        <f t="shared" si="205"/>
        <v>265.23571072429735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20.989434161512019</v>
      </c>
      <c r="AV198" s="21">
        <f>EXP(-LN(2)/25)*AV197+(1-EXP(-LN(2)/25))/(LN(2)/25)*Calculateur!AQ198*Calculateur!AS198*VLOOKUP('Données projet'!$B$10,Paramètres!$A$1:$I$89,3,0)*0.475*44/12</f>
        <v>2.9529622674368445</v>
      </c>
      <c r="AW198" s="21">
        <f>EXP(-LN(2)/2)*AW197+(1-EXP(-LN(2)/2))/(LN(2)/2)*AQ198*AT198*VLOOKUP('Données projet'!$B$10,Paramètres!$A$1:$I$89,3,0)*0.475*44/12</f>
        <v>3.80683894483562E-16</v>
      </c>
      <c r="AX198" s="21">
        <f t="shared" si="166"/>
        <v>23.942396428948864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529.57789328755689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2.2737367544323206E-13</v>
      </c>
      <c r="O199" s="13">
        <f>N199*VLOOKUP('Données projet'!$B$9,Paramètres!$A$1:$I$89,3,0)*VLOOKUP('Données projet'!$B$9,Paramètres!$A$1:$I$89,5,0)</f>
        <v>1.064108801074326E-13</v>
      </c>
      <c r="P199" s="13">
        <f t="shared" si="203"/>
        <v>1.5870730813698654E-12</v>
      </c>
      <c r="Q199" s="20">
        <f t="shared" si="162"/>
        <v>2.9494845662396269E-12</v>
      </c>
      <c r="R199" s="59">
        <f t="shared" si="191"/>
        <v>293.33333333333627</v>
      </c>
      <c r="S199" s="59">
        <f ca="1">AVERAGE(OFFSET($R$3,0,0,'Données projet'!$E$9+1,1))-AVERAGE(OFFSET($H$3,0,0,'Données projet'!$E$9+1,1))</f>
        <v>234.83702199169585</v>
      </c>
      <c r="T199" s="59">
        <f t="shared" si="204"/>
        <v>248.83008816685089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13.683895624361597</v>
      </c>
      <c r="AA199" s="21">
        <f>EXP(-LN(2)/25)*AA198+(1-EXP(-LN(2)/25))/(LN(2)/25)*Calculateur!V199*Calculateur!X199*VLOOKUP('Données projet'!$B$9,Paramètres!$A$1:$I$89,3,0)*0.475*44/12</f>
        <v>1.153466056680222</v>
      </c>
      <c r="AB199" s="21">
        <f>EXP(-LN(2)/2)*AB198+(1-EXP(-LN(2)/2))/(LN(2)/2)*V199*Y199*VLOOKUP('Données projet'!$B$9,Paramètres!$A$1:$I$89,3,0)*0.475*44/12</f>
        <v>1.1485390003606145E-20</v>
      </c>
      <c r="AC199" s="22">
        <f t="shared" si="163"/>
        <v>14.837361681041818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5.6843418860808015E-13</v>
      </c>
      <c r="AJ199" s="13">
        <f>AI199*VLOOKUP('Données projet'!$B$10,Paramètres!$A$1:$I$89,3,0)*VLOOKUP('Données projet'!$B$10,Paramètres!$A$1:$I$89,5,0)</f>
        <v>2.2907897800905631E-13</v>
      </c>
      <c r="AK199" s="13">
        <f t="shared" si="164"/>
        <v>3.1248920576624499E-12</v>
      </c>
      <c r="AL199" s="20">
        <f t="shared" si="165"/>
        <v>5.8414995537945398E-12</v>
      </c>
      <c r="AM199" s="59">
        <f t="shared" si="193"/>
        <v>293.33333333333917</v>
      </c>
      <c r="AN199" s="59">
        <f ca="1">AVERAGE(OFFSET($AM$3,0,0,'Données projet'!$E$10+1,1))-AVERAGE(OFFSET($H$3,0,0,'Données projet'!$E$10+1,1))</f>
        <v>314.16268026911069</v>
      </c>
      <c r="AO199" s="59">
        <f t="shared" si="205"/>
        <v>265.23571072429735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20.577844159895484</v>
      </c>
      <c r="AV199" s="21">
        <f>EXP(-LN(2)/25)*AV198+(1-EXP(-LN(2)/25))/(LN(2)/25)*Calculateur!AQ199*Calculateur!AS199*VLOOKUP('Données projet'!$B$10,Paramètres!$A$1:$I$89,3,0)*0.475*44/12</f>
        <v>2.8722133589442476</v>
      </c>
      <c r="AW199" s="21">
        <f>EXP(-LN(2)/2)*AW198+(1-EXP(-LN(2)/2))/(LN(2)/2)*AQ199*AT199*VLOOKUP('Données projet'!$B$10,Paramètres!$A$1:$I$89,3,0)*0.475*44/12</f>
        <v>2.6918416327783081E-16</v>
      </c>
      <c r="AX199" s="21">
        <f t="shared" si="166"/>
        <v>23.450057518839731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530.75354629793264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2.2737367544323206E-13</v>
      </c>
      <c r="O200" s="13">
        <f>N200*VLOOKUP('Données projet'!$B$9,Paramètres!$A$1:$I$89,3,0)*VLOOKUP('Données projet'!$B$9,Paramètres!$A$1:$I$89,5,0)</f>
        <v>1.064108801074326E-13</v>
      </c>
      <c r="P200" s="13">
        <f t="shared" si="203"/>
        <v>1.5870730813698654E-12</v>
      </c>
      <c r="Q200" s="20">
        <f t="shared" si="162"/>
        <v>2.9494845662396269E-12</v>
      </c>
      <c r="R200" s="59">
        <f t="shared" si="191"/>
        <v>293.33333333333627</v>
      </c>
      <c r="S200" s="59">
        <f ca="1">AVERAGE(OFFSET($R$3,0,0,'Données projet'!$E$9+1,1))-AVERAGE(OFFSET($H$3,0,0,'Données projet'!$E$9+1,1))</f>
        <v>234.83702199169585</v>
      </c>
      <c r="T200" s="59">
        <f t="shared" si="204"/>
        <v>248.83008816685089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13.415562777520062</v>
      </c>
      <c r="AA200" s="21">
        <f>EXP(-LN(2)/25)*AA199+(1-EXP(-LN(2)/25))/(LN(2)/25)*Calculateur!V200*Calculateur!X200*VLOOKUP('Données projet'!$B$9,Paramètres!$A$1:$I$89,3,0)*0.475*44/12</f>
        <v>1.1219244667021577</v>
      </c>
      <c r="AB200" s="21">
        <f>EXP(-LN(2)/2)*AB199+(1-EXP(-LN(2)/2))/(LN(2)/2)*V200*Y200*VLOOKUP('Données projet'!$B$9,Paramètres!$A$1:$I$89,3,0)*0.475*44/12</f>
        <v>8.1213971561220906E-21</v>
      </c>
      <c r="AC200" s="22">
        <f t="shared" si="163"/>
        <v>14.53748724422222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5.6843418860808015E-13</v>
      </c>
      <c r="AJ200" s="13">
        <f>AI200*VLOOKUP('Données projet'!$B$10,Paramètres!$A$1:$I$89,3,0)*VLOOKUP('Données projet'!$B$10,Paramètres!$A$1:$I$89,5,0)</f>
        <v>2.2907897800905631E-13</v>
      </c>
      <c r="AK200" s="13">
        <f t="shared" si="164"/>
        <v>3.1248920576624499E-12</v>
      </c>
      <c r="AL200" s="20">
        <f t="shared" si="165"/>
        <v>5.8414995537945398E-12</v>
      </c>
      <c r="AM200" s="59">
        <f t="shared" si="193"/>
        <v>293.33333333333917</v>
      </c>
      <c r="AN200" s="59">
        <f ca="1">AVERAGE(OFFSET($AM$3,0,0,'Données projet'!$E$10+1,1))-AVERAGE(OFFSET($H$3,0,0,'Données projet'!$E$10+1,1))</f>
        <v>314.16268026911069</v>
      </c>
      <c r="AO200" s="59">
        <f t="shared" si="205"/>
        <v>265.23571072429735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20.17432518716554</v>
      </c>
      <c r="AV200" s="21">
        <f>EXP(-LN(2)/25)*AV199+(1-EXP(-LN(2)/25))/(LN(2)/25)*Calculateur!AQ200*Calculateur!AS200*VLOOKUP('Données projet'!$B$10,Paramètres!$A$1:$I$89,3,0)*0.475*44/12</f>
        <v>2.7936725336007813</v>
      </c>
      <c r="AW200" s="21">
        <f>EXP(-LN(2)/2)*AW199+(1-EXP(-LN(2)/2))/(LN(2)/2)*AQ200*AT200*VLOOKUP('Données projet'!$B$10,Paramètres!$A$1:$I$89,3,0)*0.475*44/12</f>
        <v>1.90341947241781E-16</v>
      </c>
      <c r="AX200" s="21">
        <f t="shared" si="166"/>
        <v>22.96799772076632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531.9290665782396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2.2737367544323206E-13</v>
      </c>
      <c r="O201" s="13">
        <f>N201*VLOOKUP('Données projet'!$B$9,Paramètres!$A$1:$I$89,3,0)*VLOOKUP('Données projet'!$B$9,Paramètres!$A$1:$I$89,5,0)</f>
        <v>1.064108801074326E-13</v>
      </c>
      <c r="P201" s="13">
        <f t="shared" si="203"/>
        <v>1.5870730813698654E-12</v>
      </c>
      <c r="Q201" s="20">
        <f t="shared" si="162"/>
        <v>2.9494845662396269E-12</v>
      </c>
      <c r="R201" s="59">
        <f t="shared" si="191"/>
        <v>293.33333333333627</v>
      </c>
      <c r="S201" s="59">
        <f ca="1">AVERAGE(OFFSET($R$3,0,0,'Données projet'!$E$9+1,1))-AVERAGE(OFFSET($H$3,0,0,'Données projet'!$E$9+1,1))</f>
        <v>234.83702199169585</v>
      </c>
      <c r="T201" s="59">
        <f t="shared" si="204"/>
        <v>248.83008816685089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13.152491774138214</v>
      </c>
      <c r="AA201" s="21">
        <f>EXP(-LN(2)/25)*AA200+(1-EXP(-LN(2)/25))/(LN(2)/25)*Calculateur!V201*Calculateur!X201*VLOOKUP('Données projet'!$B$9,Paramètres!$A$1:$I$89,3,0)*0.475*44/12</f>
        <v>1.0912453831607438</v>
      </c>
      <c r="AB201" s="21">
        <f>EXP(-LN(2)/2)*AB200+(1-EXP(-LN(2)/2))/(LN(2)/2)*V201*Y201*VLOOKUP('Données projet'!$B$9,Paramètres!$A$1:$I$89,3,0)*0.475*44/12</f>
        <v>5.7426950018030726E-21</v>
      </c>
      <c r="AC201" s="22">
        <f t="shared" si="163"/>
        <v>14.243737157298959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5.6843418860808015E-13</v>
      </c>
      <c r="AJ201" s="13">
        <f>AI201*VLOOKUP('Données projet'!$B$10,Paramètres!$A$1:$I$89,3,0)*VLOOKUP('Données projet'!$B$10,Paramètres!$A$1:$I$89,5,0)</f>
        <v>2.2907897800905631E-13</v>
      </c>
      <c r="AK201" s="13">
        <f t="shared" si="164"/>
        <v>3.1248920576624499E-12</v>
      </c>
      <c r="AL201" s="20">
        <f t="shared" si="165"/>
        <v>5.8414995537945398E-12</v>
      </c>
      <c r="AM201" s="59">
        <f t="shared" si="193"/>
        <v>293.33333333333917</v>
      </c>
      <c r="AN201" s="59">
        <f ca="1">AVERAGE(OFFSET($AM$3,0,0,'Données projet'!$E$10+1,1))-AVERAGE(OFFSET($H$3,0,0,'Données projet'!$E$10+1,1))</f>
        <v>314.16268026911069</v>
      </c>
      <c r="AO201" s="59">
        <f t="shared" si="205"/>
        <v>265.23571072429735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19.778718975368559</v>
      </c>
      <c r="AV201" s="21">
        <f>EXP(-LN(2)/25)*AV200+(1-EXP(-LN(2)/25))/(LN(2)/25)*Calculateur!AQ201*Calculateur!AS201*VLOOKUP('Données projet'!$B$10,Paramètres!$A$1:$I$89,3,0)*0.475*44/12</f>
        <v>2.7172794112566145</v>
      </c>
      <c r="AW201" s="21">
        <f>EXP(-LN(2)/2)*AW200+(1-EXP(-LN(2)/2))/(LN(2)/2)*AQ201*AT201*VLOOKUP('Données projet'!$B$10,Paramètres!$A$1:$I$89,3,0)*0.475*44/12</f>
        <v>1.3459208163891541E-16</v>
      </c>
      <c r="AX201" s="21">
        <f t="shared" si="166"/>
        <v>22.495998386625175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533.10445487664697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2.2737367544323206E-13</v>
      </c>
      <c r="O202" s="13">
        <f>N202*VLOOKUP('Données projet'!$B$9,Paramètres!$A$1:$I$89,3,0)*VLOOKUP('Données projet'!$B$9,Paramètres!$A$1:$I$89,5,0)</f>
        <v>1.064108801074326E-13</v>
      </c>
      <c r="P202" s="13">
        <f t="shared" si="203"/>
        <v>1.5870730813698654E-12</v>
      </c>
      <c r="Q202" s="20">
        <f t="shared" si="162"/>
        <v>2.9494845662396269E-12</v>
      </c>
      <c r="R202" s="59">
        <f t="shared" si="191"/>
        <v>293.33333333333627</v>
      </c>
      <c r="S202" s="59">
        <f ca="1">AVERAGE(OFFSET($R$3,0,0,'Données projet'!$E$9+1,1))-AVERAGE(OFFSET($H$3,0,0,'Données projet'!$E$9+1,1))</f>
        <v>234.83702199169585</v>
      </c>
      <c r="T202" s="59">
        <f t="shared" si="204"/>
        <v>248.83008816685089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12.894579432675217</v>
      </c>
      <c r="AA202" s="21">
        <f>EXP(-LN(2)/25)*AA201+(1-EXP(-LN(2)/25))/(LN(2)/25)*Calculateur!V202*Calculateur!X202*VLOOKUP('Données projet'!$B$9,Paramètres!$A$1:$I$89,3,0)*0.475*44/12</f>
        <v>1.0614052207721127</v>
      </c>
      <c r="AB202" s="21">
        <f>EXP(-LN(2)/2)*AB201+(1-EXP(-LN(2)/2))/(LN(2)/2)*V202*Y202*VLOOKUP('Données projet'!$B$9,Paramètres!$A$1:$I$89,3,0)*0.475*44/12</f>
        <v>4.0606985780610453E-21</v>
      </c>
      <c r="AC202" s="22">
        <f t="shared" si="163"/>
        <v>13.955984653447329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5.6843418860808015E-13</v>
      </c>
      <c r="AJ202" s="13">
        <f>AI202*VLOOKUP('Données projet'!$B$10,Paramètres!$A$1:$I$89,3,0)*VLOOKUP('Données projet'!$B$10,Paramètres!$A$1:$I$89,5,0)</f>
        <v>2.2907897800905631E-13</v>
      </c>
      <c r="AK202" s="13">
        <f t="shared" si="164"/>
        <v>3.1248920576624499E-12</v>
      </c>
      <c r="AL202" s="20">
        <f t="shared" si="165"/>
        <v>5.8414995537945398E-12</v>
      </c>
      <c r="AM202" s="59">
        <f t="shared" si="193"/>
        <v>293.33333333333917</v>
      </c>
      <c r="AN202" s="59">
        <f ca="1">AVERAGE(OFFSET($AM$3,0,0,'Données projet'!$E$10+1,1))-AVERAGE(OFFSET($H$3,0,0,'Données projet'!$E$10+1,1))</f>
        <v>314.16268026911069</v>
      </c>
      <c r="AO202" s="59">
        <f t="shared" si="205"/>
        <v>265.23571072429735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19.390870360088954</v>
      </c>
      <c r="AV202" s="21">
        <f>EXP(-LN(2)/25)*AV201+(1-EXP(-LN(2)/25))/(LN(2)/25)*Calculateur!AQ202*Calculateur!AS202*VLOOKUP('Données projet'!$B$10,Paramètres!$A$1:$I$89,3,0)*0.475*44/12</f>
        <v>2.6429752628602885</v>
      </c>
      <c r="AW202" s="21">
        <f>EXP(-LN(2)/2)*AW201+(1-EXP(-LN(2)/2))/(LN(2)/2)*AQ202*AT202*VLOOKUP('Données projet'!$B$10,Paramètres!$A$1:$I$89,3,0)*0.475*44/12</f>
        <v>9.5170973620890499E-17</v>
      </c>
      <c r="AX202" s="21">
        <f t="shared" si="166"/>
        <v>22.033845622949244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534.27971193336975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2.2737367544323206E-13</v>
      </c>
      <c r="O203" s="13">
        <f>N203*VLOOKUP('Données projet'!$B$9,Paramètres!$A$1:$I$89,3,0)*VLOOKUP('Données projet'!$B$9,Paramètres!$A$1:$I$89,5,0)</f>
        <v>1.064108801074326E-13</v>
      </c>
      <c r="P203" s="13">
        <f t="shared" si="203"/>
        <v>1.5870730813698654E-12</v>
      </c>
      <c r="Q203" s="20">
        <f t="shared" si="162"/>
        <v>2.9494845662396269E-12</v>
      </c>
      <c r="R203" s="59">
        <f t="shared" si="191"/>
        <v>293.33333333333627</v>
      </c>
      <c r="S203" s="59">
        <f ca="1">AVERAGE(OFFSET($R$3,0,0,'Données projet'!$E$9+1,1))-AVERAGE(OFFSET($H$3,0,0,'Données projet'!$E$9+1,1))</f>
        <v>234.83702199169585</v>
      </c>
      <c r="T203" s="59">
        <f t="shared" si="204"/>
        <v>248.83008816685089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12.641724594917314</v>
      </c>
      <c r="AA203" s="21">
        <f>EXP(-LN(2)/25)*AA202+(1-EXP(-LN(2)/25))/(LN(2)/25)*Calculateur!V203*Calculateur!X203*VLOOKUP('Données projet'!$B$9,Paramètres!$A$1:$I$89,3,0)*0.475*44/12</f>
        <v>1.0323810391932247</v>
      </c>
      <c r="AB203" s="21">
        <f>EXP(-LN(2)/2)*AB202+(1-EXP(-LN(2)/2))/(LN(2)/2)*V203*Y203*VLOOKUP('Données projet'!$B$9,Paramètres!$A$1:$I$89,3,0)*0.475*44/12</f>
        <v>2.8713475009015363E-21</v>
      </c>
      <c r="AC203" s="22">
        <f t="shared" si="163"/>
        <v>13.674105634110539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5.6843418860808015E-13</v>
      </c>
      <c r="AJ203" s="13">
        <f>AI203*VLOOKUP('Données projet'!$B$10,Paramètres!$A$1:$I$89,3,0)*VLOOKUP('Données projet'!$B$10,Paramètres!$A$1:$I$89,5,0)</f>
        <v>2.2907897800905631E-13</v>
      </c>
      <c r="AK203" s="13">
        <f t="shared" si="164"/>
        <v>3.1248920576624499E-12</v>
      </c>
      <c r="AL203" s="20">
        <f t="shared" si="165"/>
        <v>5.8414995537945398E-12</v>
      </c>
      <c r="AM203" s="59">
        <f t="shared" si="193"/>
        <v>293.33333333333917</v>
      </c>
      <c r="AN203" s="59">
        <f ca="1">AVERAGE(OFFSET($AM$3,0,0,'Données projet'!$E$10+1,1))-AVERAGE(OFFSET($H$3,0,0,'Données projet'!$E$10+1,1))</f>
        <v>314.16268026911069</v>
      </c>
      <c r="AO203" s="59">
        <f t="shared" si="205"/>
        <v>265.23571072429735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19.010627219590685</v>
      </c>
      <c r="AV203" s="21">
        <f>EXP(-LN(2)/25)*AV202+(1-EXP(-LN(2)/25))/(LN(2)/25)*Calculateur!AQ203*Calculateur!AS203*VLOOKUP('Données projet'!$B$10,Paramètres!$A$1:$I$89,3,0)*0.475*44/12</f>
        <v>2.5707029653093456</v>
      </c>
      <c r="AW203" s="21">
        <f>EXP(-LN(2)/2)*AW202+(1-EXP(-LN(2)/2))/(LN(2)/2)*AQ203*AT203*VLOOKUP('Données projet'!$B$10,Paramètres!$A$1:$I$89,3,0)*0.475*44/12</f>
        <v>6.7296040819457703E-17</v>
      </c>
      <c r="AX203" s="21">
        <f t="shared" si="166"/>
        <v>21.581330184900029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4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1.2485684178796581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1.2904530024133452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816406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81640625" style="4" bestFit="1" customWidth="1"/>
    <col min="7" max="7" width="11.453125" style="4" bestFit="1" customWidth="1"/>
    <col min="8" max="8" width="39" style="4" bestFit="1" customWidth="1"/>
    <col min="9" max="9" width="16.816406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" thickBot="1" x14ac:dyDescent="0.4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" thickBot="1" x14ac:dyDescent="0.4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3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3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" thickBot="1" x14ac:dyDescent="0.4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" thickBot="1" x14ac:dyDescent="0.4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" thickBot="1" x14ac:dyDescent="0.4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3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4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5">
      <c r="A93" s="122" t="s">
        <v>208</v>
      </c>
    </row>
    <row r="94" spans="1:14" x14ac:dyDescent="0.35">
      <c r="A94" s="122" t="s">
        <v>209</v>
      </c>
    </row>
    <row r="95" spans="1:14" x14ac:dyDescent="0.3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zoomScale="90" zoomScaleNormal="90" workbookViewId="0">
      <selection activeCell="K21" sqref="K21"/>
    </sheetView>
  </sheetViews>
  <sheetFormatPr baseColWidth="10" defaultColWidth="11.453125" defaultRowHeight="14.5" x14ac:dyDescent="0.35"/>
  <cols>
    <col min="1" max="1" width="22.81640625" style="1" bestFit="1" customWidth="1"/>
    <col min="2" max="2" width="10.54296875" style="1" bestFit="1" customWidth="1"/>
    <col min="3" max="3" width="15.5429687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5" t="str">
        <f>IF('Données projet'!$B$9="","",'Données projet'!$B$9)</f>
        <v>Epicéa de Sitka</v>
      </c>
      <c r="B6" s="146">
        <f>'Données projet'!D9</f>
        <v>6.7200000000000006</v>
      </c>
      <c r="C6" s="147">
        <f ca="1">IF(OR('Données projet'!B9="",'Données projet'!C9="",'Données projet'!C9=0%),0,Calculateur!S3)</f>
        <v>234.83702199169585</v>
      </c>
      <c r="D6" s="147">
        <f>IF(OR('Données projet'!B9="",'Données projet'!C9="",'Données projet'!C9=0%),0,Calculateur!T3)</f>
        <v>248.83008816685089</v>
      </c>
      <c r="E6" s="147">
        <f ca="1">MIN(C6,D6)</f>
        <v>234.83702199169585</v>
      </c>
      <c r="F6" s="147">
        <f ca="1">E6*B6</f>
        <v>1578.1047877841963</v>
      </c>
      <c r="G6" s="147">
        <f ca="1">F6*(100%-'Données projet'!$C$24)*(100%-'Données projet'!$C$25)*(100%-'Données projet'!$C$26)*(100%-'Données projet'!$C$27)</f>
        <v>1207.2501626549101</v>
      </c>
      <c r="H6" s="148">
        <f>IF(OR('Données projet'!B9="",'Données projet'!C9="",'Données projet'!C9=0%),0,AVERAGE(Calculateur!$AC$3:$AC$33)*B6)</f>
        <v>42.316884526421731</v>
      </c>
      <c r="I6" s="149">
        <f>H6*(100%-'Données projet'!$C$24)*(100%-'Données projet'!$C$25)*(100%-'Données projet'!$C$26)*(100%-'Données projet'!$C$27)</f>
        <v>32.372416662712624</v>
      </c>
      <c r="J6" s="150">
        <f>IF(OR('Données projet'!B9="",'Données projet'!C9="",'Données projet'!C9=0%),0,SUM(Calculateur!$V$3:$V$33)*VLOOKUP('Données projet'!$B$9,Paramètres!$A$1:$I$89,9,0)*B6)</f>
        <v>343.86240000000004</v>
      </c>
      <c r="K6" s="151">
        <f>J6*(100%-'Données projet'!$C$24)*(100%-'Données projet'!$C$25)*(100%-'Données projet'!$C$26)*(100%-'Données projet'!$C$27)</f>
        <v>263.05473600000005</v>
      </c>
      <c r="L6" s="152">
        <f ca="1">G6+I6+K6</f>
        <v>1502.6773153176227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3" t="str">
        <f>IF('Données projet'!$B$10="","",'Données projet'!$B$10)</f>
        <v>Thuya géant</v>
      </c>
      <c r="B7" s="154">
        <f>'Données projet'!D10</f>
        <v>1.6800000000000002</v>
      </c>
      <c r="C7" s="147">
        <f ca="1">IF(OR('Données projet'!B10="",'Données projet'!C10="",'Données projet'!C10=0%),0,Calculateur!AN3)</f>
        <v>314.16268026911069</v>
      </c>
      <c r="D7" s="147">
        <f>IF(OR('Données projet'!B10="",'Données projet'!C10="",'Données projet'!C10=0%),0,Calculateur!AO3)</f>
        <v>265.23571072429735</v>
      </c>
      <c r="E7" s="147">
        <f t="shared" ref="E7:E15" ca="1" si="0">MIN(C7,D7)</f>
        <v>265.23571072429735</v>
      </c>
      <c r="F7" s="147">
        <f t="shared" ref="F7:F15" ca="1" si="1">E7*B7</f>
        <v>445.59599401681959</v>
      </c>
      <c r="G7" s="147">
        <f ca="1">F7*(100%-'Données projet'!$C$24)*(100%-'Données projet'!$C$25)*(100%-'Données projet'!$C$26)*(100%-'Données projet'!$C$27)</f>
        <v>340.88093542286697</v>
      </c>
      <c r="H7" s="155">
        <f>IF(OR('Données projet'!B10="",'Données projet'!C10="",'Données projet'!C10=0%),0,AVERAGE(Calculateur!$AX$3:$AX$33)*B7)</f>
        <v>10.527294084413962</v>
      </c>
      <c r="I7" s="149">
        <f>H7*(100%-'Données projet'!$C$24)*(100%-'Données projet'!$C$25)*(100%-'Données projet'!$C$26)*(100%-'Données projet'!$C$27)</f>
        <v>8.0533799745766803</v>
      </c>
      <c r="J7" s="150">
        <f>IF(OR('Données projet'!B10="",'Données projet'!C10="",'Données projet'!C10=0%),0,SUM(Calculateur!$AQ$3:$AQ$33)*VLOOKUP('Données projet'!$B$10,Paramètres!$A$1:$I$89,9,0)*B7)</f>
        <v>119.91840000000001</v>
      </c>
      <c r="K7" s="151">
        <f>J7*(100%-'Données projet'!$C$24)*(100%-'Données projet'!$C$25)*(100%-'Données projet'!$C$26)*(100%-'Données projet'!$C$27)</f>
        <v>91.737576000000004</v>
      </c>
      <c r="L7" s="152">
        <f t="shared" ref="L7:L15" ca="1" si="2">G7+I7+K7</f>
        <v>440.67189139744363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9"/>
      <c r="B16" s="213"/>
      <c r="C16" s="214"/>
      <c r="D16" s="23"/>
      <c r="E16" s="23"/>
      <c r="F16" s="165">
        <f t="shared" ref="F16:L16" ca="1" si="3">SUM(F6:F15)</f>
        <v>2023.7007818010159</v>
      </c>
      <c r="G16" s="166">
        <f t="shared" ca="1" si="3"/>
        <v>1548.1310980777771</v>
      </c>
      <c r="H16" s="167">
        <f t="shared" si="3"/>
        <v>52.844178610835691</v>
      </c>
      <c r="I16" s="167">
        <f t="shared" si="3"/>
        <v>40.425796637289302</v>
      </c>
      <c r="J16" s="168">
        <f t="shared" si="3"/>
        <v>463.78080000000006</v>
      </c>
      <c r="K16" s="168">
        <f t="shared" si="3"/>
        <v>354.79231200000004</v>
      </c>
      <c r="L16" s="169">
        <f t="shared" ca="1" si="3"/>
        <v>1943.3492067150664</v>
      </c>
      <c r="M16" s="23">
        <f ca="1">L16/'Données projet'!C5</f>
        <v>231.35109603750789</v>
      </c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70" t="str">
        <f>A6</f>
        <v>Epicéa de Sitka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70" t="str">
        <f>A7</f>
        <v>Thuya géant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2" zoomScale="80" zoomScaleNormal="80" workbookViewId="0">
      <selection activeCell="C30" sqref="C30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1796875" style="1" bestFit="1" customWidth="1"/>
    <col min="4" max="5" width="11.453125" style="1"/>
    <col min="6" max="6" width="14" style="1" customWidth="1"/>
    <col min="7" max="7" width="17.54296875" style="1" customWidth="1"/>
    <col min="8" max="8" width="21.816406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17968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2" t="s">
        <v>315</v>
      </c>
      <c r="I4" s="262"/>
      <c r="K4" s="286" t="s">
        <v>253</v>
      </c>
      <c r="L4" s="287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6" t="s">
        <v>310</v>
      </c>
      <c r="S7" s="297"/>
      <c r="T7" s="297"/>
      <c r="U7" s="297"/>
      <c r="V7" s="298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Epicéa de Sitka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4033.2366404337745</v>
      </c>
      <c r="U10" s="178">
        <f>'Données projet'!D9</f>
        <v>6.7200000000000006</v>
      </c>
      <c r="V10" s="177">
        <f>U10*T10</f>
        <v>27103.350223714966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Thuya géant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1881.7652148016475</v>
      </c>
      <c r="U11" s="178">
        <f>'Données projet'!D10</f>
        <v>1.6800000000000002</v>
      </c>
      <c r="V11" s="177">
        <f t="shared" ref="V11" si="0">U11*T11</f>
        <v>3161.3655608667682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/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4" t="str">
        <f>IF('Données projet'!$B$9="","",'Données projet'!$B$9)</f>
        <v>Epicéa de Sitka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30"/>
      <c r="G15" s="289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289"/>
      <c r="H16" s="190"/>
      <c r="I16" s="191"/>
      <c r="J16" s="202"/>
      <c r="K16" s="208"/>
      <c r="L16" s="286" t="s">
        <v>254</v>
      </c>
      <c r="M16" s="287"/>
      <c r="N16" s="2">
        <v>50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9" t="s">
        <v>132</v>
      </c>
      <c r="C17" s="198" t="s">
        <v>132</v>
      </c>
      <c r="D17" s="197" t="s">
        <v>132</v>
      </c>
      <c r="E17" s="193"/>
      <c r="F17" s="230"/>
      <c r="G17" s="289"/>
      <c r="J17" s="202"/>
      <c r="K17" s="208"/>
      <c r="L17" s="259" t="s">
        <v>289</v>
      </c>
      <c r="M17" s="261"/>
      <c r="N17" s="175">
        <f>VLOOKUP(N16,Calculateur!$A$2:$H$153,3,0)/VLOOKUP('Scénario référence'!$G$15,Paramètres!A1:I89,3,0)/VLOOKUP('Scénario référence'!$G$15,Paramètres!A1:I89,5,0)</f>
        <v>49.999999999999964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289"/>
      <c r="J18" s="202"/>
      <c r="K18" s="208"/>
      <c r="L18" s="259" t="s">
        <v>255</v>
      </c>
      <c r="M18" s="261"/>
      <c r="N18" s="192">
        <v>15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289"/>
      <c r="H19" s="212" t="s">
        <v>178</v>
      </c>
      <c r="I19" s="212" t="s">
        <v>287</v>
      </c>
      <c r="J19" s="93"/>
      <c r="K19" s="173"/>
      <c r="L19" s="286" t="s">
        <v>288</v>
      </c>
      <c r="M19" s="287"/>
      <c r="N19" s="179">
        <f>N17*N18</f>
        <v>749.99999999999943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289"/>
      <c r="H20" s="190">
        <v>1</v>
      </c>
      <c r="I20" s="191">
        <f>(16234.6+16800)/8.4</f>
        <v>3932.6904761904757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2</v>
      </c>
      <c r="I21" s="191">
        <v>600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3</v>
      </c>
      <c r="I22" s="191">
        <v>600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80">
        <f>'Données projet'!A36</f>
        <v>23</v>
      </c>
      <c r="B23" s="181">
        <f>'Données projet'!D36</f>
        <v>55</v>
      </c>
      <c r="C23" s="193">
        <v>12</v>
      </c>
      <c r="D23" s="182">
        <f>B23*C23</f>
        <v>660</v>
      </c>
      <c r="E23" s="193">
        <v>60</v>
      </c>
      <c r="F23" s="230"/>
      <c r="H23" s="190">
        <v>4</v>
      </c>
      <c r="I23" s="191">
        <v>600</v>
      </c>
      <c r="K23" s="208"/>
      <c r="L23" s="288" t="s">
        <v>260</v>
      </c>
      <c r="M23" s="288"/>
      <c r="N23" s="288"/>
      <c r="O23" s="23"/>
      <c r="P23" s="23"/>
      <c r="Q23" s="234"/>
      <c r="R23" s="23"/>
      <c r="S23" s="36" t="s">
        <v>264</v>
      </c>
      <c r="T23" s="30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-22520.052437354556</v>
      </c>
      <c r="U23" s="301"/>
      <c r="V23" s="301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80">
        <f>'Données projet'!A37</f>
        <v>27</v>
      </c>
      <c r="B24" s="181">
        <f>'Données projet'!D37</f>
        <v>64</v>
      </c>
      <c r="C24" s="193">
        <v>12</v>
      </c>
      <c r="D24" s="182">
        <f t="shared" ref="D24:D42" si="2">B24*C24</f>
        <v>768</v>
      </c>
      <c r="E24" s="193">
        <v>60</v>
      </c>
      <c r="F24" s="233"/>
      <c r="H24" s="190">
        <v>5</v>
      </c>
      <c r="I24" s="191">
        <v>600</v>
      </c>
      <c r="K24" s="208"/>
      <c r="O24" s="23"/>
      <c r="P24" s="23"/>
      <c r="Q24" s="234"/>
      <c r="R24" s="23"/>
      <c r="S24" s="36" t="s">
        <v>261</v>
      </c>
      <c r="T24" s="302">
        <f ca="1">'Scénario référence'!$B$8*$M$30*'Données projet'!$C$5+('Scénario référence'!B9+'Scénario référence'!B10+'Scénario référence'!F8+'Scénario référence'!F9)*$N$19/(1+M4)^N16*'Données projet'!$C$5</f>
        <v>697.47079478360808</v>
      </c>
      <c r="U24" s="302"/>
      <c r="V24" s="302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80">
        <f>'Données projet'!A38</f>
        <v>31</v>
      </c>
      <c r="B25" s="181">
        <f>'Données projet'!D38</f>
        <v>57</v>
      </c>
      <c r="C25" s="193">
        <v>27</v>
      </c>
      <c r="D25" s="182">
        <f t="shared" si="2"/>
        <v>1539</v>
      </c>
      <c r="E25" s="193">
        <v>60</v>
      </c>
      <c r="F25" s="233"/>
      <c r="H25" s="190">
        <v>6</v>
      </c>
      <c r="I25" s="191">
        <v>600</v>
      </c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303">
        <f ca="1">T23-T24</f>
        <v>-23217.523232138163</v>
      </c>
      <c r="U25" s="303"/>
      <c r="V25" s="303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80">
        <f>'Données projet'!A39</f>
        <v>35</v>
      </c>
      <c r="B26" s="181">
        <f>'Données projet'!D39</f>
        <v>64</v>
      </c>
      <c r="C26" s="193">
        <v>27</v>
      </c>
      <c r="D26" s="182">
        <f t="shared" si="2"/>
        <v>1728</v>
      </c>
      <c r="E26" s="193">
        <v>60</v>
      </c>
      <c r="F26" s="233"/>
      <c r="G26" s="229"/>
      <c r="H26" s="190"/>
      <c r="I26" s="191"/>
      <c r="K26" s="208"/>
      <c r="L26" s="290" t="s">
        <v>258</v>
      </c>
      <c r="M26" s="291"/>
      <c r="N26" s="291"/>
      <c r="O26" s="291"/>
      <c r="P26" s="292"/>
      <c r="Q26" s="234"/>
      <c r="R26" s="23"/>
      <c r="S26" s="186" t="s">
        <v>265</v>
      </c>
      <c r="T26" s="300" t="str">
        <f ca="1">IF(T25&lt;0,"Votre projet est additionnel","Votre projet n'est pas additionnel")</f>
        <v>Votre projet est additionnel</v>
      </c>
      <c r="U26" s="300"/>
      <c r="V26" s="300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80">
        <f>'Données projet'!A40</f>
        <v>39</v>
      </c>
      <c r="B27" s="181">
        <f>'Données projet'!D40</f>
        <v>50</v>
      </c>
      <c r="C27" s="193">
        <v>27</v>
      </c>
      <c r="D27" s="182">
        <f t="shared" si="2"/>
        <v>1350</v>
      </c>
      <c r="E27" s="193">
        <v>60</v>
      </c>
      <c r="F27" s="233"/>
      <c r="G27" s="229"/>
      <c r="H27" s="190"/>
      <c r="I27" s="191"/>
      <c r="K27" s="208"/>
      <c r="L27" s="293"/>
      <c r="M27" s="294"/>
      <c r="N27" s="294"/>
      <c r="O27" s="294"/>
      <c r="P27" s="295"/>
      <c r="Q27" s="234"/>
      <c r="R27" s="23"/>
      <c r="S27" s="299" t="s">
        <v>267</v>
      </c>
      <c r="T27" s="299"/>
      <c r="U27" s="299"/>
      <c r="V27" s="299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80">
        <f>'Données projet'!A41</f>
        <v>44</v>
      </c>
      <c r="B28" s="181">
        <f>'Données projet'!D41</f>
        <v>57</v>
      </c>
      <c r="C28" s="193">
        <v>27</v>
      </c>
      <c r="D28" s="182">
        <f t="shared" si="2"/>
        <v>1539</v>
      </c>
      <c r="E28" s="193">
        <v>60</v>
      </c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80">
        <f>'Données projet'!A42</f>
        <v>50</v>
      </c>
      <c r="B29" s="181">
        <f>'Données projet'!D42</f>
        <v>67</v>
      </c>
      <c r="C29" s="193">
        <v>27</v>
      </c>
      <c r="D29" s="182">
        <f t="shared" si="2"/>
        <v>1809</v>
      </c>
      <c r="E29" s="193">
        <v>60</v>
      </c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80">
        <f>'Données projet'!A43</f>
        <v>53</v>
      </c>
      <c r="B30" s="181">
        <f>'Données projet'!D43</f>
        <v>697</v>
      </c>
      <c r="C30" s="193">
        <v>33</v>
      </c>
      <c r="D30" s="182">
        <f t="shared" si="2"/>
        <v>23001</v>
      </c>
      <c r="E30" s="193">
        <v>60</v>
      </c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4" t="str">
        <f>IF('Données projet'!$B$10="","",'Données projet'!$B$10)</f>
        <v>Thuya géant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9" t="s">
        <v>132</v>
      </c>
      <c r="C48" s="198" t="s">
        <v>132</v>
      </c>
      <c r="D48" s="197" t="s">
        <v>132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80">
        <f>'Données projet'!A62</f>
        <v>20</v>
      </c>
      <c r="B54" s="181">
        <f>'Données projet'!D62</f>
        <v>26</v>
      </c>
      <c r="C54" s="191">
        <v>8.75</v>
      </c>
      <c r="D54" s="179">
        <f>B54*C54</f>
        <v>227.5</v>
      </c>
      <c r="E54" s="193">
        <v>60</v>
      </c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80">
        <f>'Données projet'!A63</f>
        <v>25</v>
      </c>
      <c r="B55" s="181">
        <f>'Données projet'!D63</f>
        <v>70</v>
      </c>
      <c r="C55" s="191">
        <v>8.75</v>
      </c>
      <c r="D55" s="179">
        <f t="shared" ref="D55:D73" si="4">B55*C55</f>
        <v>612.5</v>
      </c>
      <c r="E55" s="193">
        <v>60</v>
      </c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80">
        <f>'Données projet'!A64</f>
        <v>30</v>
      </c>
      <c r="B56" s="181">
        <f>'Données projet'!D64</f>
        <v>70</v>
      </c>
      <c r="C56" s="191">
        <v>8.75</v>
      </c>
      <c r="D56" s="179">
        <f t="shared" si="4"/>
        <v>612.5</v>
      </c>
      <c r="E56" s="193">
        <v>60</v>
      </c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80">
        <f>'Données projet'!A65</f>
        <v>35</v>
      </c>
      <c r="B57" s="181">
        <f>'Données projet'!D65</f>
        <v>70</v>
      </c>
      <c r="C57" s="191">
        <v>8.75</v>
      </c>
      <c r="D57" s="179">
        <f t="shared" si="4"/>
        <v>612.5</v>
      </c>
      <c r="E57" s="193">
        <v>60</v>
      </c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80">
        <f>'Données projet'!A66</f>
        <v>40</v>
      </c>
      <c r="B58" s="181">
        <f>'Données projet'!D66</f>
        <v>70</v>
      </c>
      <c r="C58" s="191">
        <v>21</v>
      </c>
      <c r="D58" s="179">
        <f t="shared" si="4"/>
        <v>1470</v>
      </c>
      <c r="E58" s="193">
        <v>60</v>
      </c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80">
        <f>'Données projet'!A67</f>
        <v>45</v>
      </c>
      <c r="B59" s="181">
        <f>'Données projet'!D67</f>
        <v>70</v>
      </c>
      <c r="C59" s="191">
        <v>21</v>
      </c>
      <c r="D59" s="179">
        <f t="shared" si="4"/>
        <v>1470</v>
      </c>
      <c r="E59" s="193">
        <v>60</v>
      </c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80">
        <f>'Données projet'!A68</f>
        <v>50</v>
      </c>
      <c r="B60" s="181">
        <f>'Données projet'!D68</f>
        <v>70</v>
      </c>
      <c r="C60" s="191">
        <v>21</v>
      </c>
      <c r="D60" s="179">
        <f t="shared" si="4"/>
        <v>1470</v>
      </c>
      <c r="E60" s="193">
        <v>60</v>
      </c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80">
        <f>'Données projet'!A69</f>
        <v>55</v>
      </c>
      <c r="B61" s="181">
        <f>'Données projet'!D69</f>
        <v>63</v>
      </c>
      <c r="C61" s="191">
        <v>21</v>
      </c>
      <c r="D61" s="179">
        <f t="shared" si="4"/>
        <v>1323</v>
      </c>
      <c r="E61" s="193">
        <v>60</v>
      </c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80">
        <f>'Données projet'!A70</f>
        <v>60</v>
      </c>
      <c r="B62" s="181">
        <f>'Données projet'!D70</f>
        <v>56</v>
      </c>
      <c r="C62" s="191">
        <v>21</v>
      </c>
      <c r="D62" s="179">
        <f t="shared" si="4"/>
        <v>1176</v>
      </c>
      <c r="E62" s="193">
        <v>60</v>
      </c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80">
        <f>'Données projet'!A71</f>
        <v>65</v>
      </c>
      <c r="B63" s="181">
        <f>'Données projet'!D71</f>
        <v>52</v>
      </c>
      <c r="C63" s="191">
        <v>21</v>
      </c>
      <c r="D63" s="179">
        <f t="shared" si="4"/>
        <v>1092</v>
      </c>
      <c r="E63" s="193">
        <v>60</v>
      </c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80">
        <f>'Données projet'!A72</f>
        <v>70</v>
      </c>
      <c r="B64" s="181">
        <f>'Données projet'!D72</f>
        <v>49</v>
      </c>
      <c r="C64" s="191">
        <v>21</v>
      </c>
      <c r="D64" s="179">
        <f t="shared" si="4"/>
        <v>1029</v>
      </c>
      <c r="E64" s="193">
        <v>60</v>
      </c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80">
        <f>'Données projet'!A73</f>
        <v>75</v>
      </c>
      <c r="B65" s="181">
        <f>'Données projet'!D73</f>
        <v>47</v>
      </c>
      <c r="C65" s="191">
        <v>21</v>
      </c>
      <c r="D65" s="179">
        <f t="shared" si="4"/>
        <v>987</v>
      </c>
      <c r="E65" s="193">
        <v>60</v>
      </c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80">
        <f>'Données projet'!A74</f>
        <v>80</v>
      </c>
      <c r="B66" s="181">
        <f>'Données projet'!D74</f>
        <v>840</v>
      </c>
      <c r="C66" s="191">
        <v>25.200000000000003</v>
      </c>
      <c r="D66" s="179">
        <f t="shared" si="4"/>
        <v>21168.000000000004</v>
      </c>
      <c r="E66" s="193">
        <v>60</v>
      </c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4" t="str">
        <f>IF('Données projet'!B11="","",'Données projet'!B11)</f>
        <v/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9" t="s">
        <v>132</v>
      </c>
      <c r="C79" s="198" t="s">
        <v>132</v>
      </c>
      <c r="D79" s="197" t="s">
        <v>132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str">
        <f>IF(O86+1&lt;=MIN('Données projet'!$E$9:$E$18),O86+1,"STOP")</f>
        <v>STOP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2382d34-9bb8-44b7-b653-fe70b92f328c" xsi:nil="true"/>
    <lcf76f155ced4ddcb4097134ff3c332f xmlns="0b31a522-a3bf-48c4-bec5-a17f159ba481">
      <Terms xmlns="http://schemas.microsoft.com/office/infopath/2007/PartnerControls"/>
    </lcf76f155ced4ddcb4097134ff3c332f>
    <_Flow_SignoffStatus xmlns="0b31a522-a3bf-48c4-bec5-a17f159ba48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36884909D472E4887D0D71289C24DC5" ma:contentTypeVersion="15" ma:contentTypeDescription="Create a new document." ma:contentTypeScope="" ma:versionID="a73ee3bb35a9bd7478c61e6e8e2bc4ee">
  <xsd:schema xmlns:xsd="http://www.w3.org/2001/XMLSchema" xmlns:xs="http://www.w3.org/2001/XMLSchema" xmlns:p="http://schemas.microsoft.com/office/2006/metadata/properties" xmlns:ns2="0b31a522-a3bf-48c4-bec5-a17f159ba481" xmlns:ns3="e2382d34-9bb8-44b7-b653-fe70b92f328c" targetNamespace="http://schemas.microsoft.com/office/2006/metadata/properties" ma:root="true" ma:fieldsID="0e87dbacb70e8a9550b50faea6e54f53" ns2:_="" ns3:_="">
    <xsd:import namespace="0b31a522-a3bf-48c4-bec5-a17f159ba481"/>
    <xsd:import namespace="e2382d34-9bb8-44b7-b653-fe70b92f32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_Flow_SignoffStatu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31a522-a3bf-48c4-bec5-a17f159ba4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1090b2c-5079-4c1b-ae3e-0f22ffb919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_Flow_SignoffStatus" ma:index="21" nillable="true" ma:displayName="Sign-off status" ma:internalName="Sign_x002d_off_x0020_status">
      <xsd:simpleType>
        <xsd:restriction base="dms:Text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382d34-9bb8-44b7-b653-fe70b92f328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ea42f30-ac50-40fe-8b72-1112505a2dd8}" ma:internalName="TaxCatchAll" ma:showField="CatchAllData" ma:web="e2382d34-9bb8-44b7-b653-fe70b92f32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6205DCA-6742-4355-9597-9D6EAA81C88C}">
  <ds:schemaRefs>
    <ds:schemaRef ds:uri="http://schemas.microsoft.com/office/2006/metadata/properties"/>
    <ds:schemaRef ds:uri="http://schemas.microsoft.com/office/infopath/2007/PartnerControls"/>
    <ds:schemaRef ds:uri="e2382d34-9bb8-44b7-b653-fe70b92f328c"/>
    <ds:schemaRef ds:uri="0b31a522-a3bf-48c4-bec5-a17f159ba481"/>
  </ds:schemaRefs>
</ds:datastoreItem>
</file>

<file path=customXml/itemProps2.xml><?xml version="1.0" encoding="utf-8"?>
<ds:datastoreItem xmlns:ds="http://schemas.openxmlformats.org/officeDocument/2006/customXml" ds:itemID="{275FF629-F040-48D8-80F1-44E09D629E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31a522-a3bf-48c4-bec5-a17f159ba481"/>
    <ds:schemaRef ds:uri="e2382d34-9bb8-44b7-b653-fe70b92f32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5FAA7A5-08E0-4AB3-A520-642EC6EE896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Constantin DESCAMPS</cp:lastModifiedBy>
  <dcterms:created xsi:type="dcterms:W3CDTF">2021-02-01T08:22:39Z</dcterms:created>
  <dcterms:modified xsi:type="dcterms:W3CDTF">2024-01-17T10:42:24Z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0x010100A36884909D472E4887D0D71289C24DC5</vt:lpwstr>
  </property>
  <property fmtid="{D5CDD505-2E9C-101B-9397-08002B2CF9AE}" pid="3" name="Order">
    <vt:r8>2104800</vt:r8>
  </property>
  <property fmtid="{D5CDD505-2E9C-101B-9397-08002B2CF9AE}" pid="4" name="MediaServiceImageTags">
    <vt:lpwstr/>
  </property>
</Properties>
</file>