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Bazas\dossier LBC\37 - ST MAGNE (33) - LETORD Marie-Thérèse\PDF documents remplis par bazas\"/>
    </mc:Choice>
  </mc:AlternateContent>
  <xr:revisionPtr revIDLastSave="0" documentId="13_ncr:1_{E0A9C5E5-63A6-48D7-821E-5D8DA8713CD3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<sst xmlns="http://schemas.openxmlformats.org/spreadsheetml/2006/main" count="1169" uniqueCount="324">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</sst>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theme="4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239.90544326410898</c:v>
                </c:pt>
                <c:pt idx="27">
                  <c:v>257.6548036297558</c:v>
                </c:pt>
                <c:pt idx="28">
                  <c:v>275.37652518894964</c:v>
                </c:pt>
                <c:pt idx="29">
                  <c:v>293.0726366827804</c:v>
                </c:pt>
                <c:pt idx="30">
                  <c:v>310.74490180919639</c:v>
                </c:pt>
                <c:pt idx="31">
                  <c:v>326.89289569121826</c:v>
                </c:pt>
                <c:pt idx="32">
                  <c:v>343.02327921316777</c:v>
                </c:pt>
                <c:pt idx="33">
                  <c:v>359.13699693842636</c:v>
                </c:pt>
                <c:pt idx="34">
                  <c:v>375.23490175863373</c:v>
                </c:pt>
                <c:pt idx="35">
                  <c:v>391.31776742377127</c:v>
                </c:pt>
                <c:pt idx="36">
                  <c:v>407.38629890446555</c:v>
                </c:pt>
                <c:pt idx="37">
                  <c:v>423.44114103397595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B18" sqref="B18:M31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J27" sqref="J27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7.65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7.65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7.65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75</v>
      </c>
      <c r="C36" s="63">
        <v>1</v>
      </c>
      <c r="D36" s="63">
        <v>15</v>
      </c>
      <c r="E36" s="54"/>
      <c r="F36" s="54"/>
      <c r="G36" s="54">
        <v>1</v>
      </c>
      <c r="H36" s="54"/>
      <c r="I36" s="52">
        <f>IFERROR(B36/A36,"")</f>
        <v>5.7692307692307692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19</v>
      </c>
      <c r="B37" s="63">
        <v>163</v>
      </c>
      <c r="C37" s="63">
        <v>2</v>
      </c>
      <c r="D37" s="63">
        <v>40</v>
      </c>
      <c r="E37" s="54">
        <v>0.3</v>
      </c>
      <c r="F37" s="292"/>
      <c r="G37" s="54">
        <v>0.7</v>
      </c>
      <c r="H37" s="54"/>
      <c r="I37" s="56">
        <f t="shared" ref="I37:I55" si="1">IF(A37&lt;&gt;0,(B37-(B36-D36))/(A37-A36),"")</f>
        <v>17.166666666666668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25</v>
      </c>
      <c r="B38" s="63">
        <v>222</v>
      </c>
      <c r="C38" s="63">
        <v>3</v>
      </c>
      <c r="D38" s="63">
        <v>54</v>
      </c>
      <c r="E38" s="54">
        <v>0.4</v>
      </c>
      <c r="F38" s="54">
        <v>0.2</v>
      </c>
      <c r="G38" s="54">
        <v>0.4</v>
      </c>
      <c r="H38" s="54"/>
      <c r="I38" s="56">
        <f t="shared" si="1"/>
        <v>16.5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237</v>
      </c>
      <c r="C39" s="63">
        <v>4</v>
      </c>
      <c r="D39" s="63">
        <v>0</v>
      </c>
      <c r="E39" s="54"/>
      <c r="F39" s="54"/>
      <c r="G39" s="54"/>
      <c r="H39" s="54"/>
      <c r="I39" s="52">
        <f t="shared" si="1"/>
        <v>13.8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38</v>
      </c>
      <c r="B40" s="63">
        <v>338</v>
      </c>
      <c r="C40" s="63">
        <v>5</v>
      </c>
      <c r="D40" s="63">
        <v>338</v>
      </c>
      <c r="E40" s="54">
        <v>0.7</v>
      </c>
      <c r="F40" s="54"/>
      <c r="G40" s="54">
        <v>0.3</v>
      </c>
      <c r="H40" s="54"/>
      <c r="I40" s="52">
        <f t="shared" si="1"/>
        <v>12.625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4" zoomScale="115" zoomScaleNormal="115" workbookViewId="0">
      <selection activeCell="G22" sqref="G22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Pin maritime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/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/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157.98488572680344</v>
      </c>
      <c r="T3" s="62">
        <f>IF('Données projet'!E9&gt;30,$R$33-$H$33,LOOKUP('Données projet'!$E$9,$A$3:$A$203,R3:R203)-LOOKUP('Données projet'!$E$9,$A$3:$A$203,$H$3:$H$203))</f>
        <v>269.20989374735825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5.7692307692307692</v>
      </c>
      <c r="N4" s="14">
        <f>IF('Données projet'!$A$36&gt;35,N3+M4-V3,IF(A4&lt;'Données projet'!$A$36,$K$205^A4,IF(A4='Données projet'!$A$36,'Données projet'!$B$36,N3+M4-V3)))</f>
        <v>1.3939124009120489</v>
      </c>
      <c r="O4" s="14">
        <f>N4*VLOOKUP('Données projet'!$B$9,Paramètres!$A$1:$I$89,3,0)*VLOOKUP('Données projet'!$B$9,Paramètres!$A$1:$I$89,5,0)</f>
        <v>0.83355961574540538</v>
      </c>
      <c r="P4" s="14">
        <f>EXP(-1.0587+0.8836*LN(O4)+0.284)</f>
        <v>0.39236630327500827</v>
      </c>
      <c r="Q4" s="22">
        <f t="shared" ref="Q4:Q34" si="2">(O4+P4)*0.475*44/12</f>
        <v>2.1351543089605536</v>
      </c>
      <c r="R4" s="62">
        <f t="shared" si="0"/>
        <v>295.46848764229389</v>
      </c>
      <c r="S4" s="62">
        <f ca="1">AVERAGE(OFFSET($R$3,0,0,'Données projet'!$E$9+1,1))-AVERAGE(OFFSET($H$3,0,0,'Données projet'!$E$9+1,1))</f>
        <v>157.98488572680344</v>
      </c>
      <c r="T4" s="62">
        <f>$T$3</f>
        <v>269.20989374735825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5.7692307692307692</v>
      </c>
      <c r="N5" s="14">
        <f>IF('Données projet'!$A$36&gt;35,N4+M5-V4,IF(A5&lt;'Données projet'!$A$36,$K$205^A5,IF(A5='Données projet'!$A$36,'Données projet'!$B$36,N4+M5-V4)))</f>
        <v>1.9429917814163926</v>
      </c>
      <c r="O5" s="14">
        <f>N5*VLOOKUP('Données projet'!$B$9,Paramètres!$A$1:$I$89,3,0)*VLOOKUP('Données projet'!$B$9,Paramètres!$A$1:$I$89,5,0)</f>
        <v>1.1619090852870029</v>
      </c>
      <c r="P5" s="14">
        <f t="shared" ref="P5:P68" si="33">EXP(-1.0587+0.8836*LN(O5)+0.284)</f>
        <v>0.52618464987689018</v>
      </c>
      <c r="Q5" s="22">
        <f t="shared" si="2"/>
        <v>2.9400965887437809</v>
      </c>
      <c r="R5" s="62">
        <f t="shared" si="0"/>
        <v>296.27342992207707</v>
      </c>
      <c r="S5" s="62">
        <f ca="1">AVERAGE(OFFSET($R$3,0,0,'Données projet'!$E$9+1,1))-AVERAGE(OFFSET($H$3,0,0,'Données projet'!$E$9+1,1))</f>
        <v>157.98488572680344</v>
      </c>
      <c r="T5" s="62">
        <f t="shared" ref="T5:T68" si="34">$T$3</f>
        <v>269.20989374735825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5.7692307692307692</v>
      </c>
      <c r="N6" s="14">
        <f>IF('Données projet'!$A$36&gt;35,N5+M6-V5,IF(A6&lt;'Données projet'!$A$36,$K$205^A6,IF(A6='Données projet'!$A$36,'Données projet'!$B$36,N5+M6-V5)))</f>
        <v>2.7083603389865027</v>
      </c>
      <c r="O6" s="14">
        <f>N6*VLOOKUP('Données projet'!$B$9,Paramètres!$A$1:$I$89,3,0)*VLOOKUP('Données projet'!$B$9,Paramètres!$A$1:$I$89,5,0)</f>
        <v>1.6195994827139286</v>
      </c>
      <c r="P6" s="14">
        <f t="shared" si="33"/>
        <v>0.70564236392136903</v>
      </c>
      <c r="Q6" s="22">
        <f t="shared" si="2"/>
        <v>4.0497962162231431</v>
      </c>
      <c r="R6" s="62">
        <f t="shared" si="0"/>
        <v>297.38312954955643</v>
      </c>
      <c r="S6" s="62">
        <f ca="1">AVERAGE(OFFSET($R$3,0,0,'Données projet'!$E$9+1,1))-AVERAGE(OFFSET($H$3,0,0,'Données projet'!$E$9+1,1))</f>
        <v>157.98488572680344</v>
      </c>
      <c r="T6" s="62">
        <f t="shared" si="34"/>
        <v>269.20989374735825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5.7692307692307692</v>
      </c>
      <c r="N7" s="14">
        <f>IF('Données projet'!$A$36&gt;35,N6+M7-V6,IF(A7&lt;'Données projet'!$A$36,$K$205^A7,IF(A7='Données projet'!$A$36,'Données projet'!$B$36,N6+M7-V6)))</f>
        <v>3.775217062651647</v>
      </c>
      <c r="O7" s="14">
        <f>N7*VLOOKUP('Données projet'!$B$9,Paramètres!$A$1:$I$89,3,0)*VLOOKUP('Données projet'!$B$9,Paramètres!$A$1:$I$89,5,0)</f>
        <v>2.2575798034656849</v>
      </c>
      <c r="P7" s="14">
        <f t="shared" si="33"/>
        <v>0.94630496324253699</v>
      </c>
      <c r="Q7" s="22">
        <f t="shared" si="2"/>
        <v>5.5800993020168193</v>
      </c>
      <c r="R7" s="62">
        <f t="shared" si="0"/>
        <v>298.91343263535015</v>
      </c>
      <c r="S7" s="62">
        <f ca="1">AVERAGE(OFFSET($R$3,0,0,'Données projet'!$E$9+1,1))-AVERAGE(OFFSET($H$3,0,0,'Données projet'!$E$9+1,1))</f>
        <v>157.98488572680344</v>
      </c>
      <c r="T7" s="62">
        <f t="shared" si="34"/>
        <v>269.20989374735825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5.7692307692307692</v>
      </c>
      <c r="N8" s="14">
        <f>IF('Données projet'!$A$36&gt;35,N7+M8-V7,IF(A8&lt;'Données projet'!$A$36,$K$205^A8,IF(A8='Données projet'!$A$36,'Données projet'!$B$36,N7+M8-V7)))</f>
        <v>5.2623218797648903</v>
      </c>
      <c r="O8" s="14">
        <f>N8*VLOOKUP('Données projet'!$B$9,Paramètres!$A$1:$I$89,3,0)*VLOOKUP('Données projet'!$B$9,Paramètres!$A$1:$I$89,5,0)</f>
        <v>3.1468684840994046</v>
      </c>
      <c r="P8" s="14">
        <f t="shared" si="33"/>
        <v>1.2690466576879811</v>
      </c>
      <c r="Q8" s="22">
        <f t="shared" si="2"/>
        <v>7.6910522052796955</v>
      </c>
      <c r="R8" s="62">
        <f t="shared" si="0"/>
        <v>301.02438553861299</v>
      </c>
      <c r="S8" s="62">
        <f ca="1">AVERAGE(OFFSET($R$3,0,0,'Données projet'!$E$9+1,1))-AVERAGE(OFFSET($H$3,0,0,'Données projet'!$E$9+1,1))</f>
        <v>157.98488572680344</v>
      </c>
      <c r="T8" s="62">
        <f t="shared" si="34"/>
        <v>269.20989374735825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5.7692307692307692</v>
      </c>
      <c r="N9" s="14">
        <f>IF('Données projet'!$A$36&gt;35,N8+M9-V8,IF(A9&lt;'Données projet'!$A$36,$K$205^A9,IF(A9='Données projet'!$A$36,'Données projet'!$B$36,N8+M9-V8)))</f>
        <v>7.3352157257950852</v>
      </c>
      <c r="O9" s="14">
        <f>N9*VLOOKUP('Données projet'!$B$9,Paramètres!$A$1:$I$89,3,0)*VLOOKUP('Données projet'!$B$9,Paramètres!$A$1:$I$89,5,0)</f>
        <v>4.3864590040254612</v>
      </c>
      <c r="P9" s="14">
        <f t="shared" si="33"/>
        <v>1.7018609031391834</v>
      </c>
      <c r="Q9" s="22">
        <f t="shared" si="2"/>
        <v>10.603823838311754</v>
      </c>
      <c r="R9" s="62">
        <f t="shared" si="0"/>
        <v>303.93715717164508</v>
      </c>
      <c r="S9" s="62">
        <f ca="1">AVERAGE(OFFSET($R$3,0,0,'Données projet'!$E$9+1,1))-AVERAGE(OFFSET($H$3,0,0,'Données projet'!$E$9+1,1))</f>
        <v>157.98488572680344</v>
      </c>
      <c r="T9" s="62">
        <f t="shared" si="34"/>
        <v>269.20989374735825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5.7692307692307692</v>
      </c>
      <c r="N10" s="14">
        <f>IF('Données projet'!$A$36&gt;35,N9+M10-V9,IF(A10&lt;'Données projet'!$A$36,$K$205^A10,IF(A10='Données projet'!$A$36,'Données projet'!$B$36,N9+M10-V9)))</f>
        <v>10.224648163550844</v>
      </c>
      <c r="O10" s="14">
        <f>N10*VLOOKUP('Données projet'!$B$9,Paramètres!$A$1:$I$89,3,0)*VLOOKUP('Données projet'!$B$9,Paramètres!$A$1:$I$89,5,0)</f>
        <v>6.1143396018034055</v>
      </c>
      <c r="P10" s="14">
        <f t="shared" si="33"/>
        <v>2.2822884533736612</v>
      </c>
      <c r="Q10" s="22">
        <f t="shared" si="2"/>
        <v>14.624127196100055</v>
      </c>
      <c r="R10" s="62">
        <f t="shared" si="0"/>
        <v>307.95746052943338</v>
      </c>
      <c r="S10" s="62">
        <f ca="1">AVERAGE(OFFSET($R$3,0,0,'Données projet'!$E$9+1,1))-AVERAGE(OFFSET($H$3,0,0,'Données projet'!$E$9+1,1))</f>
        <v>157.98488572680344</v>
      </c>
      <c r="T10" s="62">
        <f t="shared" si="34"/>
        <v>269.20989374735825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5.7692307692307692</v>
      </c>
      <c r="N11" s="14">
        <f>IF('Données projet'!$A$36&gt;35,N10+M11-V10,IF(A11&lt;'Données projet'!$A$36,$K$205^A11,IF(A11='Données projet'!$A$36,'Données projet'!$B$36,N10+M11-V10)))</f>
        <v>14.252263870136129</v>
      </c>
      <c r="O11" s="14">
        <f>N11*VLOOKUP('Données projet'!$B$9,Paramètres!$A$1:$I$89,3,0)*VLOOKUP('Données projet'!$B$9,Paramètres!$A$1:$I$89,5,0)</f>
        <v>8.5228537943414064</v>
      </c>
      <c r="P11" s="14">
        <f t="shared" si="33"/>
        <v>3.0606735102702713</v>
      </c>
      <c r="Q11" s="22">
        <f t="shared" si="2"/>
        <v>20.174643388865338</v>
      </c>
      <c r="R11" s="62">
        <f t="shared" si="0"/>
        <v>313.50797672219863</v>
      </c>
      <c r="S11" s="62">
        <f ca="1">AVERAGE(OFFSET($R$3,0,0,'Données projet'!$E$9+1,1))-AVERAGE(OFFSET($H$3,0,0,'Données projet'!$E$9+1,1))</f>
        <v>157.98488572680344</v>
      </c>
      <c r="T11" s="62">
        <f t="shared" si="34"/>
        <v>269.20989374735825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5.7692307692307692</v>
      </c>
      <c r="N12" s="14">
        <f>IF('Données projet'!$A$36&gt;35,N11+M12-V11,IF(A12&lt;'Données projet'!$A$36,$K$205^A12,IF(A12='Données projet'!$A$36,'Données projet'!$B$36,N11+M12-V11)))</f>
        <v>19.866407349653503</v>
      </c>
      <c r="O12" s="14">
        <f>N12*VLOOKUP('Données projet'!$B$9,Paramètres!$A$1:$I$89,3,0)*VLOOKUP('Données projet'!$B$9,Paramètres!$A$1:$I$89,5,0)</f>
        <v>11.880111595092796</v>
      </c>
      <c r="P12" s="14">
        <f t="shared" si="33"/>
        <v>4.1045303991363813</v>
      </c>
      <c r="Q12" s="22">
        <f t="shared" si="2"/>
        <v>27.839918139949148</v>
      </c>
      <c r="R12" s="62">
        <f t="shared" si="0"/>
        <v>321.17325147328245</v>
      </c>
      <c r="S12" s="62">
        <f ca="1">AVERAGE(OFFSET($R$3,0,0,'Données projet'!$E$9+1,1))-AVERAGE(OFFSET($H$3,0,0,'Données projet'!$E$9+1,1))</f>
        <v>157.98488572680344</v>
      </c>
      <c r="T12" s="62">
        <f t="shared" si="34"/>
        <v>269.20989374735825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5.7692307692307692</v>
      </c>
      <c r="N13" s="14">
        <f>IF('Données projet'!$A$36&gt;35,N12+M13-V12,IF(A13&lt;'Données projet'!$A$36,$K$205^A13,IF(A13='Données projet'!$A$36,'Données projet'!$B$36,N12+M13-V12)))</f>
        <v>27.69203156625229</v>
      </c>
      <c r="O13" s="14">
        <f>N13*VLOOKUP('Données projet'!$B$9,Paramètres!$A$1:$I$89,3,0)*VLOOKUP('Données projet'!$B$9,Paramètres!$A$1:$I$89,5,0)</f>
        <v>16.559834876618869</v>
      </c>
      <c r="P13" s="14">
        <f t="shared" si="33"/>
        <v>5.5043995188977117</v>
      </c>
      <c r="Q13" s="22">
        <f t="shared" si="2"/>
        <v>38.428541572191371</v>
      </c>
      <c r="R13" s="62">
        <f t="shared" si="0"/>
        <v>331.76187490552468</v>
      </c>
      <c r="S13" s="62">
        <f ca="1">AVERAGE(OFFSET($R$3,0,0,'Données projet'!$E$9+1,1))-AVERAGE(OFFSET($H$3,0,0,'Données projet'!$E$9+1,1))</f>
        <v>157.98488572680344</v>
      </c>
      <c r="T13" s="62">
        <f t="shared" si="34"/>
        <v>269.20989374735825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5.7692307692307692</v>
      </c>
      <c r="N14" s="14">
        <f>IF('Données projet'!$A$36&gt;35,N13+M14-V13,IF(A14&lt;'Données projet'!$A$36,$K$205^A14,IF(A14='Données projet'!$A$36,'Données projet'!$B$36,N13+M14-V13)))</f>
        <v>38.600266206646971</v>
      </c>
      <c r="O14" s="14">
        <f>N14*VLOOKUP('Données projet'!$B$9,Paramètres!$A$1:$I$89,3,0)*VLOOKUP('Données projet'!$B$9,Paramètres!$A$1:$I$89,5,0)</f>
        <v>23.08295919157489</v>
      </c>
      <c r="P14" s="14">
        <f t="shared" si="33"/>
        <v>7.3817004912465372</v>
      </c>
      <c r="Q14" s="22">
        <f t="shared" si="2"/>
        <v>53.059282280913983</v>
      </c>
      <c r="R14" s="62">
        <f t="shared" si="0"/>
        <v>346.39261561424729</v>
      </c>
      <c r="S14" s="62">
        <f ca="1">AVERAGE(OFFSET($R$3,0,0,'Données projet'!$E$9+1,1))-AVERAGE(OFFSET($H$3,0,0,'Données projet'!$E$9+1,1))</f>
        <v>157.98488572680344</v>
      </c>
      <c r="T14" s="62">
        <f t="shared" si="34"/>
        <v>269.20989374735825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5.7692307692307692</v>
      </c>
      <c r="N15" s="14">
        <f>IF('Données projet'!$A$36&gt;35,N14+M15-V14,IF(A15&lt;'Données projet'!$A$36,$K$205^A15,IF(A15='Données projet'!$A$36,'Données projet'!$B$36,N14+M15-V14)))</f>
        <v>53.805389743951515</v>
      </c>
      <c r="O15" s="14">
        <f>N15*VLOOKUP('Données projet'!$B$9,Paramètres!$A$1:$I$89,3,0)*VLOOKUP('Données projet'!$B$9,Paramètres!$A$1:$I$89,5,0)</f>
        <v>32.175623066883006</v>
      </c>
      <c r="P15" s="14">
        <f t="shared" si="33"/>
        <v>9.8992636627112418</v>
      </c>
      <c r="Q15" s="22">
        <f t="shared" si="2"/>
        <v>73.28042772070998</v>
      </c>
      <c r="R15" s="62">
        <f t="shared" si="0"/>
        <v>366.61376105404327</v>
      </c>
      <c r="S15" s="62">
        <f ca="1">AVERAGE(OFFSET($R$3,0,0,'Données projet'!$E$9+1,1))-AVERAGE(OFFSET($H$3,0,0,'Données projet'!$E$9+1,1))</f>
        <v>157.98488572680344</v>
      </c>
      <c r="T15" s="62">
        <f t="shared" si="34"/>
        <v>269.20989374735825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75</v>
      </c>
      <c r="L16" s="13">
        <f>VLOOKUP(A16,'Données projet'!$A$35:$I$55,9,0)</f>
        <v>5.7692307692307692</v>
      </c>
      <c r="M16" s="13">
        <f t="array" ref="M16">INDEX(L:L,MIN(IF(ISNUMBER(L16:L212),ROW(L16:L212),"")))</f>
        <v>5.7692307692307692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394.56849804736953</v>
      </c>
      <c r="S16" s="62">
        <f ca="1">AVERAGE(OFFSET($R$3,0,0,'Données projet'!$E$9+1,1))-AVERAGE(OFFSET($H$3,0,0,'Données projet'!$E$9+1,1))</f>
        <v>157.98488572680344</v>
      </c>
      <c r="T16" s="62">
        <f t="shared" si="34"/>
        <v>269.20989374735825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17.166666666666668</v>
      </c>
      <c r="N17" s="14">
        <f>IF('Données projet'!$A$36&gt;35,N16+M17-V16,IF(A17&lt;'Données projet'!$A$36,$K$205^A17,IF(A17='Données projet'!$A$36,'Données projet'!$B$36,N16+M17-V16)))</f>
        <v>77.166666666666671</v>
      </c>
      <c r="O17" s="14">
        <f>N17*VLOOKUP('Données projet'!$B$9,Paramètres!$A$1:$I$89,3,0)*VLOOKUP('Données projet'!$B$9,Paramètres!$A$1:$I$89,5,0)</f>
        <v>46.145666666666671</v>
      </c>
      <c r="P17" s="14">
        <f t="shared" si="33"/>
        <v>13.613761874667908</v>
      </c>
      <c r="Q17" s="22">
        <f t="shared" si="2"/>
        <v>104.08100470949104</v>
      </c>
      <c r="R17" s="62">
        <f t="shared" si="0"/>
        <v>397.41433804282434</v>
      </c>
      <c r="S17" s="62">
        <f ca="1">AVERAGE(OFFSET($R$3,0,0,'Données projet'!$E$9+1,1))-AVERAGE(OFFSET($H$3,0,0,'Données projet'!$E$9+1,1))</f>
        <v>157.98488572680344</v>
      </c>
      <c r="T17" s="62">
        <f t="shared" si="34"/>
        <v>269.20989374735825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17.166666666666668</v>
      </c>
      <c r="N18" s="14">
        <f>IF('Données projet'!$A$36&gt;35,N17+M18-V17,IF(A18&lt;'Données projet'!$A$36,$K$205^A18,IF(A18='Données projet'!$A$36,'Données projet'!$B$36,N17+M18-V17)))</f>
        <v>94.333333333333343</v>
      </c>
      <c r="O18" s="14">
        <f>N18*VLOOKUP('Données projet'!$B$9,Paramètres!$A$1:$I$89,3,0)*VLOOKUP('Données projet'!$B$9,Paramètres!$A$1:$I$89,5,0)</f>
        <v>56.411333333333339</v>
      </c>
      <c r="P18" s="14">
        <f t="shared" si="33"/>
        <v>16.257710461388346</v>
      </c>
      <c r="Q18" s="22">
        <f t="shared" si="2"/>
        <v>126.56525127580693</v>
      </c>
      <c r="R18" s="62">
        <f t="shared" si="0"/>
        <v>419.89858460914024</v>
      </c>
      <c r="S18" s="62">
        <f ca="1">AVERAGE(OFFSET($R$3,0,0,'Données projet'!$E$9+1,1))-AVERAGE(OFFSET($H$3,0,0,'Données projet'!$E$9+1,1))</f>
        <v>157.98488572680344</v>
      </c>
      <c r="T18" s="62">
        <f t="shared" si="34"/>
        <v>269.20989374735825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17.166666666666668</v>
      </c>
      <c r="N19" s="14">
        <f>IF('Données projet'!$A$36&gt;35,N18+M19-V18,IF(A19&lt;'Données projet'!$A$36,$K$205^A19,IF(A19='Données projet'!$A$36,'Données projet'!$B$36,N18+M19-V18)))</f>
        <v>111.50000000000001</v>
      </c>
      <c r="O19" s="14">
        <f>N19*VLOOKUP('Données projet'!$B$9,Paramètres!$A$1:$I$89,3,0)*VLOOKUP('Données projet'!$B$9,Paramètres!$A$1:$I$89,5,0)</f>
        <v>66.677000000000007</v>
      </c>
      <c r="P19" s="14">
        <f t="shared" si="33"/>
        <v>18.845918291779732</v>
      </c>
      <c r="Q19" s="22">
        <f t="shared" si="2"/>
        <v>148.95241602484973</v>
      </c>
      <c r="R19" s="62">
        <f t="shared" si="0"/>
        <v>442.28574935818301</v>
      </c>
      <c r="S19" s="62">
        <f ca="1">AVERAGE(OFFSET($R$3,0,0,'Données projet'!$E$9+1,1))-AVERAGE(OFFSET($H$3,0,0,'Données projet'!$E$9+1,1))</f>
        <v>157.98488572680344</v>
      </c>
      <c r="T19" s="62">
        <f t="shared" si="34"/>
        <v>269.20989374735825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17.166666666666668</v>
      </c>
      <c r="N20" s="14">
        <f>IF('Données projet'!$A$36&gt;35,N19+M20-V19,IF(A20&lt;'Données projet'!$A$36,$K$205^A20,IF(A20='Données projet'!$A$36,'Données projet'!$B$36,N19+M20-V19)))</f>
        <v>128.66666666666669</v>
      </c>
      <c r="O20" s="14">
        <f>N20*VLOOKUP('Données projet'!$B$9,Paramètres!$A$1:$I$89,3,0)*VLOOKUP('Données projet'!$B$9,Paramètres!$A$1:$I$89,5,0)</f>
        <v>76.942666666666682</v>
      </c>
      <c r="P20" s="14">
        <f t="shared" si="33"/>
        <v>21.387963426287346</v>
      </c>
      <c r="Q20" s="22">
        <f t="shared" si="2"/>
        <v>171.25918074522826</v>
      </c>
      <c r="R20" s="62">
        <f t="shared" si="0"/>
        <v>464.59251407856158</v>
      </c>
      <c r="S20" s="62">
        <f ca="1">AVERAGE(OFFSET($R$3,0,0,'Données projet'!$E$9+1,1))-AVERAGE(OFFSET($H$3,0,0,'Données projet'!$E$9+1,1))</f>
        <v>157.98488572680344</v>
      </c>
      <c r="T20" s="62">
        <f t="shared" si="34"/>
        <v>269.20989374735825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17.166666666666668</v>
      </c>
      <c r="N21" s="14">
        <f>IF('Données projet'!$A$36&gt;35,N20+M21-V20,IF(A21&lt;'Données projet'!$A$36,$K$205^A21,IF(A21='Données projet'!$A$36,'Données projet'!$B$36,N20+M21-V20)))</f>
        <v>145.83333333333334</v>
      </c>
      <c r="O21" s="14">
        <f>N21*VLOOKUP('Données projet'!$B$9,Paramètres!$A$1:$I$89,3,0)*VLOOKUP('Données projet'!$B$9,Paramètres!$A$1:$I$89,5,0)</f>
        <v>87.208333333333343</v>
      </c>
      <c r="P21" s="14">
        <f t="shared" si="33"/>
        <v>23.890712489742075</v>
      </c>
      <c r="Q21" s="22">
        <f t="shared" si="2"/>
        <v>193.49750480852299</v>
      </c>
      <c r="R21" s="62">
        <f t="shared" si="0"/>
        <v>486.8308381418563</v>
      </c>
      <c r="S21" s="62">
        <f ca="1">AVERAGE(OFFSET($R$3,0,0,'Données projet'!$E$9+1,1))-AVERAGE(OFFSET($H$3,0,0,'Données projet'!$E$9+1,1))</f>
        <v>157.98488572680344</v>
      </c>
      <c r="T21" s="62">
        <f t="shared" si="34"/>
        <v>269.20989374735825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>
        <f>VLOOKUP(A22,'Données projet'!$A$35:$I$55,2,0)</f>
        <v>163</v>
      </c>
      <c r="L22" s="13">
        <f>VLOOKUP(A22,'Données projet'!$A$35:$I$55,9,0)</f>
        <v>17.166666666666668</v>
      </c>
      <c r="M22" s="13">
        <f t="array" ref="M22">INDEX(L:L,MIN(IF(ISNUMBER(L22:L218),ROW(L22:L218),"")))</f>
        <v>17.166666666666668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509.00969856271797</v>
      </c>
      <c r="S22" s="62">
        <f ca="1">AVERAGE(OFFSET($R$3,0,0,'Données projet'!$E$9+1,1))-AVERAGE(OFFSET($H$3,0,0,'Données projet'!$E$9+1,1))</f>
        <v>157.98488572680344</v>
      </c>
      <c r="T22" s="62">
        <f t="shared" si="34"/>
        <v>269.20989374735825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16.5</v>
      </c>
      <c r="N23" s="14">
        <f>IF('Données projet'!$A$36&gt;35,N22+M23-V22,IF(A23&lt;'Données projet'!$A$36,$K$205^A23,IF(A23='Données projet'!$A$36,'Données projet'!$B$36,N22+M23-V22)))</f>
        <v>139.5</v>
      </c>
      <c r="O23" s="14">
        <f>N23*VLOOKUP('Données projet'!$B$9,Paramètres!$A$1:$I$89,3,0)*VLOOKUP('Données projet'!$B$9,Paramètres!$A$1:$I$89,5,0)</f>
        <v>83.421000000000006</v>
      </c>
      <c r="P23" s="14">
        <f t="shared" si="33"/>
        <v>22.97158706718762</v>
      </c>
      <c r="Q23" s="22">
        <f t="shared" si="2"/>
        <v>185.30042247535178</v>
      </c>
      <c r="R23" s="62">
        <f t="shared" si="0"/>
        <v>478.63375580868512</v>
      </c>
      <c r="S23" s="62">
        <f ca="1">AVERAGE(OFFSET($R$3,0,0,'Données projet'!$E$9+1,1))-AVERAGE(OFFSET($H$3,0,0,'Données projet'!$E$9+1,1))</f>
        <v>157.98488572680344</v>
      </c>
      <c r="T23" s="62">
        <f t="shared" si="34"/>
        <v>269.20989374735825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16.5</v>
      </c>
      <c r="N24" s="14">
        <f>IF('Données projet'!$A$36&gt;35,N23+M24-V23,IF(A24&lt;'Données projet'!$A$36,$K$205^A24,IF(A24='Données projet'!$A$36,'Données projet'!$B$36,N23+M24-V23)))</f>
        <v>156</v>
      </c>
      <c r="O24" s="14">
        <f>N24*VLOOKUP('Données projet'!$B$9,Paramètres!$A$1:$I$89,3,0)*VLOOKUP('Données projet'!$B$9,Paramètres!$A$1:$I$89,5,0)</f>
        <v>93.288000000000011</v>
      </c>
      <c r="P24" s="14">
        <f t="shared" si="33"/>
        <v>25.356547829040977</v>
      </c>
      <c r="Q24" s="22">
        <f t="shared" si="2"/>
        <v>206.63925413557971</v>
      </c>
      <c r="R24" s="62">
        <f t="shared" si="0"/>
        <v>499.97258746891305</v>
      </c>
      <c r="S24" s="62">
        <f ca="1">AVERAGE(OFFSET($R$3,0,0,'Données projet'!$E$9+1,1))-AVERAGE(OFFSET($H$3,0,0,'Données projet'!$E$9+1,1))</f>
        <v>157.98488572680344</v>
      </c>
      <c r="T24" s="62">
        <f t="shared" si="34"/>
        <v>269.20989374735825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172.5</v>
      </c>
      <c r="O25" s="14">
        <f>N25*VLOOKUP('Données projet'!$B$9,Paramètres!$A$1:$I$89,3,0)*VLOOKUP('Données projet'!$B$9,Paramètres!$A$1:$I$89,5,0)</f>
        <v>103.15500000000002</v>
      </c>
      <c r="P25" s="14">
        <f t="shared" si="33"/>
        <v>27.71226857071613</v>
      </c>
      <c r="Q25" s="22">
        <f t="shared" si="2"/>
        <v>227.92715942733059</v>
      </c>
      <c r="R25" s="62">
        <f t="shared" si="0"/>
        <v>521.26049276066396</v>
      </c>
      <c r="S25" s="62">
        <f ca="1">AVERAGE(OFFSET($R$3,0,0,'Données projet'!$E$9+1,1))-AVERAGE(OFFSET($H$3,0,0,'Données projet'!$E$9+1,1))</f>
        <v>157.98488572680344</v>
      </c>
      <c r="T25" s="62">
        <f t="shared" si="34"/>
        <v>269.20989374735825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189</v>
      </c>
      <c r="O26" s="14">
        <f>N26*VLOOKUP('Données projet'!$B$9,Paramètres!$A$1:$I$89,3,0)*VLOOKUP('Données projet'!$B$9,Paramètres!$A$1:$I$89,5,0)</f>
        <v>113.02200000000001</v>
      </c>
      <c r="P26" s="14">
        <f t="shared" si="33"/>
        <v>30.041864379091852</v>
      </c>
      <c r="Q26" s="22">
        <f t="shared" si="2"/>
        <v>249.16956379358496</v>
      </c>
      <c r="R26" s="62">
        <f t="shared" si="0"/>
        <v>542.50289712691824</v>
      </c>
      <c r="S26" s="62">
        <f ca="1">AVERAGE(OFFSET($R$3,0,0,'Données projet'!$E$9+1,1))-AVERAGE(OFFSET($H$3,0,0,'Données projet'!$E$9+1,1))</f>
        <v>157.98488572680344</v>
      </c>
      <c r="T26" s="62">
        <f t="shared" si="34"/>
        <v>269.20989374735825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16.5</v>
      </c>
      <c r="N27" s="14">
        <f>IF('Données projet'!$A$36&gt;35,N26+M27-V26,IF(A27&lt;'Données projet'!$A$36,$K$205^A27,IF(A27='Données projet'!$A$36,'Données projet'!$B$36,N26+M27-V26)))</f>
        <v>205.5</v>
      </c>
      <c r="O27" s="14">
        <f>N27*VLOOKUP('Données projet'!$B$9,Paramètres!$A$1:$I$89,3,0)*VLOOKUP('Données projet'!$B$9,Paramètres!$A$1:$I$89,5,0)</f>
        <v>122.88900000000001</v>
      </c>
      <c r="P27" s="14">
        <f t="shared" si="33"/>
        <v>32.347875332170432</v>
      </c>
      <c r="Q27" s="22">
        <f t="shared" si="2"/>
        <v>270.37089120353011</v>
      </c>
      <c r="R27" s="62">
        <f t="shared" si="0"/>
        <v>563.70422453686342</v>
      </c>
      <c r="S27" s="62">
        <f ca="1">AVERAGE(OFFSET($R$3,0,0,'Données projet'!$E$9+1,1))-AVERAGE(OFFSET($H$3,0,0,'Données projet'!$E$9+1,1))</f>
        <v>157.98488572680344</v>
      </c>
      <c r="T27" s="62">
        <f t="shared" si="34"/>
        <v>269.20989374735825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222</v>
      </c>
      <c r="L28" s="13">
        <f>VLOOKUP(A28,'Données projet'!$A$35:$I$55,9,0)</f>
        <v>16.5</v>
      </c>
      <c r="M28" s="13">
        <f t="array" ref="M28">INDEX(L:L,MIN(IF(ISNUMBER(L28:L224),ROW(L28:L224),"")))</f>
        <v>16.5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584.86814810870044</v>
      </c>
      <c r="S28" s="62">
        <f ca="1">AVERAGE(OFFSET($R$3,0,0,'Données projet'!$E$9+1,1))-AVERAGE(OFFSET($H$3,0,0,'Données projet'!$E$9+1,1))</f>
        <v>157.98488572680344</v>
      </c>
      <c r="T28" s="62">
        <f t="shared" si="34"/>
        <v>269.20989374735825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13.8</v>
      </c>
      <c r="N29" s="14">
        <f>IF('Données projet'!$A$36&gt;35,N28+M29-V28,IF(A29&lt;'Données projet'!$A$36,$K$205^A29,IF(A29='Données projet'!$A$36,'Données projet'!$B$36,N28+M29-V28)))</f>
        <v>181.8</v>
      </c>
      <c r="O29" s="14">
        <f>N29*VLOOKUP('Données projet'!$B$9,Paramètres!$A$1:$I$89,3,0)*VLOOKUP('Données projet'!$B$9,Paramètres!$A$1:$I$89,5,0)</f>
        <v>108.71640000000002</v>
      </c>
      <c r="P29" s="14">
        <f t="shared" si="33"/>
        <v>29.028352113364011</v>
      </c>
      <c r="Q29" s="22">
        <f t="shared" si="2"/>
        <v>239.90544326410898</v>
      </c>
      <c r="R29" s="62">
        <f t="shared" si="0"/>
        <v>533.23877659744232</v>
      </c>
      <c r="S29" s="62">
        <f ca="1">AVERAGE(OFFSET($R$3,0,0,'Données projet'!$E$9+1,1))-AVERAGE(OFFSET($H$3,0,0,'Données projet'!$E$9+1,1))</f>
        <v>157.98488572680344</v>
      </c>
      <c r="T29" s="62">
        <f t="shared" si="34"/>
        <v>269.20989374735825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13.8</v>
      </c>
      <c r="N30" s="14">
        <f>IF('Données projet'!$A$36&gt;35,N29+M30-V29,IF(A30&lt;'Données projet'!$A$36,$K$205^A30,IF(A30='Données projet'!$A$36,'Données projet'!$B$36,N29+M30-V29)))</f>
        <v>195.60000000000002</v>
      </c>
      <c r="O30" s="14">
        <f>N30*VLOOKUP('Données projet'!$B$9,Paramètres!$A$1:$I$89,3,0)*VLOOKUP('Données projet'!$B$9,Paramètres!$A$1:$I$89,5,0)</f>
        <v>116.96880000000002</v>
      </c>
      <c r="P30" s="14">
        <f t="shared" si="33"/>
        <v>30.966972418998537</v>
      </c>
      <c r="Q30" s="22">
        <f t="shared" si="2"/>
        <v>257.6548036297558</v>
      </c>
      <c r="R30" s="62">
        <f t="shared" si="0"/>
        <v>550.98813696308912</v>
      </c>
      <c r="S30" s="62">
        <f ca="1">AVERAGE(OFFSET($R$3,0,0,'Données projet'!$E$9+1,1))-AVERAGE(OFFSET($H$3,0,0,'Données projet'!$E$9+1,1))</f>
        <v>157.98488572680344</v>
      </c>
      <c r="T30" s="62">
        <f t="shared" si="34"/>
        <v>269.20989374735825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13.8</v>
      </c>
      <c r="N31" s="14">
        <f>IF('Données projet'!$A$36&gt;35,N30+M31-V30,IF(A31&lt;'Données projet'!$A$36,$K$205^A31,IF(A31='Données projet'!$A$36,'Données projet'!$B$36,N30+M31-V30)))</f>
        <v>209.40000000000003</v>
      </c>
      <c r="O31" s="14">
        <f>N31*VLOOKUP('Données projet'!$B$9,Paramètres!$A$1:$I$89,3,0)*VLOOKUP('Données projet'!$B$9,Paramètres!$A$1:$I$89,5,0)</f>
        <v>125.22120000000004</v>
      </c>
      <c r="P31" s="14">
        <f t="shared" si="33"/>
        <v>32.889723553463881</v>
      </c>
      <c r="Q31" s="22">
        <f t="shared" si="2"/>
        <v>275.37652518894964</v>
      </c>
      <c r="R31" s="62">
        <f t="shared" si="0"/>
        <v>568.70985852228296</v>
      </c>
      <c r="S31" s="62">
        <f ca="1">AVERAGE(OFFSET($R$3,0,0,'Données projet'!$E$9+1,1))-AVERAGE(OFFSET($H$3,0,0,'Données projet'!$E$9+1,1))</f>
        <v>157.98488572680344</v>
      </c>
      <c r="T31" s="62">
        <f t="shared" si="34"/>
        <v>269.20989374735825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13.8</v>
      </c>
      <c r="N32" s="14">
        <f>IF('Données projet'!$A$36&gt;35,N31+M32-V31,IF(A32&lt;'Données projet'!$A$36,$K$205^A32,IF(A32='Données projet'!$A$36,'Données projet'!$B$36,N31+M32-V31)))</f>
        <v>223.20000000000005</v>
      </c>
      <c r="O32" s="14">
        <f>N32*VLOOKUP('Données projet'!$B$9,Paramètres!$A$1:$I$89,3,0)*VLOOKUP('Données projet'!$B$9,Paramètres!$A$1:$I$89,5,0)</f>
        <v>133.47360000000003</v>
      </c>
      <c r="P32" s="14">
        <f t="shared" si="33"/>
        <v>34.79777034418013</v>
      </c>
      <c r="Q32" s="22">
        <f t="shared" si="2"/>
        <v>293.0726366827804</v>
      </c>
      <c r="R32" s="62">
        <f t="shared" si="0"/>
        <v>586.40597001611377</v>
      </c>
      <c r="S32" s="62">
        <f ca="1">AVERAGE(OFFSET($R$3,0,0,'Données projet'!$E$9+1,1))-AVERAGE(OFFSET($H$3,0,0,'Données projet'!$E$9+1,1))</f>
        <v>157.98488572680344</v>
      </c>
      <c r="T32" s="62">
        <f t="shared" si="34"/>
        <v>269.20989374735825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237</v>
      </c>
      <c r="L33" s="13">
        <f>VLOOKUP(A33,'Données projet'!$A$35:$I$55,9,0)</f>
        <v>13.8</v>
      </c>
      <c r="M33" s="13">
        <f t="array" ref="M33">INDEX(L:L,MIN(IF(ISNUMBER(L33:L229),ROW(L33:L229),"")))</f>
        <v>13.8</v>
      </c>
      <c r="N33" s="14">
        <f>IF('Données projet'!$A$36&gt;35,N32+M33-V32,IF(A33&lt;'Données projet'!$A$36,$K$205^A33,IF(A33='Données projet'!$A$36,'Données projet'!$B$36,N32+M33-V32)))</f>
        <v>237.00000000000006</v>
      </c>
      <c r="O33" s="14">
        <f>N33*VLOOKUP('Données projet'!$B$9,Paramètres!$A$1:$I$89,3,0)*VLOOKUP('Données projet'!$B$9,Paramètres!$A$1:$I$89,5,0)</f>
        <v>141.72600000000003</v>
      </c>
      <c r="P33" s="14">
        <f t="shared" si="33"/>
        <v>36.692125440686915</v>
      </c>
      <c r="Q33" s="22">
        <f t="shared" si="2"/>
        <v>310.74490180919639</v>
      </c>
      <c r="R33" s="62">
        <f t="shared" si="0"/>
        <v>604.07823514252971</v>
      </c>
      <c r="S33" s="62">
        <f ca="1">AVERAGE(OFFSET($R$3,0,0,'Données projet'!$E$9+1,1))-AVERAGE(OFFSET($H$3,0,0,'Données projet'!$E$9+1,1))</f>
        <v>157.98488572680344</v>
      </c>
      <c r="T33" s="62">
        <f t="shared" si="34"/>
        <v>269.20989374735825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12.625</v>
      </c>
      <c r="N34" s="14">
        <f>IF('Données projet'!$A$36&gt;35,N33+M34-V33,IF(A34&lt;'Données projet'!$A$36,$K$205^A34,IF(A34='Données projet'!$A$36,'Données projet'!$B$36,N33+M34-V33)))</f>
        <v>249.62500000000006</v>
      </c>
      <c r="O34" s="14">
        <f>N34*VLOOKUP('Données projet'!$B$9,Paramètres!$A$1:$I$89,3,0)*VLOOKUP('Données projet'!$B$9,Paramètres!$A$1:$I$89,5,0)</f>
        <v>149.27575000000004</v>
      </c>
      <c r="P34" s="14">
        <f t="shared" si="33"/>
        <v>38.413950875340568</v>
      </c>
      <c r="Q34" s="22">
        <f t="shared" si="2"/>
        <v>326.89289569121826</v>
      </c>
      <c r="R34" s="62">
        <f t="shared" si="0"/>
        <v>620.22622902455157</v>
      </c>
      <c r="S34" s="62">
        <f ca="1">AVERAGE(OFFSET($R$3,0,0,'Données projet'!$E$9+1,1))-AVERAGE(OFFSET($H$3,0,0,'Données projet'!$E$9+1,1))</f>
        <v>157.98488572680344</v>
      </c>
      <c r="T34" s="62">
        <f t="shared" si="34"/>
        <v>269.20989374735825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12.625</v>
      </c>
      <c r="N35" s="14">
        <f>IF('Données projet'!$A$36&gt;35,N34+M35-V34,IF(A35&lt;'Données projet'!$A$36,$K$205^A35,IF(A35='Données projet'!$A$36,'Données projet'!$B$36,N34+M35-V34)))</f>
        <v>262.25000000000006</v>
      </c>
      <c r="O35" s="14">
        <f>N35*VLOOKUP('Données projet'!$B$9,Paramètres!$A$1:$I$89,3,0)*VLOOKUP('Données projet'!$B$9,Paramètres!$A$1:$I$89,5,0)</f>
        <v>156.82550000000006</v>
      </c>
      <c r="P35" s="14">
        <f t="shared" si="33"/>
        <v>40.12566509846944</v>
      </c>
      <c r="Q35" s="22">
        <f t="shared" ref="Q35:Q66" si="53">(O35+P35)*0.475*44/12</f>
        <v>343.02327921316777</v>
      </c>
      <c r="R35" s="62">
        <f t="shared" si="0"/>
        <v>636.35661254650108</v>
      </c>
      <c r="S35" s="62">
        <f ca="1">AVERAGE(OFFSET($R$3,0,0,'Données projet'!$E$9+1,1))-AVERAGE(OFFSET($H$3,0,0,'Données projet'!$E$9+1,1))</f>
        <v>157.98488572680344</v>
      </c>
      <c r="T35" s="62">
        <f t="shared" si="34"/>
        <v>269.20989374735825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12.625</v>
      </c>
      <c r="N36" s="14">
        <f>IF('Données projet'!$A$36&gt;35,N35+M36-V35,IF(A36&lt;'Données projet'!$A$36,$K$205^A36,IF(A36='Données projet'!$A$36,'Données projet'!$B$36,N35+M36-V35)))</f>
        <v>274.87500000000006</v>
      </c>
      <c r="O36" s="14">
        <f>N36*VLOOKUP('Données projet'!$B$9,Paramètres!$A$1:$I$89,3,0)*VLOOKUP('Données projet'!$B$9,Paramètres!$A$1:$I$89,5,0)</f>
        <v>164.37525000000005</v>
      </c>
      <c r="P36" s="14">
        <f t="shared" si="33"/>
        <v>41.827810443115574</v>
      </c>
      <c r="Q36" s="22">
        <f t="shared" si="53"/>
        <v>359.13699693842636</v>
      </c>
      <c r="R36" s="62">
        <f t="shared" si="0"/>
        <v>652.47033027175962</v>
      </c>
      <c r="S36" s="62">
        <f ca="1">AVERAGE(OFFSET($R$3,0,0,'Données projet'!$E$9+1,1))-AVERAGE(OFFSET($H$3,0,0,'Données projet'!$E$9+1,1))</f>
        <v>157.98488572680344</v>
      </c>
      <c r="T36" s="62">
        <f t="shared" si="34"/>
        <v>269.20989374735825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12.625</v>
      </c>
      <c r="N37" s="14">
        <f>IF('Données projet'!$A$36&gt;35,N36+M37-V36,IF(A37&lt;'Données projet'!$A$36,$K$205^A37,IF(A37='Données projet'!$A$36,'Données projet'!$B$36,N36+M37-V36)))</f>
        <v>287.50000000000006</v>
      </c>
      <c r="O37" s="14">
        <f>N37*VLOOKUP('Données projet'!$B$9,Paramètres!$A$1:$I$89,3,0)*VLOOKUP('Données projet'!$B$9,Paramètres!$A$1:$I$89,5,0)</f>
        <v>171.92500000000004</v>
      </c>
      <c r="P37" s="14">
        <f t="shared" si="33"/>
        <v>43.520876607827979</v>
      </c>
      <c r="Q37" s="22">
        <f t="shared" si="53"/>
        <v>375.23490175863373</v>
      </c>
      <c r="R37" s="62">
        <f t="shared" si="0"/>
        <v>668.56823509196704</v>
      </c>
      <c r="S37" s="62">
        <f ca="1">AVERAGE(OFFSET($R$3,0,0,'Données projet'!$E$9+1,1))-AVERAGE(OFFSET($H$3,0,0,'Données projet'!$E$9+1,1))</f>
        <v>157.98488572680344</v>
      </c>
      <c r="T37" s="62">
        <f t="shared" si="34"/>
        <v>269.20989374735825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12.625</v>
      </c>
      <c r="N38" s="14">
        <f>IF('Données projet'!$A$36&gt;35,N37+M38-V37,IF(A38&lt;'Données projet'!$A$36,$K$205^A38,IF(A38='Données projet'!$A$36,'Données projet'!$B$36,N37+M38-V37)))</f>
        <v>300.12500000000006</v>
      </c>
      <c r="O38" s="14">
        <f>N38*VLOOKUP('Données projet'!$B$9,Paramètres!$A$1:$I$89,3,0)*VLOOKUP('Données projet'!$B$9,Paramètres!$A$1:$I$89,5,0)</f>
        <v>179.47475000000006</v>
      </c>
      <c r="P38" s="14">
        <f t="shared" si="33"/>
        <v>45.205307850969106</v>
      </c>
      <c r="Q38" s="22">
        <f t="shared" si="53"/>
        <v>391.31776742377127</v>
      </c>
      <c r="R38" s="62">
        <f t="shared" si="0"/>
        <v>684.65110075710459</v>
      </c>
      <c r="S38" s="62">
        <f ca="1">AVERAGE(OFFSET($R$3,0,0,'Données projet'!$E$9+1,1))-AVERAGE(OFFSET($H$3,0,0,'Données projet'!$E$9+1,1))</f>
        <v>157.98488572680344</v>
      </c>
      <c r="T38" s="62">
        <f t="shared" si="34"/>
        <v>269.20989374735825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12.625</v>
      </c>
      <c r="N39" s="14">
        <f>IF('Données projet'!$A$36&gt;35,N38+M39-V38,IF(A39&lt;'Données projet'!$A$36,$K$205^A39,IF(A39='Données projet'!$A$36,'Données projet'!$B$36,N38+M39-V38)))</f>
        <v>312.75000000000006</v>
      </c>
      <c r="O39" s="14">
        <f>N39*VLOOKUP('Données projet'!$B$9,Paramètres!$A$1:$I$89,3,0)*VLOOKUP('Données projet'!$B$9,Paramètres!$A$1:$I$89,5,0)</f>
        <v>187.02450000000005</v>
      </c>
      <c r="P39" s="14">
        <f t="shared" si="33"/>
        <v>46.881508940362963</v>
      </c>
      <c r="Q39" s="22">
        <f t="shared" si="53"/>
        <v>407.38629890446555</v>
      </c>
      <c r="R39" s="62">
        <f t="shared" si="0"/>
        <v>700.71963223779881</v>
      </c>
      <c r="S39" s="62">
        <f ca="1">AVERAGE(OFFSET($R$3,0,0,'Données projet'!$E$9+1,1))-AVERAGE(OFFSET($H$3,0,0,'Données projet'!$E$9+1,1))</f>
        <v>157.98488572680344</v>
      </c>
      <c r="T39" s="62">
        <f t="shared" si="34"/>
        <v>269.20989374735825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12.625</v>
      </c>
      <c r="N40" s="14">
        <f>IF('Données projet'!$A$36&gt;35,N39+M40-V39,IF(A40&lt;'Données projet'!$A$36,$K$205^A40,IF(A40='Données projet'!$A$36,'Données projet'!$B$36,N39+M40-V39)))</f>
        <v>325.37500000000006</v>
      </c>
      <c r="O40" s="14">
        <f>N40*VLOOKUP('Données projet'!$B$9,Paramètres!$A$1:$I$89,3,0)*VLOOKUP('Données projet'!$B$9,Paramètres!$A$1:$I$89,5,0)</f>
        <v>194.57425000000006</v>
      </c>
      <c r="P40" s="14">
        <f t="shared" si="33"/>
        <v>48.54985011520143</v>
      </c>
      <c r="Q40" s="22">
        <f t="shared" si="53"/>
        <v>423.44114103397595</v>
      </c>
      <c r="R40" s="62">
        <f t="shared" si="0"/>
        <v>716.77447436730927</v>
      </c>
      <c r="S40" s="62">
        <f ca="1">AVERAGE(OFFSET($R$3,0,0,'Données projet'!$E$9+1,1))-AVERAGE(OFFSET($H$3,0,0,'Données projet'!$E$9+1,1))</f>
        <v>157.98488572680344</v>
      </c>
      <c r="T40" s="62">
        <f t="shared" si="34"/>
        <v>269.20989374735825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12.625</v>
      </c>
      <c r="M41" s="13">
        <f t="array" ref="M41">INDEX(L:L,MIN(IF(ISNUMBER(L41:L237),ROW(L41:L237),"")))</f>
        <v>12.625</v>
      </c>
      <c r="N41" s="14">
        <f>IF('Données projet'!$A$36&gt;35,N40+M41-V40,IF(A41&lt;'Données projet'!$A$36,$K$205^A41,IF(A41='Données projet'!$A$36,'Données projet'!$B$36,N40+M41-V40)))</f>
        <v>338.00000000000006</v>
      </c>
      <c r="O41" s="14">
        <f>N41*VLOOKUP('Données projet'!$B$9,Paramètres!$A$1:$I$89,3,0)*VLOOKUP('Données projet'!$B$9,Paramètres!$A$1:$I$89,5,0)</f>
        <v>202.12400000000008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732.81621910449587</v>
      </c>
      <c r="S41" s="62">
        <f ca="1">AVERAGE(OFFSET($R$3,0,0,'Données projet'!$E$9+1,1))-AVERAGE(OFFSET($H$3,0,0,'Données projet'!$E$9+1,1))</f>
        <v>157.98488572680344</v>
      </c>
      <c r="T41" s="62">
        <f t="shared" si="34"/>
        <v>269.20989374735825</v>
      </c>
      <c r="U41" s="16">
        <f>IF(ISNA(VLOOKUP(A41,'Données projet'!$A$35:$I$55,3,0)),0,VLOOKUP(A41,'Données projet'!$A$35:$I$55,3,0))</f>
        <v>5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0.315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0.3</v>
      </c>
      <c r="Z41" s="23">
        <f>EXP(-LN(2)/35)*Z40+(1-EXP(-LN(2)/35))/(LN(2)/35)*V41*W41*VLOOKUP('Données projet'!$B$9,Paramètres!$A$1:$I$89,3,0)*0.475*44/12</f>
        <v>93.362043050648666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68.844914918064944</v>
      </c>
      <c r="AC41" s="24">
        <f t="shared" si="3"/>
        <v>164.88499670042717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157.98488572680344</v>
      </c>
      <c r="T42" s="62">
        <f t="shared" si="34"/>
        <v>269.20989374735825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91.531270331648827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48.680706188774636</v>
      </c>
      <c r="AC42" s="24">
        <f t="shared" si="3"/>
        <v>142.81678414218638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157.98488572680344</v>
      </c>
      <c r="T43" s="62">
        <f t="shared" si="34"/>
        <v>269.20989374735825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89.736397949007483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34.422457459032479</v>
      </c>
      <c r="AC43" s="24">
        <f t="shared" si="3"/>
        <v>126.69243442840488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157.98488572680344</v>
      </c>
      <c r="T44" s="62">
        <f t="shared" si="34"/>
        <v>269.20989374735825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87.976721919025678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24.340353094387321</v>
      </c>
      <c r="AC44" s="24">
        <f t="shared" si="3"/>
        <v>114.78137318223092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157.98488572680344</v>
      </c>
      <c r="T45" s="62">
        <f t="shared" si="34"/>
        <v>269.20989374735825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86.251552062695424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17.211228729516243</v>
      </c>
      <c r="AC45" s="24">
        <f t="shared" si="3"/>
        <v>105.85969259801143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157.98488572680344</v>
      </c>
      <c r="T46" s="62">
        <f t="shared" si="34"/>
        <v>269.20989374735825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84.560211734998092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12.170176547193662</v>
      </c>
      <c r="AC46" s="24">
        <f t="shared" si="3"/>
        <v>99.061756408613832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157.98488572680344</v>
      </c>
      <c r="T47" s="62">
        <f t="shared" si="34"/>
        <v>269.20989374735825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82.902037559511172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8.6056143647581216</v>
      </c>
      <c r="AC47" s="24">
        <f t="shared" si="3"/>
        <v>93.775268666673043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157.98488572680344</v>
      </c>
      <c r="T48" s="62">
        <f t="shared" si="34"/>
        <v>269.20989374735825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81.276379168219165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6.0850882735968312</v>
      </c>
      <c r="AC48" s="24">
        <f t="shared" si="3"/>
        <v>89.567076085149921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157.98488572680344</v>
      </c>
      <c r="T49" s="62">
        <f t="shared" si="34"/>
        <v>269.20989374735825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79.68259894642668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4.3028071823790608</v>
      </c>
      <c r="AC49" s="24">
        <f t="shared" si="3"/>
        <v>86.130702287799778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157.98488572680344</v>
      </c>
      <c r="T50" s="62">
        <f t="shared" si="34"/>
        <v>269.20989374735825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78.120071782673605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3.0425441367984156</v>
      </c>
      <c r="AC50" s="24">
        <f t="shared" si="3"/>
        <v>83.249248842182141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157.98488572680344</v>
      </c>
      <c r="T51" s="62">
        <f t="shared" si="34"/>
        <v>269.20989374735825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76.588184823554258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2.1514035911895304</v>
      </c>
      <c r="AC51" s="24">
        <f t="shared" si="3"/>
        <v>80.76916225045116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157.98488572680344</v>
      </c>
      <c r="T52" s="62">
        <f t="shared" si="34"/>
        <v>269.20989374735825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75.086337233344466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1.5212720683992078</v>
      </c>
      <c r="AC52" s="24">
        <f t="shared" si="3"/>
        <v>78.581684334182981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157.98488572680344</v>
      </c>
      <c r="T53" s="62">
        <f t="shared" si="34"/>
        <v>269.20989374735825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73.613939958342101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1.0757017955947652</v>
      </c>
      <c r="AC53" s="24">
        <f t="shared" si="3"/>
        <v>76.609735600802026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157.98488572680344</v>
      </c>
      <c r="T54" s="62">
        <f t="shared" si="34"/>
        <v>269.20989374735825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72.170415495828877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0.76063603419960391</v>
      </c>
      <c r="AC54" s="24">
        <f t="shared" si="3"/>
        <v>74.798640309677765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157.98488572680344</v>
      </c>
      <c r="T55" s="62">
        <f t="shared" si="34"/>
        <v>269.20989374735825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70.755197667562555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0.5378508977973826</v>
      </c>
      <c r="AC55" s="24">
        <f t="shared" si="3"/>
        <v>73.109568031617485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157.98488572680344</v>
      </c>
      <c r="T56" s="62">
        <f t="shared" si="34"/>
        <v>269.20989374735825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69.367731397710884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0.38031801709980195</v>
      </c>
      <c r="AC56" s="24">
        <f t="shared" si="3"/>
        <v>71.514896060736802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157.98488572680344</v>
      </c>
      <c r="T57" s="62">
        <f t="shared" si="34"/>
        <v>269.20989374735825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68.007472495140149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0.2689254488986913</v>
      </c>
      <c r="AC57" s="24">
        <f t="shared" si="3"/>
        <v>69.994930075517672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157.98488572680344</v>
      </c>
      <c r="T58" s="62">
        <f t="shared" si="34"/>
        <v>269.20989374735825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66.673887439972816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0.19015900854990098</v>
      </c>
      <c r="AC58" s="24">
        <f t="shared" si="3"/>
        <v>68.535585228492593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157.98488572680344</v>
      </c>
      <c r="T59" s="62">
        <f t="shared" si="34"/>
        <v>269.20989374735825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65.366453174330744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0.13446272444934565</v>
      </c>
      <c r="AC59" s="24">
        <f t="shared" si="3"/>
        <v>67.126746362909287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157.98488572680344</v>
      </c>
      <c r="T60" s="62">
        <f t="shared" si="34"/>
        <v>269.20989374735825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64.084656897181759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9.5079504274950488E-2</v>
      </c>
      <c r="AC60" s="24">
        <f t="shared" si="3"/>
        <v>65.761108446045583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157.98488572680344</v>
      </c>
      <c r="T61" s="62">
        <f t="shared" si="34"/>
        <v>269.20989374735825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62.827995863209132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6.7231362224672825E-2</v>
      </c>
      <c r="AC61" s="24">
        <f t="shared" si="3"/>
        <v>64.433356568302656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157.98488572680344</v>
      </c>
      <c r="T62" s="62">
        <f t="shared" si="34"/>
        <v>269.20989374735825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61.595977185625166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4.7539752137475244E-2</v>
      </c>
      <c r="AC62" s="24">
        <f t="shared" si="3"/>
        <v>63.13958605286404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157.98488572680344</v>
      </c>
      <c r="T63" s="62">
        <f t="shared" si="34"/>
        <v>269.20989374735825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60.388117642851427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3.3615681112336412E-2</v>
      </c>
      <c r="AC63" s="24">
        <f t="shared" si="3"/>
        <v>61.876892350437856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157.98488572680344</v>
      </c>
      <c r="T64" s="62">
        <f t="shared" si="34"/>
        <v>269.20989374735825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59.203943488989907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2.3769876068737622E-2</v>
      </c>
      <c r="AC64" s="24">
        <f t="shared" si="3"/>
        <v>60.643080991430324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157.98488572680344</v>
      </c>
      <c r="T65" s="62">
        <f t="shared" si="34"/>
        <v>269.20989374735825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58.042990268010691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1.6807840556168206E-2</v>
      </c>
      <c r="AC65" s="24">
        <f t="shared" si="3"/>
        <v>59.436462432764451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157.98488572680344</v>
      </c>
      <c r="T66" s="62">
        <f t="shared" si="34"/>
        <v>269.20989374735825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56.904802631583337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1.1884938034368811E-2</v>
      </c>
      <c r="AC66" s="24">
        <f t="shared" si="3"/>
        <v>58.255706935474485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157.98488572680344</v>
      </c>
      <c r="T67" s="62">
        <f t="shared" si="34"/>
        <v>269.20989374735825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55.788934160480416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8.4039202780841031E-3</v>
      </c>
      <c r="AC67" s="24">
        <f t="shared" si="3"/>
        <v>57.099741891639958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157.98488572680344</v>
      </c>
      <c r="T68" s="62">
        <f t="shared" si="34"/>
        <v>269.20989374735825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54.694947189483258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5.9424690171844055E-3</v>
      </c>
      <c r="AC68" s="24">
        <f t="shared" ref="AC68:AC131" si="57">SUM(Z68:AB68)</f>
        <v>55.967679168682906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157.98488572680344</v>
      </c>
      <c r="T69" s="62">
        <f t="shared" ref="T69:T132" si="88">$T$3</f>
        <v>269.20989374735825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53.62241263572119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4.2019601390420516E-3</v>
      </c>
      <c r="AC69" s="24">
        <f t="shared" si="57"/>
        <v>54.858763680269192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157.98488572680344</v>
      </c>
      <c r="T70" s="62">
        <f t="shared" si="88"/>
        <v>269.20989374735825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52.570909830376912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2.9712345085922028E-3</v>
      </c>
      <c r="AC70" s="24">
        <f t="shared" si="57"/>
        <v>53.772336967785392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157.98488572680344</v>
      </c>
      <c r="T71" s="62">
        <f t="shared" si="88"/>
        <v>269.20989374735825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51.540026353692056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2.1009800695210258E-3</v>
      </c>
      <c r="AC71" s="24">
        <f t="shared" si="57"/>
        <v>52.707811396972616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157.98488572680344</v>
      </c>
      <c r="T72" s="62">
        <f t="shared" si="88"/>
        <v>269.20989374735825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50.529357873208156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1.4856172542961014E-3</v>
      </c>
      <c r="AC72" s="24">
        <f t="shared" si="57"/>
        <v>51.664651861664325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157.98488572680344</v>
      </c>
      <c r="T73" s="62">
        <f t="shared" si="88"/>
        <v>269.20989374735825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49.538507985179635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1.0504900347605129E-3</v>
      </c>
      <c r="AC73" s="24">
        <f t="shared" si="57"/>
        <v>50.642362796881358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157.98488572680344</v>
      </c>
      <c r="T74" s="62">
        <f t="shared" si="88"/>
        <v>269.20989374735825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48.567088059096598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7.4280862714805069E-4</v>
      </c>
      <c r="AC74" s="24">
        <f t="shared" si="57"/>
        <v>49.640478947220764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157.98488572680344</v>
      </c>
      <c r="T75" s="62">
        <f t="shared" si="88"/>
        <v>269.20989374735825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47.614717085256402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5.2524501738025644E-4</v>
      </c>
      <c r="AC75" s="24">
        <f t="shared" si="57"/>
        <v>48.658558791628842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157.98488572680344</v>
      </c>
      <c r="T76" s="62">
        <f t="shared" si="88"/>
        <v>269.20989374735825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46.681021525324276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3.7140431357402534E-4</v>
      </c>
      <c r="AC76" s="24">
        <f t="shared" si="57"/>
        <v>47.696179847491535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157.98488572680344</v>
      </c>
      <c r="T77" s="62">
        <f t="shared" si="88"/>
        <v>269.20989374735825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45.765635165824364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2.6262250869012822E-4</v>
      </c>
      <c r="AC77" s="24">
        <f t="shared" si="57"/>
        <v>46.752935304552707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157.98488572680344</v>
      </c>
      <c r="T78" s="62">
        <f t="shared" si="88"/>
        <v>269.20989374735825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44.868198974503692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1.8570215678701267E-4</v>
      </c>
      <c r="AC78" s="24">
        <f t="shared" si="57"/>
        <v>45.828431600093054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157.98488572680344</v>
      </c>
      <c r="T79" s="62">
        <f t="shared" si="88"/>
        <v>269.20989374735825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43.988360959512789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1.3131125434506411E-4</v>
      </c>
      <c r="AC79" s="24">
        <f t="shared" si="57"/>
        <v>44.922286660591773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157.98488572680344</v>
      </c>
      <c r="T80" s="62">
        <f t="shared" si="88"/>
        <v>269.20989374735825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43.125776031347662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9.2851078393506336E-5</v>
      </c>
      <c r="AC80" s="24">
        <f t="shared" si="57"/>
        <v>44.034128615554827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157.98488572680344</v>
      </c>
      <c r="T81" s="62">
        <f t="shared" si="88"/>
        <v>269.20989374735825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42.280105867498996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6.5655627172532056E-5</v>
      </c>
      <c r="AC81" s="24">
        <f t="shared" si="57"/>
        <v>43.163594846089232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157.98488572680344</v>
      </c>
      <c r="T82" s="62">
        <f t="shared" si="88"/>
        <v>269.20989374735825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41.451018779755536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4.6425539196753168E-5</v>
      </c>
      <c r="AC82" s="24">
        <f t="shared" si="57"/>
        <v>42.310331271034158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157.98488572680344</v>
      </c>
      <c r="T83" s="62">
        <f t="shared" si="88"/>
        <v>269.20989374735825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40.638189584109533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3.2827813586266028E-5</v>
      </c>
      <c r="AC83" s="24">
        <f t="shared" si="57"/>
        <v>41.473991801908056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157.98488572680344</v>
      </c>
      <c r="T84" s="62">
        <f t="shared" si="88"/>
        <v>269.20989374735825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39.84129947321329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2.3212769598376584E-5</v>
      </c>
      <c r="AC84" s="24">
        <f t="shared" si="57"/>
        <v>40.654237918047485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157.98488572680344</v>
      </c>
      <c r="T85" s="62">
        <f t="shared" si="88"/>
        <v>269.20989374735825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39.060035891336753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1.6413906793133014E-5</v>
      </c>
      <c r="AC85" s="24">
        <f t="shared" si="57"/>
        <v>39.850738327537982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157.98488572680344</v>
      </c>
      <c r="T86" s="62">
        <f t="shared" si="88"/>
        <v>269.20989374735825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38.294092411777079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1.1606384799188292E-5</v>
      </c>
      <c r="AC86" s="24">
        <f t="shared" si="57"/>
        <v>39.06316868959631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157.98488572680344</v>
      </c>
      <c r="T87" s="62">
        <f t="shared" si="88"/>
        <v>269.20989374735825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37.543168616672183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8.2069533965665069E-6</v>
      </c>
      <c r="AC87" s="24">
        <f t="shared" si="57"/>
        <v>38.291211381176275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157.98488572680344</v>
      </c>
      <c r="T88" s="62">
        <f t="shared" si="88"/>
        <v>269.20989374735825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36.806969979171001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5.803192399594146E-6</v>
      </c>
      <c r="AC88" s="24">
        <f t="shared" si="57"/>
        <v>37.534555295600448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157.98488572680344</v>
      </c>
      <c r="T89" s="62">
        <f t="shared" si="88"/>
        <v>269.20989374735825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36.085207747914389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4.1034766982832535E-6</v>
      </c>
      <c r="AC89" s="24">
        <f t="shared" si="57"/>
        <v>36.792895664576925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157.98488572680344</v>
      </c>
      <c r="T90" s="62">
        <f t="shared" si="88"/>
        <v>269.20989374735825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35.377598833781228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2.901596199797073E-6</v>
      </c>
      <c r="AC90" s="24">
        <f t="shared" si="57"/>
        <v>36.065933897476221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157.98488572680344</v>
      </c>
      <c r="T91" s="62">
        <f t="shared" si="88"/>
        <v>269.20989374735825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34.683865698855399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2.0517383491416267E-6</v>
      </c>
      <c r="AC91" s="24">
        <f t="shared" si="57"/>
        <v>35.353377433522134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157.98488572680344</v>
      </c>
      <c r="T92" s="62">
        <f t="shared" si="88"/>
        <v>269.20989374735825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34.003736247570032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1.4507980998985365E-6</v>
      </c>
      <c r="AC92" s="24">
        <f t="shared" si="57"/>
        <v>34.654939603808863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157.98488572680344</v>
      </c>
      <c r="T93" s="62">
        <f t="shared" si="88"/>
        <v>269.20989374735825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33.336943719986365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1.0258691745708134E-6</v>
      </c>
      <c r="AC93" s="24">
        <f t="shared" si="57"/>
        <v>33.970339500946771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157.98488572680344</v>
      </c>
      <c r="T94" s="62">
        <f t="shared" si="88"/>
        <v>269.20989374735825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32.683226587165336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7.2539904994926825E-7</v>
      </c>
      <c r="AC94" s="24">
        <f t="shared" si="57"/>
        <v>33.299301854768864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157.98488572680344</v>
      </c>
      <c r="T95" s="62">
        <f t="shared" si="88"/>
        <v>269.20989374735825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32.042328448590844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5.1293458728540668E-7</v>
      </c>
      <c r="AC95" s="24">
        <f t="shared" si="57"/>
        <v>32.641556912975382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157.98488572680344</v>
      </c>
      <c r="T96" s="62">
        <f t="shared" si="88"/>
        <v>269.20989374735825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31.413997931604531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3.6269952497463413E-7</v>
      </c>
      <c r="AC96" s="24">
        <f t="shared" si="57"/>
        <v>31.996840325909574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157.98488572680344</v>
      </c>
      <c r="T97" s="62">
        <f t="shared" si="88"/>
        <v>269.20989374735825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30.797988592812548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2.5646729364270334E-7</v>
      </c>
      <c r="AC97" s="24">
        <f t="shared" si="57"/>
        <v>31.36489303488078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157.98488572680344</v>
      </c>
      <c r="T98" s="62">
        <f t="shared" si="88"/>
        <v>269.20989374735825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30.194058821425678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1.8134976248731706E-7</v>
      </c>
      <c r="AC98" s="24">
        <f t="shared" si="57"/>
        <v>30.745461163608923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157.98488572680344</v>
      </c>
      <c r="T99" s="62">
        <f t="shared" si="88"/>
        <v>269.20989374735825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29.601971744494918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1.2823364682135167E-7</v>
      </c>
      <c r="AC99" s="24">
        <f t="shared" si="57"/>
        <v>30.138295912477076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157.98488572680344</v>
      </c>
      <c r="T100" s="62">
        <f t="shared" si="88"/>
        <v>269.20989374735825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29.021495134005313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9.0674881243658531E-8</v>
      </c>
      <c r="AC100" s="24">
        <f t="shared" si="57"/>
        <v>29.543153455357729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157.98488572680344</v>
      </c>
      <c r="T101" s="62">
        <f t="shared" si="88"/>
        <v>269.20989374735825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28.452401315791636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6.4116823410675835E-8</v>
      </c>
      <c r="AC101" s="24">
        <f t="shared" si="57"/>
        <v>28.9597948388353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157.98488572680344</v>
      </c>
      <c r="T102" s="62">
        <f t="shared" si="88"/>
        <v>269.20989374735825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27.894467080240176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4.5337440621829266E-8</v>
      </c>
      <c r="AC102" s="24">
        <f t="shared" si="57"/>
        <v>28.387985883687442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157.98488572680344</v>
      </c>
      <c r="T103" s="62">
        <f t="shared" si="88"/>
        <v>269.20989374735825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27.347473594741597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3.2058411705337918E-8</v>
      </c>
      <c r="AC103" s="24">
        <f t="shared" si="57"/>
        <v>27.827497088516299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157.98488572680344</v>
      </c>
      <c r="T104" s="62">
        <f t="shared" si="88"/>
        <v>269.20989374735825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26.811206317860563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2.2668720310914633E-8</v>
      </c>
      <c r="AC104" s="24">
        <f t="shared" si="57"/>
        <v>27.278103535441605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157.98488572680344</v>
      </c>
      <c r="T105" s="62">
        <f t="shared" si="88"/>
        <v>269.20989374735825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26.285454915188424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1.6029205852668959E-8</v>
      </c>
      <c r="AC105" s="24">
        <f t="shared" si="57"/>
        <v>26.739584797782015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157.98488572680344</v>
      </c>
      <c r="T106" s="62">
        <f t="shared" si="88"/>
        <v>269.20989374735825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25.770013176845996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1.1334360155457316E-8</v>
      </c>
      <c r="AC106" s="24">
        <f t="shared" si="57"/>
        <v>26.211724849661888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157.98488572680344</v>
      </c>
      <c r="T107" s="62">
        <f t="shared" si="88"/>
        <v>269.20989374735825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25.264678936604046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8.0146029263344794E-9</v>
      </c>
      <c r="AC107" s="24">
        <f t="shared" si="57"/>
        <v>25.694311977488361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157.98488572680344</v>
      </c>
      <c r="T108" s="62">
        <f t="shared" si="88"/>
        <v>269.20989374735825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24.769253992589789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5.6671800777286582E-9</v>
      </c>
      <c r="AC108" s="24">
        <f t="shared" si="57"/>
        <v>25.187138693249437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157.98488572680344</v>
      </c>
      <c r="T109" s="62">
        <f t="shared" si="88"/>
        <v>269.20989374735825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24.283544029548271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4.0073014631672397E-9</v>
      </c>
      <c r="AC109" s="24">
        <f t="shared" si="57"/>
        <v>24.69000164958787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157.98488572680344</v>
      </c>
      <c r="T110" s="62">
        <f t="shared" si="88"/>
        <v>269.20989374735825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23.807358542628172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2.8335900388643291E-9</v>
      </c>
      <c r="AC110" s="24">
        <f t="shared" si="57"/>
        <v>24.202701556608982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157.98488572680344</v>
      </c>
      <c r="T111" s="62">
        <f t="shared" si="88"/>
        <v>269.20989374735825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23.34051076266211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2.0036507315836199E-9</v>
      </c>
      <c r="AC111" s="24">
        <f t="shared" si="57"/>
        <v>23.725043100382976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157.98488572680344</v>
      </c>
      <c r="T112" s="62">
        <f t="shared" si="88"/>
        <v>269.20989374735825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22.882817582912153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1.4167950194321646E-9</v>
      </c>
      <c r="AC112" s="24">
        <f t="shared" si="57"/>
        <v>23.256834863104295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157.98488572680344</v>
      </c>
      <c r="T113" s="62">
        <f t="shared" si="88"/>
        <v>269.20989374735825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22.434099487251817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1.0018253657918099E-9</v>
      </c>
      <c r="AC113" s="24">
        <f t="shared" si="57"/>
        <v>22.797889244872167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157.98488572680344</v>
      </c>
      <c r="T114" s="62">
        <f t="shared" si="88"/>
        <v>269.20989374735825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21.994180479756366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7.0839750971608228E-10</v>
      </c>
      <c r="AC114" s="24">
        <f t="shared" si="57"/>
        <v>22.348022387057682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157.98488572680344</v>
      </c>
      <c r="T115" s="62">
        <f t="shared" si="88"/>
        <v>269.20989374735825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21.562888015673803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5.0091268289590496E-10</v>
      </c>
      <c r="AC115" s="24">
        <f t="shared" si="57"/>
        <v>21.907054097224112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157.98488572680344</v>
      </c>
      <c r="T116" s="62">
        <f t="shared" si="88"/>
        <v>269.20989374735825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21.14005293374947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3.5419875485804114E-10</v>
      </c>
      <c r="AC116" s="24">
        <f t="shared" si="57"/>
        <v>21.474807775567861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157.98488572680344</v>
      </c>
      <c r="T117" s="62">
        <f t="shared" si="88"/>
        <v>269.20989374735825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20.72550938987774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2.5045634144795248E-10</v>
      </c>
      <c r="AC117" s="24">
        <f t="shared" si="57"/>
        <v>21.05111034284856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157.98488572680344</v>
      </c>
      <c r="T118" s="62">
        <f t="shared" si="88"/>
        <v>269.20989374735825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20.319094792054738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1.7709937742902057E-10</v>
      </c>
      <c r="AC118" s="24">
        <f t="shared" si="57"/>
        <v>20.635792169777453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157.98488572680344</v>
      </c>
      <c r="T119" s="62">
        <f t="shared" si="88"/>
        <v>269.20989374735825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19.92064973660662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1.2522817072397624E-10</v>
      </c>
      <c r="AC119" s="24">
        <f t="shared" si="57"/>
        <v>20.22868700783409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157.98488572680344</v>
      </c>
      <c r="T120" s="62">
        <f t="shared" si="88"/>
        <v>269.20989374735825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19.530017945668352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8.8549688714510285E-11</v>
      </c>
      <c r="AC120" s="24">
        <f t="shared" si="57"/>
        <v>19.829631921481877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157.98488572680344</v>
      </c>
      <c r="T121" s="62">
        <f t="shared" si="88"/>
        <v>269.20989374735825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19.147046205888515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6.2614085361988121E-11</v>
      </c>
      <c r="AC121" s="24">
        <f t="shared" si="57"/>
        <v>19.438467221753886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157.98488572680344</v>
      </c>
      <c r="T122" s="62">
        <f t="shared" si="88"/>
        <v>269.20989374735825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18.771584308336067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4.4274844357255142E-11</v>
      </c>
      <c r="AC122" s="24">
        <f t="shared" si="57"/>
        <v>19.055036401180807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157.98488572680344</v>
      </c>
      <c r="T123" s="62">
        <f t="shared" si="88"/>
        <v>269.20989374735825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18.403484989585476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3.130704268099406E-11</v>
      </c>
      <c r="AC123" s="24">
        <f t="shared" si="57"/>
        <v>18.679186070033523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157.98488572680344</v>
      </c>
      <c r="T124" s="62">
        <f t="shared" si="88"/>
        <v>269.20989374735825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18.042603873957169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2.2137422178627571E-11</v>
      </c>
      <c r="AC124" s="24">
        <f t="shared" si="57"/>
        <v>18.310765893853564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157.98488572680344</v>
      </c>
      <c r="T125" s="62">
        <f t="shared" si="88"/>
        <v>269.20989374735825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17.688799416890589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1.565352134049703E-11</v>
      </c>
      <c r="AC125" s="24">
        <f t="shared" si="57"/>
        <v>17.949628532245008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157.98488572680344</v>
      </c>
      <c r="T126" s="62">
        <f t="shared" si="88"/>
        <v>269.20989374735825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17.341932849427675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1.1068711089313786E-11</v>
      </c>
      <c r="AC126" s="24">
        <f t="shared" si="57"/>
        <v>17.595629578902166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157.98488572680344</v>
      </c>
      <c r="T127" s="62">
        <f t="shared" si="88"/>
        <v>269.20989374735825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17.001868123784991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7.8267606702485151E-12</v>
      </c>
      <c r="AC127" s="24">
        <f t="shared" si="57"/>
        <v>17.248627502847729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157.98488572680344</v>
      </c>
      <c r="T128" s="62">
        <f t="shared" si="88"/>
        <v>269.20989374735825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16.668471859993158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5.5343555446568928E-12</v>
      </c>
      <c r="AC128" s="24">
        <f t="shared" si="57"/>
        <v>16.908483590856836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157.98488572680344</v>
      </c>
      <c r="T129" s="62">
        <f t="shared" si="88"/>
        <v>269.20989374735825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16.341613293582643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3.9133803351242575E-12</v>
      </c>
      <c r="AC129" s="24">
        <f t="shared" si="57"/>
        <v>16.575061891042719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157.98488572680344</v>
      </c>
      <c r="T130" s="62">
        <f t="shared" si="88"/>
        <v>269.20989374735825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16.021164224295397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2.7671777723284464E-12</v>
      </c>
      <c r="AC130" s="24">
        <f t="shared" si="57"/>
        <v>16.248229157580358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157.98488572680344</v>
      </c>
      <c r="T131" s="62">
        <f t="shared" si="88"/>
        <v>269.20989374735825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15.706998965802242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1.9566901675621288E-12</v>
      </c>
      <c r="AC131" s="24">
        <f t="shared" si="57"/>
        <v>15.927854796544965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157.98488572680344</v>
      </c>
      <c r="T132" s="62">
        <f t="shared" si="88"/>
        <v>269.20989374735825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15.398994296406251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1.3835888861642232E-12</v>
      </c>
      <c r="AC132" s="24">
        <f t="shared" ref="AC132:AC153" si="111">SUM(Z132:AB132)</f>
        <v>15.613810812842491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157.98488572680344</v>
      </c>
      <c r="T133" s="62">
        <f t="shared" ref="T133:T196" si="142">$T$3</f>
        <v>269.20989374735825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15.097029410712816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9.7834508378106438E-13</v>
      </c>
      <c r="AC133" s="24">
        <f t="shared" si="111"/>
        <v>15.305971758210029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157.98488572680344</v>
      </c>
      <c r="T134" s="62">
        <f t="shared" si="142"/>
        <v>269.20989374735825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14.800985872247436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6.917944430821116E-13</v>
      </c>
      <c r="AC134" s="24">
        <f t="shared" si="111"/>
        <v>15.004214680264276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157.98488572680344</v>
      </c>
      <c r="T135" s="62">
        <f t="shared" si="142"/>
        <v>269.20989374735825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14.510747567002634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4.8917254189053219E-13</v>
      </c>
      <c r="AC135" s="24">
        <f t="shared" si="111"/>
        <v>14.708419072576731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157.98488572680344</v>
      </c>
      <c r="T136" s="62">
        <f t="shared" si="142"/>
        <v>269.20989374735825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14.226200657895795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3.458972215410558E-13</v>
      </c>
      <c r="AC136" s="24">
        <f t="shared" si="111"/>
        <v>14.418466825754749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157.98488572680344</v>
      </c>
      <c r="T137" s="62">
        <f t="shared" si="142"/>
        <v>269.20989374735825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13.947233540120065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2.445862709452661E-13</v>
      </c>
      <c r="AC137" s="24">
        <f t="shared" si="111"/>
        <v>14.134242179507986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157.98488572680344</v>
      </c>
      <c r="T138" s="62">
        <f t="shared" si="142"/>
        <v>269.20989374735825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13.673736797370776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1.729486107705279E-13</v>
      </c>
      <c r="AC138" s="24">
        <f t="shared" si="111"/>
        <v>13.855631675680209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157.98488572680344</v>
      </c>
      <c r="T139" s="62">
        <f t="shared" si="142"/>
        <v>269.20989374735825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13.405603158930258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1.2229313547263305E-13</v>
      </c>
      <c r="AC139" s="24">
        <f t="shared" si="111"/>
        <v>13.582524112226841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157.98488572680344</v>
      </c>
      <c r="T140" s="62">
        <f t="shared" si="142"/>
        <v>269.20989374735825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13.142727457594189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8.647430538526395E-14</v>
      </c>
      <c r="AC140" s="24">
        <f t="shared" si="111"/>
        <v>13.314810498118975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157.98488572680344</v>
      </c>
      <c r="T141" s="62">
        <f t="shared" si="142"/>
        <v>269.20989374735825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12.885006588422975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6.1146567736316524E-14</v>
      </c>
      <c r="AC141" s="24">
        <f t="shared" si="111"/>
        <v>13.052384009155134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157.98488572680344</v>
      </c>
      <c r="T142" s="62">
        <f t="shared" si="142"/>
        <v>269.20989374735825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12.632339468302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4.3237152692631975E-14</v>
      </c>
      <c r="AC142" s="24">
        <f t="shared" si="111"/>
        <v>12.795139944662225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157.98488572680344</v>
      </c>
      <c r="T143" s="62">
        <f t="shared" si="142"/>
        <v>269.20989374735825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12.384626996294871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3.0573283868158262E-14</v>
      </c>
      <c r="AC143" s="24">
        <f t="shared" si="111"/>
        <v>12.542975685067709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157.98488572680344</v>
      </c>
      <c r="T144" s="62">
        <f t="shared" si="142"/>
        <v>269.20989374735825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12.141772014774114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2.1618576346315987E-14</v>
      </c>
      <c r="AC144" s="24">
        <f t="shared" si="111"/>
        <v>12.295790650325255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157.98488572680344</v>
      </c>
      <c r="T145" s="62">
        <f t="shared" si="142"/>
        <v>269.20989374735825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11.903679271314065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1.5286641934079131E-14</v>
      </c>
      <c r="AC145" s="24">
        <f t="shared" si="111"/>
        <v>12.053486259176568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157.98488572680344</v>
      </c>
      <c r="T146" s="62">
        <f t="shared" si="142"/>
        <v>269.20989374735825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11.670255381331033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1.0809288173157994E-14</v>
      </c>
      <c r="AC146" s="24">
        <f t="shared" si="111"/>
        <v>11.815965889232423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157.98488572680344</v>
      </c>
      <c r="T147" s="62">
        <f t="shared" si="142"/>
        <v>269.20989374735825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11.441408791456055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7.6433209670395655E-15</v>
      </c>
      <c r="AC147" s="24">
        <f t="shared" si="111"/>
        <v>11.583134837856296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157.98488572680344</v>
      </c>
      <c r="T148" s="62">
        <f t="shared" si="142"/>
        <v>269.20989374735825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11.217049743625889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5.4046440865789969E-15</v>
      </c>
      <c r="AC148" s="24">
        <f t="shared" si="111"/>
        <v>11.354900283834265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157.98488572680344</v>
      </c>
      <c r="T149" s="62">
        <f t="shared" si="142"/>
        <v>269.20989374735825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10.997090239878165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3.8216604835197828E-15</v>
      </c>
      <c r="AC149" s="24">
        <f t="shared" si="111"/>
        <v>11.131171249815297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157.98488572680344</v>
      </c>
      <c r="T150" s="62">
        <f t="shared" si="142"/>
        <v>269.20989374735825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10.781444007836884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2.7023220432894984E-15</v>
      </c>
      <c r="AC150" s="24">
        <f t="shared" si="111"/>
        <v>10.91185856550627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157.98488572680344</v>
      </c>
      <c r="T151" s="62">
        <f t="shared" si="142"/>
        <v>269.20989374735825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10.570026466874719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1.9108302417598914E-15</v>
      </c>
      <c r="AC151" s="24">
        <f t="shared" si="111"/>
        <v>10.696874831606431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157.98488572680344</v>
      </c>
      <c r="T152" s="62">
        <f t="shared" si="142"/>
        <v>269.20989374735825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10.362754694938854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1.3511610216447492E-15</v>
      </c>
      <c r="AC152" s="24">
        <f t="shared" si="111"/>
        <v>10.486134384466311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157.98488572680344</v>
      </c>
      <c r="T153" s="62">
        <f t="shared" si="142"/>
        <v>269.20989374735825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10.159547396027353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9.5541512087994569E-16</v>
      </c>
      <c r="AC153" s="24">
        <f t="shared" si="111"/>
        <v>10.279553261456426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157.98488572680344</v>
      </c>
      <c r="T154" s="62">
        <f t="shared" si="142"/>
        <v>269.20989374735825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9.9603248683032941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6.7558051082237461E-16</v>
      </c>
      <c r="AC154" s="24">
        <f t="shared" ref="AC154:AC203" si="163">SUM(Z154:AB154)</f>
        <v>10.077049167031374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157.98488572680344</v>
      </c>
      <c r="T155" s="62">
        <f t="shared" si="142"/>
        <v>269.20989374735825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9.7650089728341598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4.7770756043997284E-16</v>
      </c>
      <c r="AC155" s="24">
        <f t="shared" si="163"/>
        <v>9.8785414394752564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157.98488572680344</v>
      </c>
      <c r="T156" s="62">
        <f t="shared" si="142"/>
        <v>269.20989374735825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9.5735231029442431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3.377902554111873E-16</v>
      </c>
      <c r="AC156" s="24">
        <f t="shared" si="163"/>
        <v>9.6839510183146267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157.98488572680344</v>
      </c>
      <c r="T157" s="62">
        <f t="shared" si="142"/>
        <v>269.20989374735825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9.3857921541680192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2.3885378021998642E-16</v>
      </c>
      <c r="AC157" s="24">
        <f t="shared" si="163"/>
        <v>9.4932004123854465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157.98488572680344</v>
      </c>
      <c r="T158" s="62">
        <f t="shared" si="142"/>
        <v>269.20989374735825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9.2017424947927253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1.6889512770559365E-16</v>
      </c>
      <c r="AC158" s="24">
        <f t="shared" si="163"/>
        <v>9.3062136685408436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157.98488572680344</v>
      </c>
      <c r="T159" s="62">
        <f t="shared" si="142"/>
        <v>269.20989374735825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9.0213019369785723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1.1942689010999321E-16</v>
      </c>
      <c r="AC159" s="24">
        <f t="shared" si="163"/>
        <v>9.1229163409866469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157.98488572680344</v>
      </c>
      <c r="T160" s="62">
        <f t="shared" si="142"/>
        <v>269.20989374735825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8.8443997084452821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8.4447563852796826E-17</v>
      </c>
      <c r="AC160" s="24">
        <f t="shared" si="163"/>
        <v>8.9432354612320868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157.98488572680344</v>
      </c>
      <c r="T161" s="62">
        <f t="shared" si="142"/>
        <v>269.20989374735825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8.6709664247138249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5.9713445054996605E-17</v>
      </c>
      <c r="AC161" s="24">
        <f t="shared" si="163"/>
        <v>8.7670995086431276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157.98488572680344</v>
      </c>
      <c r="T162" s="62">
        <f t="shared" si="142"/>
        <v>269.20989374735825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8.5009340618924831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4.2223781926398413E-17</v>
      </c>
      <c r="AC162" s="24">
        <f t="shared" si="163"/>
        <v>8.5944383815863201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157.98488572680344</v>
      </c>
      <c r="T163" s="62">
        <f t="shared" si="142"/>
        <v>269.20989374735825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8.3342359299965665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2.9856722527498303E-17</v>
      </c>
      <c r="AC163" s="24">
        <f t="shared" si="163"/>
        <v>8.4251833691511973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157.98488572680344</v>
      </c>
      <c r="T164" s="62">
        <f t="shared" si="142"/>
        <v>269.20989374735825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8.1708066467913092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2.1111890963199206E-17</v>
      </c>
      <c r="AC164" s="24">
        <f t="shared" si="163"/>
        <v>8.2592671234395389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157.98488572680344</v>
      </c>
      <c r="T165" s="62">
        <f t="shared" si="142"/>
        <v>269.20989374735825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8.0105821121476861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1.4928361263749151E-17</v>
      </c>
      <c r="AC165" s="24">
        <f t="shared" si="163"/>
        <v>8.0966236324100365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157.98488572680344</v>
      </c>
      <c r="T166" s="62">
        <f t="shared" si="142"/>
        <v>269.20989374735825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7.8534994829011087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1.0555945481599603E-17</v>
      </c>
      <c r="AC166" s="24">
        <f t="shared" si="163"/>
        <v>7.9371881932671577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157.98488572680344</v>
      </c>
      <c r="T167" s="62">
        <f t="shared" si="142"/>
        <v>269.20989374735825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7.6994971482031129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7.4641806318745757E-18</v>
      </c>
      <c r="AC167" s="24">
        <f t="shared" si="163"/>
        <v>7.7808973863832041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157.98488572680344</v>
      </c>
      <c r="T168" s="62">
        <f t="shared" si="142"/>
        <v>269.20989374735825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7.5485147053563963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5.2779727407998016E-18</v>
      </c>
      <c r="AC168" s="24">
        <f t="shared" si="163"/>
        <v>7.6276890497428003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157.98488572680344</v>
      </c>
      <c r="T169" s="62">
        <f t="shared" si="142"/>
        <v>269.20989374735825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7.4004929361237064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3.7320903159372878E-18</v>
      </c>
      <c r="AC169" s="24">
        <f t="shared" si="163"/>
        <v>7.4775022538992664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157.98488572680344</v>
      </c>
      <c r="T170" s="62">
        <f t="shared" si="142"/>
        <v>269.20989374735825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7.2553737835013052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2.6389863703999008E-18</v>
      </c>
      <c r="AC170" s="24">
        <f t="shared" si="163"/>
        <v>7.3302772774325486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157.98488572680344</v>
      </c>
      <c r="T171" s="62">
        <f t="shared" si="142"/>
        <v>269.20989374735825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7.113100328947886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1.8660451579686439E-18</v>
      </c>
      <c r="AC171" s="24">
        <f t="shared" si="163"/>
        <v>7.1859555828985755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157.98488572680344</v>
      </c>
      <c r="T172" s="62">
        <f t="shared" si="142"/>
        <v>269.20989374735825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6.9736167700600209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1.3194931851999504E-18</v>
      </c>
      <c r="AC172" s="24">
        <f t="shared" si="163"/>
        <v>7.0444797932601375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157.98488572680344</v>
      </c>
      <c r="T173" s="62">
        <f t="shared" si="142"/>
        <v>269.20989374735825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6.8368683986853771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9.3302257898432196E-19</v>
      </c>
      <c r="AC173" s="24">
        <f t="shared" si="163"/>
        <v>6.9057936687895625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157.98488572680344</v>
      </c>
      <c r="T174" s="62">
        <f t="shared" si="142"/>
        <v>269.20989374735825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6.7028015794651195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6.597465925999752E-19</v>
      </c>
      <c r="AC174" s="24">
        <f t="shared" si="163"/>
        <v>6.7698420844336837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157.98488572680344</v>
      </c>
      <c r="T175" s="62">
        <f t="shared" si="142"/>
        <v>269.20989374735825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6.5713637287970856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4.6651128949216098E-19</v>
      </c>
      <c r="AC175" s="24">
        <f t="shared" si="163"/>
        <v>6.636571007631777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157.98488572680344</v>
      </c>
      <c r="T176" s="62">
        <f t="shared" si="142"/>
        <v>269.20989374735825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6.4425032942114786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3.298732962999876E-19</v>
      </c>
      <c r="AC176" s="24">
        <f t="shared" si="163"/>
        <v>6.5059274765773338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157.98488572680344</v>
      </c>
      <c r="T177" s="62">
        <f t="shared" si="142"/>
        <v>269.20989374735825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6.316169734150991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2.3325564474608049E-19</v>
      </c>
      <c r="AC177" s="24">
        <f t="shared" si="163"/>
        <v>6.3778595789147188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157.98488572680344</v>
      </c>
      <c r="T178" s="62">
        <f t="shared" si="142"/>
        <v>269.20989374735825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6.1923134981474268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1.649366481499938E-19</v>
      </c>
      <c r="AC178" s="24">
        <f t="shared" si="163"/>
        <v>6.2523164308619625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157.98488572680344</v>
      </c>
      <c r="T179" s="62">
        <f t="shared" si="142"/>
        <v>269.20989374735825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6.0708860073870481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1.1662782237304025E-19</v>
      </c>
      <c r="AC179" s="24">
        <f t="shared" si="163"/>
        <v>6.1292481567510881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157.98488572680344</v>
      </c>
      <c r="T180" s="62">
        <f t="shared" si="142"/>
        <v>269.20989374735825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5.9518396356570245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8.24683240749969E-20</v>
      </c>
      <c r="AC180" s="24">
        <f t="shared" si="163"/>
        <v>6.0086058689775728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157.98488572680344</v>
      </c>
      <c r="T181" s="62">
        <f t="shared" si="142"/>
        <v>269.20989374735825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5.8351276906655096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5.8313911186520123E-20</v>
      </c>
      <c r="AC181" s="24">
        <f t="shared" si="163"/>
        <v>5.8903416483507014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157.98488572680344</v>
      </c>
      <c r="T182" s="62">
        <f t="shared" si="142"/>
        <v>269.20989374735825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5.7207043957280206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4.123416203749845E-20</v>
      </c>
      <c r="AC182" s="24">
        <f t="shared" si="163"/>
        <v>5.7744085248367343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157.98488572680344</v>
      </c>
      <c r="T183" s="62">
        <f t="shared" si="142"/>
        <v>269.20989374735825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5.6085248718129375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2.9156955593260061E-20</v>
      </c>
      <c r="AC183" s="24">
        <f t="shared" si="163"/>
        <v>5.6607604586869966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157.98488572680344</v>
      </c>
      <c r="T184" s="62">
        <f t="shared" si="142"/>
        <v>269.20989374735825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5.4985451199390756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2.0617081018749225E-20</v>
      </c>
      <c r="AC184" s="24">
        <f t="shared" si="163"/>
        <v>5.5493523219431129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157.98488572680344</v>
      </c>
      <c r="T185" s="62">
        <f t="shared" si="142"/>
        <v>269.20989374735825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5.3907220039184347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1.4578477796630031E-20</v>
      </c>
      <c r="AC185" s="24">
        <f t="shared" si="163"/>
        <v>5.440139880311837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157.98488572680344</v>
      </c>
      <c r="T186" s="62">
        <f t="shared" si="142"/>
        <v>269.20989374735825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5.2850132334373523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1.0308540509374613E-20</v>
      </c>
      <c r="AC186" s="24">
        <f t="shared" si="163"/>
        <v>5.3330797754020036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157.98488572680344</v>
      </c>
      <c r="T187" s="62">
        <f t="shared" si="142"/>
        <v>269.20989374735825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5.1813773474694198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7.2892388983150153E-21</v>
      </c>
      <c r="AC187" s="24">
        <f t="shared" si="163"/>
        <v>5.2281295073163383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157.98488572680344</v>
      </c>
      <c r="T188" s="62">
        <f t="shared" si="142"/>
        <v>269.20989374735825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5.0797736980136703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5.1542702546873063E-21</v>
      </c>
      <c r="AC188" s="24">
        <f t="shared" si="163"/>
        <v>5.1252474175909857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157.98488572680344</v>
      </c>
      <c r="T189" s="62">
        <f t="shared" si="142"/>
        <v>269.20989374735825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4.9801624341516408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3.6446194491575077E-21</v>
      </c>
      <c r="AC189" s="24">
        <f t="shared" si="163"/>
        <v>5.0243926724757557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157.98488572680344</v>
      </c>
      <c r="T190" s="62">
        <f t="shared" si="142"/>
        <v>269.20989374735825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4.8825044864170737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2.5771351273436531E-21</v>
      </c>
      <c r="AC190" s="24">
        <f t="shared" si="163"/>
        <v>4.9255252465482489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157.98488572680344</v>
      </c>
      <c r="T191" s="62">
        <f t="shared" si="142"/>
        <v>269.20989374735825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4.7867615514721154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1.8223097245787538E-21</v>
      </c>
      <c r="AC191" s="24">
        <f t="shared" si="163"/>
        <v>4.8286059066551399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157.98488572680344</v>
      </c>
      <c r="T192" s="62">
        <f t="shared" si="142"/>
        <v>269.20989374735825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4.6928960770840034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1.2885675636718266E-21</v>
      </c>
      <c r="AC192" s="24">
        <f t="shared" si="163"/>
        <v>4.7335961961740489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157.98488572680344</v>
      </c>
      <c r="T193" s="62">
        <f t="shared" si="142"/>
        <v>269.20989374735825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4.6008712473963564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9.1115486228937691E-22</v>
      </c>
      <c r="AC193" s="24">
        <f t="shared" si="163"/>
        <v>4.6404584195895584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157.98488572680344</v>
      </c>
      <c r="T194" s="62">
        <f t="shared" si="142"/>
        <v>269.20989374735825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4.5106509684892799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6.4428378183591328E-22</v>
      </c>
      <c r="AC194" s="24">
        <f t="shared" si="163"/>
        <v>4.5491556273770595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157.98488572680344</v>
      </c>
      <c r="T195" s="62">
        <f t="shared" si="142"/>
        <v>269.20989374735825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4.4221998542226348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4.5557743114468846E-22</v>
      </c>
      <c r="AC195" s="24">
        <f t="shared" si="163"/>
        <v>4.4596516011882565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157.98488572680344</v>
      </c>
      <c r="T196" s="62">
        <f t="shared" si="142"/>
        <v>269.20989374735825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4.3354832123569063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3.2214189091795664E-22</v>
      </c>
      <c r="AC196" s="24">
        <f t="shared" si="163"/>
        <v>4.3719108393322514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157.98488572680344</v>
      </c>
      <c r="T197" s="62">
        <f t="shared" ref="T197:T203" si="204">$T$3</f>
        <v>269.20989374735825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4.2504670309462353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2.2778871557234423E-22</v>
      </c>
      <c r="AC197" s="24">
        <f t="shared" si="163"/>
        <v>4.2858985425462937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157.98488572680344</v>
      </c>
      <c r="T198" s="62">
        <f t="shared" si="204"/>
        <v>269.20989374735825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4.1671179649982779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1.6107094545897832E-22</v>
      </c>
      <c r="AC198" s="24">
        <f t="shared" si="163"/>
        <v>4.2015806000503702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157.98488572680344</v>
      </c>
      <c r="T199" s="62">
        <f t="shared" si="204"/>
        <v>269.20989374735825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4.0854033233956493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1.1389435778617211E-22</v>
      </c>
      <c r="AC199" s="24">
        <f t="shared" si="163"/>
        <v>4.118923575879931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157.98488572680344</v>
      </c>
      <c r="T200" s="62">
        <f t="shared" si="204"/>
        <v>269.20989374735825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4.0052910560738377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8.053547272948916E-23</v>
      </c>
      <c r="AC200" s="24">
        <f t="shared" si="163"/>
        <v>4.0378946954911834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157.98488572680344</v>
      </c>
      <c r="T201" s="62">
        <f t="shared" si="204"/>
        <v>269.20989374735825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3.926749741450549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5.6947178893086057E-23</v>
      </c>
      <c r="AC201" s="24">
        <f t="shared" si="163"/>
        <v>3.9584618326334766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157.98488572680344</v>
      </c>
      <c r="T202" s="62">
        <f t="shared" si="204"/>
        <v>269.20989374735825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3.8497485741015516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4.026773636474458E-23</v>
      </c>
      <c r="AC202" s="24">
        <f t="shared" si="163"/>
        <v>3.8805934964834154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157.98488572680344</v>
      </c>
      <c r="T203" s="62">
        <f t="shared" si="204"/>
        <v>269.20989374735825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3.7742573526781933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2.8473589446543029E-23</v>
      </c>
      <c r="AC203" s="24">
        <f t="shared" si="163"/>
        <v>3.8042588190354611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1.3939124009120489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C1" workbookViewId="0">
      <selection activeCell="M28" sqref="M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7.65</v>
      </c>
      <c r="C6" s="156">
        <f ca="1">IF(OR('Données projet'!B9="",'Données projet'!C9="",'Données projet'!C9=0%),0,Calculateur!S3)</f>
        <v>157.98488572680344</v>
      </c>
      <c r="D6" s="156">
        <f>IF(OR('Données projet'!B9="",'Données projet'!C9="",'Données projet'!C9=0%),0,Calculateur!T3)</f>
        <v>269.20989374735825</v>
      </c>
      <c r="E6" s="156">
        <f ca="1">MIN(C6,D6)</f>
        <v>157.98488572680344</v>
      </c>
      <c r="F6" s="156">
        <f ca="1">E6*B6</f>
        <v>1208.5843758100464</v>
      </c>
      <c r="G6" s="156">
        <f ca="1">F6*(100%-'Données projet'!$C$24)*(100%-'Données projet'!$C$25)*(100%-'Données projet'!$C$26)*(100%-'Données projet'!$C$27)</f>
        <v>739.65363799574834</v>
      </c>
      <c r="H6" s="157">
        <f>IF(OR('Données projet'!B9="",'Données projet'!C9="",'Données projet'!C9=0%),0,AVERAGE(Calculateur!$AC$3:$AC$33)*B6)</f>
        <v>62.630930024185211</v>
      </c>
      <c r="I6" s="158">
        <f>H6*(100%-'Données projet'!$C$24)*(100%-'Données projet'!$C$25)*(100%-'Données projet'!$C$26)*(100%-'Données projet'!$C$27)</f>
        <v>38.330129174801357</v>
      </c>
      <c r="J6" s="159">
        <f>IF(OR('Données projet'!B9="",'Données projet'!C9="",'Données projet'!C9=0%),0,SUM(Calculateur!$V$3:$V$33)*VLOOKUP('Données projet'!$B$9,Paramètres!$A$1:$I$89,9,0)*B6)</f>
        <v>491.97150000000005</v>
      </c>
      <c r="K6" s="160">
        <f>J6*(100%-'Données projet'!$C$24)*(100%-'Données projet'!$C$25)*(100%-'Données projet'!$C$26)*(100%-'Données projet'!$C$27)</f>
        <v>301.08655800000008</v>
      </c>
      <c r="L6" s="161">
        <f ca="1">G6+I6+K6</f>
        <v>1079.0703251705499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1208.5843758100464</v>
      </c>
      <c r="G16" s="175">
        <f t="shared" ca="1" si="3"/>
        <v>739.65363799574834</v>
      </c>
      <c r="H16" s="176">
        <f t="shared" si="3"/>
        <v>62.630930024185211</v>
      </c>
      <c r="I16" s="176">
        <f t="shared" si="3"/>
        <v>38.330129174801357</v>
      </c>
      <c r="J16" s="177">
        <f t="shared" si="3"/>
        <v>491.97150000000005</v>
      </c>
      <c r="K16" s="177">
        <f t="shared" si="3"/>
        <v>301.08655800000008</v>
      </c>
      <c r="L16" s="178">
        <f t="shared" ca="1" si="3"/>
        <v>1079.0703251705499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J32" sqref="J32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7.65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15</v>
      </c>
      <c r="C23" s="206"/>
      <c r="D23" s="194">
        <f>B23*C23</f>
        <v>0</v>
      </c>
      <c r="E23" s="206"/>
      <c r="F23" s="261"/>
      <c r="H23" s="203"/>
      <c r="I23" s="204"/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19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25</v>
      </c>
      <c r="B25" s="193">
        <f>'Données projet'!D38</f>
        <v>54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2">
        <f ca="1">T23-T24</f>
        <v>0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n'est pas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38</v>
      </c>
      <c r="B27" s="193">
        <f>'Données projet'!D40</f>
        <v>338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str">
        <f>IF(O71+1&lt;=MIN('Données projet'!$E$9:$E$18),O71+1,"STOP")</f>
        <v>STOP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2023-11-27T08:57:48Z</dcterms:modified>
</cp:coreProperties>
</file>