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CLIENTS 2023-2024/GF COUR SAINT PIERRE - 14166607 LE/"/>
    </mc:Choice>
  </mc:AlternateContent>
  <xr:revisionPtr revIDLastSave="215" documentId="11_89431F8317748B2BA59A35A0CBE13DB2AF7409DE" xr6:coauthVersionLast="47" xr6:coauthVersionMax="47" xr10:uidLastSave="{0D6E63BF-AA92-4888-AA09-038AED9106DE}"/>
  <bookViews>
    <workbookView xWindow="38280" yWindow="-120" windowWidth="29040" windowHeight="15720" tabRatio="866" activeTab="2" xr2:uid="{00000000-000D-0000-FFFF-FFFF00000000}"/>
  </bookViews>
  <sheets>
    <sheet name="Accueil" sheetId="5" r:id="rId1"/>
    <sheet name="Données projet" sheetId="1" r:id="rId2"/>
    <sheet name="REE" sheetId="4" r:id="rId3"/>
    <sheet name="Scénario référence" sheetId="7" r:id="rId4"/>
    <sheet name="Calculateur" sheetId="2" state="hidden" r:id="rId5"/>
    <sheet name="Paramètres" sheetId="3" state="hidden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EA4" i="2"/>
  <c r="BQ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FR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EB7" i="2" s="1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X14" i="2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FS18" i="2"/>
  <c r="EA18" i="2"/>
  <c r="EV18" i="2"/>
  <c r="EW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C20" i="2"/>
  <c r="FS20" i="2"/>
  <c r="HH20" i="2"/>
  <c r="HG20" i="2"/>
  <c r="EV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HI21" i="2"/>
  <c r="EV21" i="2"/>
  <c r="HH21" i="2"/>
  <c r="EW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HG22" i="2"/>
  <c r="EA22" i="2"/>
  <c r="EW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HI38" i="2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HI46" i="2"/>
  <c r="HG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C59" i="2"/>
  <c r="EA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X63" i="2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HG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C78" i="2"/>
  <c r="EB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EC85" i="2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EA105" i="2" s="1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HG107" i="2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EB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HI113" i="2"/>
  <c r="EC113" i="2"/>
  <c r="EX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HG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S118" i="2"/>
  <c r="HH118" i="2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EX120" i="2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FS122" i="2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EV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FS130" i="2"/>
  <c r="EW130" i="2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A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EB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FS146" i="2"/>
  <c r="EA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H150" i="2"/>
  <c r="HG150" i="2"/>
  <c r="EV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B154" i="2"/>
  <c r="HG154" i="2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X155" i="2" l="1"/>
  <c r="EA155" i="2"/>
  <c r="DI154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FS156" i="2" l="1"/>
  <c r="AB156" i="2"/>
  <c r="DH156" i="2"/>
  <c r="EX156" i="2"/>
  <c r="HH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A157" i="2"/>
  <c r="EX157" i="2"/>
  <c r="HH157" i="2"/>
  <c r="HG157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C158" i="2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ED158" i="2"/>
  <c r="HH159" i="2"/>
  <c r="EC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S160" i="2" l="1"/>
  <c r="DG160" i="2"/>
  <c r="HH160" i="2"/>
  <c r="EY159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FS161" i="2" l="1"/>
  <c r="HH161" i="2"/>
  <c r="HG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W162" i="2" l="1"/>
  <c r="DI161" i="2"/>
  <c r="EC162" i="2"/>
  <c r="HH162" i="2"/>
  <c r="HG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H163" i="2" l="1"/>
  <c r="EB163" i="2"/>
  <c r="EA163" i="2"/>
  <c r="ED163" i="2" s="1"/>
  <c r="EV163" i="2"/>
  <c r="EY163" i="2" s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X164" i="2" l="1"/>
  <c r="DH164" i="2"/>
  <c r="EV164" i="2"/>
  <c r="FR164" i="2"/>
  <c r="FS164" i="2"/>
  <c r="HH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HH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FS166" i="2"/>
  <c r="CN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EA167" i="2"/>
  <c r="DG167" i="2"/>
  <c r="FR167" i="2"/>
  <c r="EB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EC168" i="2"/>
  <c r="DI167" i="2"/>
  <c r="HH168" i="2"/>
  <c r="EV168" i="2"/>
  <c r="EY168" i="2" s="1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X169" i="2"/>
  <c r="EA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HI172" i="2"/>
  <c r="EB172" i="2"/>
  <c r="EW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HH173" i="2"/>
  <c r="EB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EC174" i="2"/>
  <c r="HG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A175" i="2"/>
  <c r="FS175" i="2"/>
  <c r="HI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FQ177" i="2"/>
  <c r="FS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HH178" i="2"/>
  <c r="FQ178" i="2"/>
  <c r="EW178" i="2"/>
  <c r="EB178" i="2"/>
  <c r="HG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B179" i="2"/>
  <c r="EV179" i="2"/>
  <c r="EY179" i="2" s="1"/>
  <c r="DF179" i="2"/>
  <c r="EA179" i="2"/>
  <c r="ED179" i="2" s="1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X180" i="2" l="1"/>
  <c r="HI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DG182" i="2"/>
  <c r="FS182" i="2"/>
  <c r="EA182" i="2"/>
  <c r="ED182" i="2" s="1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I185" i="2" l="1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FR186" i="2"/>
  <c r="EW186" i="2"/>
  <c r="EB186" i="2"/>
  <c r="HH186" i="2"/>
  <c r="EA186" i="2"/>
  <c r="HG186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H187" i="2"/>
  <c r="EB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HH189" i="2"/>
  <c r="EB189" i="2"/>
  <c r="EV189" i="2"/>
  <c r="EY189" i="2" s="1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V190" i="2" l="1"/>
  <c r="HH190" i="2"/>
  <c r="EB190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G191" i="2"/>
  <c r="EW191" i="2"/>
  <c r="HH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I192" i="2" l="1"/>
  <c r="EW192" i="2"/>
  <c r="HG192" i="2"/>
  <c r="EA192" i="2"/>
  <c r="EV192" i="2"/>
  <c r="EY192" i="2" s="1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AX190" i="2"/>
  <c r="FQ193" i="2" l="1"/>
  <c r="HI193" i="2"/>
  <c r="DI192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EB194" i="2" l="1"/>
  <c r="CN193" i="2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DH195" i="2" l="1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FS197" i="2" l="1"/>
  <c r="HH197" i="2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DI200" i="2" l="1"/>
  <c r="EA201" i="2"/>
  <c r="ED201" i="2" s="1"/>
  <c r="EB201" i="2"/>
  <c r="HH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I202" i="2" l="1"/>
  <c r="FS202" i="2"/>
  <c r="FR202" i="2"/>
  <c r="EW202" i="2"/>
  <c r="EX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5" i="2" a="1"/>
  <c r="FY35" i="2" s="1"/>
  <c r="BC114" i="2" a="1"/>
  <c r="BC114" i="2" s="1"/>
  <c r="BC181" i="2" a="1"/>
  <c r="BC181" i="2" s="1"/>
  <c r="BC117" i="2" a="1"/>
  <c r="BC117" i="2" s="1"/>
  <c r="EI198" i="2" a="1"/>
  <c r="EI198" i="2" s="1"/>
  <c r="EI153" i="2" a="1"/>
  <c r="EI153" i="2" s="1"/>
  <c r="EI162" i="2" a="1"/>
  <c r="EI162" i="2" s="1"/>
  <c r="EI145" i="2" a="1"/>
  <c r="EI145" i="2" s="1"/>
  <c r="FD14" i="2" a="1"/>
  <c r="FD14" i="2" s="1"/>
  <c r="FD167" i="2" a="1"/>
  <c r="FD167" i="2" s="1"/>
  <c r="FD159" i="2" a="1"/>
  <c r="FD159" i="2" s="1"/>
  <c r="FD137" i="2" a="1"/>
  <c r="FD137" i="2" s="1"/>
  <c r="BC130" i="2" a="1"/>
  <c r="BC130" i="2" s="1"/>
  <c r="BC143" i="2" a="1"/>
  <c r="BC143" i="2" s="1"/>
  <c r="BC151" i="2" a="1"/>
  <c r="BC151" i="2" s="1"/>
  <c r="BC83" i="2" a="1"/>
  <c r="BC83" i="2" s="1"/>
  <c r="BC18" i="2" a="1"/>
  <c r="BC18" i="2" s="1"/>
  <c r="EI38" i="2" a="1"/>
  <c r="EI38" i="2" s="1"/>
  <c r="EI109" i="2" a="1"/>
  <c r="EI109" i="2" s="1"/>
  <c r="EI87" i="2" a="1"/>
  <c r="EI87" i="2" s="1"/>
  <c r="EI36" i="2" a="1"/>
  <c r="EI36" i="2" s="1"/>
  <c r="EI165" i="2" a="1"/>
  <c r="EI165" i="2" s="1"/>
  <c r="EI128" i="2" a="1"/>
  <c r="EI128" i="2" s="1"/>
  <c r="EI170" i="2" a="1"/>
  <c r="EI170" i="2" s="1"/>
  <c r="EI67" i="2" a="1"/>
  <c r="EI67" i="2" s="1"/>
  <c r="EI35" i="2" a="1"/>
  <c r="EI35" i="2" s="1"/>
  <c r="DN6" i="2" a="1"/>
  <c r="DN6" i="2" s="1"/>
  <c r="DO6" i="2" s="1"/>
  <c r="HJ202" i="2"/>
  <c r="EY202" i="2"/>
  <c r="AX200" i="2"/>
  <c r="CS161" i="2" l="1" a="1"/>
  <c r="CS161" i="2" s="1"/>
  <c r="CS120" i="2" a="1"/>
  <c r="CS120" i="2" s="1"/>
  <c r="EI166" i="2" a="1"/>
  <c r="EI166" i="2" s="1"/>
  <c r="CS72" i="2" a="1"/>
  <c r="CS72" i="2" s="1"/>
  <c r="BC32" i="2" a="1"/>
  <c r="BC32" i="2" s="1"/>
  <c r="BC126" i="2" a="1"/>
  <c r="BC126" i="2" s="1"/>
  <c r="CS114" i="2" a="1"/>
  <c r="CS114" i="2" s="1"/>
  <c r="EI37" i="2" a="1"/>
  <c r="EI37" i="2" s="1"/>
  <c r="BC55" i="2" a="1"/>
  <c r="BC55" i="2" s="1"/>
  <c r="BC47" i="2" a="1"/>
  <c r="BC47" i="2" s="1"/>
  <c r="DN176" i="2" a="1"/>
  <c r="DN176" i="2" s="1"/>
  <c r="EI139" i="2" a="1"/>
  <c r="EI139" i="2" s="1"/>
  <c r="BC38" i="2" a="1"/>
  <c r="BC38" i="2" s="1"/>
  <c r="CS116" i="2" a="1"/>
  <c r="CS116" i="2" s="1"/>
  <c r="BC65" i="2" a="1"/>
  <c r="BC65" i="2" s="1"/>
  <c r="GT12" i="2" a="1"/>
  <c r="GT12" i="2" s="1"/>
  <c r="DN56" i="2" a="1"/>
  <c r="DN56" i="2" s="1"/>
  <c r="DN29" i="2" a="1"/>
  <c r="DN29" i="2" s="1"/>
  <c r="EI16" i="2" a="1"/>
  <c r="EI16" i="2" s="1"/>
  <c r="BC7" i="2" a="1"/>
  <c r="BC7" i="2" s="1"/>
  <c r="DN41" i="2" a="1"/>
  <c r="DN41" i="2" s="1"/>
  <c r="BC82" i="2" a="1"/>
  <c r="BC82" i="2" s="1"/>
  <c r="GT11" i="2" a="1"/>
  <c r="GT11" i="2" s="1"/>
  <c r="DN80" i="2" a="1"/>
  <c r="DN80" i="2" s="1"/>
  <c r="FD48" i="2" a="1"/>
  <c r="FD48" i="2" s="1"/>
  <c r="DN150" i="2" a="1"/>
  <c r="DN150" i="2" s="1"/>
  <c r="CS129" i="2" a="1"/>
  <c r="CS129" i="2" s="1"/>
  <c r="EI20" i="2" a="1"/>
  <c r="EI20" i="2" s="1"/>
  <c r="BC31" i="2" a="1"/>
  <c r="BC31" i="2" s="1"/>
  <c r="CS52" i="2" a="1"/>
  <c r="CS52" i="2" s="1"/>
  <c r="BC68" i="2" a="1"/>
  <c r="BC68" i="2" s="1"/>
  <c r="GT21" i="2" a="1"/>
  <c r="GT21" i="2" s="1"/>
  <c r="EI34" i="2" a="1"/>
  <c r="EI34" i="2" s="1"/>
  <c r="BC84" i="2" a="1"/>
  <c r="BC84" i="2" s="1"/>
  <c r="EI178" i="2" a="1"/>
  <c r="EI178" i="2" s="1"/>
  <c r="BC34" i="2" a="1"/>
  <c r="BC34" i="2" s="1"/>
  <c r="DN190" i="2" a="1"/>
  <c r="DN190" i="2" s="1"/>
  <c r="DN133" i="2" a="1"/>
  <c r="DN133" i="2" s="1"/>
  <c r="DN186" i="2" a="1"/>
  <c r="DN186" i="2" s="1"/>
  <c r="GT15" i="2" a="1"/>
  <c r="GT15" i="2" s="1"/>
  <c r="DN137" i="2" a="1"/>
  <c r="DN137" i="2" s="1"/>
  <c r="DN70" i="2" a="1"/>
  <c r="DN70" i="2" s="1"/>
  <c r="GT147" i="2" a="1"/>
  <c r="GT147" i="2" s="1"/>
  <c r="DN110" i="2" a="1"/>
  <c r="DN110" i="2" s="1"/>
  <c r="DN124" i="2" a="1"/>
  <c r="DN124" i="2" s="1"/>
  <c r="GT33" i="2" a="1"/>
  <c r="GT33" i="2" s="1"/>
  <c r="FD82" i="2" a="1"/>
  <c r="FD82" i="2" s="1"/>
  <c r="DN31" i="2" a="1"/>
  <c r="DN31" i="2" s="1"/>
  <c r="GT190" i="2" a="1"/>
  <c r="GT190" i="2" s="1"/>
  <c r="FY121" i="2" a="1"/>
  <c r="FY121" i="2" s="1"/>
  <c r="DN153" i="2" a="1"/>
  <c r="DN153" i="2" s="1"/>
  <c r="DN155" i="2" a="1"/>
  <c r="DN155" i="2" s="1"/>
  <c r="GT133" i="2" a="1"/>
  <c r="GT133" i="2" s="1"/>
  <c r="BX107" i="2" a="1"/>
  <c r="BX107" i="2" s="1"/>
  <c r="DN167" i="2" a="1"/>
  <c r="DN167" i="2" s="1"/>
  <c r="EI113" i="2" a="1"/>
  <c r="EI113" i="2" s="1"/>
  <c r="GT191" i="2" a="1"/>
  <c r="GT191" i="2" s="1"/>
  <c r="BC185" i="2" a="1"/>
  <c r="BC185" i="2" s="1"/>
  <c r="FY30" i="2" a="1"/>
  <c r="FY30" i="2" s="1"/>
  <c r="DN170" i="2" a="1"/>
  <c r="DN170" i="2" s="1"/>
  <c r="EI142" i="2" a="1"/>
  <c r="EI142" i="2" s="1"/>
  <c r="GT121" i="2" a="1"/>
  <c r="GT121" i="2" s="1"/>
  <c r="BC58" i="2" a="1"/>
  <c r="BC58" i="2" s="1"/>
  <c r="FS203" i="2"/>
  <c r="DN168" i="2" a="1"/>
  <c r="DN168" i="2" s="1"/>
  <c r="DN192" i="2" a="1"/>
  <c r="DN192" i="2" s="1"/>
  <c r="DN63" i="2" a="1"/>
  <c r="DN63" i="2" s="1"/>
  <c r="DN65" i="2" a="1"/>
  <c r="DN65" i="2" s="1"/>
  <c r="GT107" i="2" a="1"/>
  <c r="GT107" i="2" s="1"/>
  <c r="FD188" i="2" a="1"/>
  <c r="FD188" i="2" s="1"/>
  <c r="DN16" i="2" a="1"/>
  <c r="DN16" i="2" s="1"/>
  <c r="DN162" i="2" a="1"/>
  <c r="DN162" i="2" s="1"/>
  <c r="GT126" i="2" a="1"/>
  <c r="GT126" i="2" s="1"/>
  <c r="DN50" i="2" a="1"/>
  <c r="DN50" i="2" s="1"/>
  <c r="GT51" i="2" a="1"/>
  <c r="GT51" i="2" s="1"/>
  <c r="CS134" i="2" a="1"/>
  <c r="CS134" i="2" s="1"/>
  <c r="FY190" i="2" a="1"/>
  <c r="FY190" i="2" s="1"/>
  <c r="DN132" i="2" a="1"/>
  <c r="DN132" i="2" s="1"/>
  <c r="GT178" i="2" a="1"/>
  <c r="GT178" i="2" s="1"/>
  <c r="DN103" i="2" a="1"/>
  <c r="DN103" i="2" s="1"/>
  <c r="GT181" i="2" a="1"/>
  <c r="GT181" i="2" s="1"/>
  <c r="HH203" i="2"/>
  <c r="DN135" i="2" a="1"/>
  <c r="DN135" i="2" s="1"/>
  <c r="BC164" i="2" a="1"/>
  <c r="BC164" i="2" s="1"/>
  <c r="DN123" i="2" a="1"/>
  <c r="DN123" i="2" s="1"/>
  <c r="DN184" i="2" a="1"/>
  <c r="DN184" i="2" s="1"/>
  <c r="EI29" i="2" a="1"/>
  <c r="EI29" i="2" s="1"/>
  <c r="GT184" i="2" a="1"/>
  <c r="GT184" i="2" s="1"/>
  <c r="FY186" i="2" a="1"/>
  <c r="FY186" i="2" s="1"/>
  <c r="DN43" i="2" a="1"/>
  <c r="DN43" i="2" s="1"/>
  <c r="DN66" i="2" a="1"/>
  <c r="DN66" i="2" s="1"/>
  <c r="DN188" i="2" a="1"/>
  <c r="DN188" i="2" s="1"/>
  <c r="GT102" i="2" a="1"/>
  <c r="GT102" i="2" s="1"/>
  <c r="GT138" i="2" a="1"/>
  <c r="GT138" i="2" s="1"/>
  <c r="DN86" i="2" a="1"/>
  <c r="DN86" i="2" s="1"/>
  <c r="DN55" i="2" a="1"/>
  <c r="DN55" i="2" s="1"/>
  <c r="DN177" i="2" a="1"/>
  <c r="DN177" i="2" s="1"/>
  <c r="GT152" i="2" a="1"/>
  <c r="GT152" i="2" s="1"/>
  <c r="DN187" i="2" a="1"/>
  <c r="DN187" i="2" s="1"/>
  <c r="GT174" i="2" a="1"/>
  <c r="GT174" i="2" s="1"/>
  <c r="DN115" i="2" a="1"/>
  <c r="DN115" i="2" s="1"/>
  <c r="GT38" i="2" a="1"/>
  <c r="GT38" i="2" s="1"/>
  <c r="DN129" i="2" a="1"/>
  <c r="DN129" i="2" s="1"/>
  <c r="GT122" i="2" a="1"/>
  <c r="GT122" i="2" s="1"/>
  <c r="DN45" i="2" a="1"/>
  <c r="DN45" i="2" s="1"/>
  <c r="CS77" i="2" a="1"/>
  <c r="CS77" i="2" s="1"/>
  <c r="FY104" i="2" a="1"/>
  <c r="FY104" i="2" s="1"/>
  <c r="DN49" i="2" a="1"/>
  <c r="DN49" i="2" s="1"/>
  <c r="GT74" i="2" a="1"/>
  <c r="GT74" i="2" s="1"/>
  <c r="DN114" i="2" a="1"/>
  <c r="DN114" i="2" s="1"/>
  <c r="DN113" i="2" a="1"/>
  <c r="DN113" i="2" s="1"/>
  <c r="GT68" i="2" a="1"/>
  <c r="GT68" i="2" s="1"/>
  <c r="DN164" i="2" a="1"/>
  <c r="DN164" i="2" s="1"/>
  <c r="DN25" i="2" a="1"/>
  <c r="DN25" i="2" s="1"/>
  <c r="EI150" i="2" a="1"/>
  <c r="EI150" i="2" s="1"/>
  <c r="FY78" i="2" a="1"/>
  <c r="FY78" i="2" s="1"/>
  <c r="DN30" i="2" a="1"/>
  <c r="DN30" i="2" s="1"/>
  <c r="EI71" i="2" a="1"/>
  <c r="EI71" i="2" s="1"/>
  <c r="GT189" i="2" a="1"/>
  <c r="GT189" i="2" s="1"/>
  <c r="DN46" i="2" a="1"/>
  <c r="DN46" i="2" s="1"/>
  <c r="DN38" i="2" a="1"/>
  <c r="DN38" i="2" s="1"/>
  <c r="EI57" i="2" a="1"/>
  <c r="EI57" i="2" s="1"/>
  <c r="GT198" i="2" a="1"/>
  <c r="GT198" i="2" s="1"/>
  <c r="BC192" i="2" a="1"/>
  <c r="BC192" i="2" s="1"/>
  <c r="EI195" i="2" a="1"/>
  <c r="EI195" i="2" s="1"/>
  <c r="DN152" i="2" a="1"/>
  <c r="DN152" i="2" s="1"/>
  <c r="EI106" i="2" a="1"/>
  <c r="EI106" i="2" s="1"/>
  <c r="GT115" i="2" a="1"/>
  <c r="GT115" i="2" s="1"/>
  <c r="FY69" i="2" a="1"/>
  <c r="FY69" i="2" s="1"/>
  <c r="CS24" i="2" a="1"/>
  <c r="CS24" i="2" s="1"/>
  <c r="CS38" i="2" a="1"/>
  <c r="CS38" i="2" s="1"/>
  <c r="CS105" i="2" a="1"/>
  <c r="CS105" i="2" s="1"/>
  <c r="CS66" i="2" a="1"/>
  <c r="CS66" i="2" s="1"/>
  <c r="CS56" i="2" a="1"/>
  <c r="CS56" i="2" s="1"/>
  <c r="CS137" i="2" a="1"/>
  <c r="CS137" i="2" s="1"/>
  <c r="CS185" i="2" a="1"/>
  <c r="CS185" i="2" s="1"/>
  <c r="AH62" i="2" a="1"/>
  <c r="AH62" i="2" s="1"/>
  <c r="AH90" i="2" a="1"/>
  <c r="AH90" i="2" s="1"/>
  <c r="AH151" i="2" a="1"/>
  <c r="AH151" i="2" s="1"/>
  <c r="AH163" i="2" a="1"/>
  <c r="AH163" i="2" s="1"/>
  <c r="AH199" i="2" a="1"/>
  <c r="AH199" i="2" s="1"/>
  <c r="AH92" i="2" a="1"/>
  <c r="AH92" i="2" s="1"/>
  <c r="AH166" i="2" a="1"/>
  <c r="AH166" i="2" s="1"/>
  <c r="AH19" i="2" a="1"/>
  <c r="AH19" i="2" s="1"/>
  <c r="FD107" i="2" a="1"/>
  <c r="FD107" i="2" s="1"/>
  <c r="FD44" i="2" a="1"/>
  <c r="FD44" i="2" s="1"/>
  <c r="FY42" i="2" a="1"/>
  <c r="FY42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Y196" i="2" a="1"/>
  <c r="FY196" i="2" s="1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82" i="2" a="1"/>
  <c r="FY182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D160" i="2" a="1"/>
  <c r="FD160" i="2" s="1"/>
  <c r="FD189" i="2" a="1"/>
  <c r="FD189" i="2" s="1"/>
  <c r="FY142" i="2" a="1"/>
  <c r="FY142" i="2" s="1"/>
  <c r="FY86" i="2" a="1"/>
  <c r="FY86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Y80" i="2" a="1"/>
  <c r="FY80" i="2" s="1"/>
  <c r="FY58" i="2" a="1"/>
  <c r="FY58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 s="1"/>
  <c r="FZ10" i="2" s="1"/>
  <c r="FZ11" i="2" s="1"/>
  <c r="FZ12" i="2"/>
  <c r="DI203" i="2"/>
  <c r="CN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9" i="2" l="1"/>
  <c r="BI148" i="2"/>
  <c r="BI167" i="2"/>
  <c r="BI86" i="2"/>
  <c r="BI95" i="2"/>
  <c r="BI3" i="2"/>
  <c r="C8" i="4" s="1"/>
  <c r="E8" i="4" s="1"/>
  <c r="F8" i="4" s="1"/>
  <c r="G8" i="4" s="1"/>
  <c r="L8" i="4" s="1"/>
  <c r="BI47" i="2"/>
  <c r="BI183" i="2"/>
  <c r="BI171" i="2"/>
  <c r="BI16" i="2"/>
  <c r="BI109" i="2"/>
  <c r="BI59" i="2"/>
  <c r="BI33" i="2"/>
  <c r="BI84" i="2"/>
  <c r="BI146" i="2"/>
  <c r="BI20" i="2"/>
  <c r="BI160" i="2"/>
  <c r="BI169" i="2"/>
  <c r="BI143" i="2"/>
  <c r="BI88" i="2"/>
  <c r="BI48" i="2"/>
  <c r="BI115" i="2"/>
  <c r="BI102" i="2"/>
  <c r="BI50" i="2"/>
  <c r="BI87" i="2"/>
  <c r="BI159" i="2"/>
  <c r="BI129" i="2"/>
  <c r="BI155" i="2"/>
  <c r="BI30" i="2"/>
  <c r="BI92" i="2"/>
  <c r="BI127" i="2"/>
  <c r="BI10" i="2"/>
  <c r="BI153" i="2"/>
  <c r="BI76" i="2"/>
  <c r="BI58" i="2"/>
  <c r="BI32" i="2"/>
  <c r="BI13" i="2"/>
  <c r="BI138" i="2"/>
  <c r="BI43" i="2"/>
  <c r="BI55" i="2"/>
  <c r="BI125" i="2"/>
  <c r="BI116" i="2"/>
  <c r="BI83" i="2"/>
  <c r="BI192" i="2"/>
  <c r="BI180" i="2"/>
  <c r="BI200" i="2"/>
  <c r="BI91" i="2"/>
  <c r="BI82" i="2"/>
  <c r="BI141" i="2"/>
  <c r="BI61" i="2"/>
  <c r="BI70" i="2"/>
  <c r="BI137" i="2"/>
  <c r="BI36" i="2"/>
  <c r="BI24" i="2"/>
  <c r="BI54" i="2"/>
  <c r="BI73" i="2"/>
  <c r="BI197" i="2"/>
  <c r="BI114" i="2"/>
  <c r="BI194" i="2"/>
  <c r="BI107" i="2"/>
  <c r="BI40" i="2"/>
  <c r="BI34" i="2"/>
  <c r="BI99" i="2"/>
  <c r="BI25" i="2"/>
  <c r="BI152" i="2"/>
  <c r="BI176" i="2"/>
  <c r="BI15" i="2"/>
  <c r="BI201" i="2"/>
  <c r="BI8" i="2"/>
  <c r="BI96" i="2"/>
  <c r="BI117" i="2"/>
  <c r="BI173" i="2"/>
  <c r="BI19" i="2"/>
  <c r="BI113" i="2"/>
  <c r="BI130" i="2"/>
  <c r="BI133" i="2"/>
  <c r="BI189" i="2"/>
  <c r="BI98" i="2"/>
  <c r="BI60" i="2"/>
  <c r="BI75" i="2"/>
  <c r="BI154" i="2"/>
  <c r="BI68" i="2"/>
  <c r="BI23" i="2"/>
  <c r="BI104" i="2"/>
  <c r="BI128" i="2"/>
  <c r="BI142" i="2"/>
  <c r="BI63" i="2"/>
  <c r="BI202" i="2"/>
  <c r="BI71" i="2"/>
  <c r="BI151" i="2"/>
  <c r="BI26" i="2"/>
  <c r="BI41" i="2"/>
  <c r="BI174" i="2"/>
  <c r="BI42" i="2"/>
  <c r="BI119" i="2"/>
  <c r="BI164" i="2"/>
  <c r="BI69" i="2"/>
  <c r="BI149" i="2"/>
  <c r="BI89" i="2"/>
  <c r="BI134" i="2"/>
  <c r="BI67" i="2"/>
  <c r="BI175" i="2"/>
  <c r="BI120" i="2"/>
  <c r="BI170" i="2"/>
  <c r="BI203" i="2"/>
  <c r="BI79" i="2"/>
  <c r="BI66" i="2"/>
  <c r="BI4" i="2"/>
  <c r="BI184" i="2"/>
  <c r="BI39" i="2"/>
  <c r="BI121" i="2"/>
  <c r="BI186" i="2"/>
  <c r="BI196" i="2"/>
  <c r="BI93" i="2"/>
  <c r="BI199" i="2"/>
  <c r="BI38" i="2"/>
  <c r="BI14" i="2"/>
  <c r="BI158" i="2"/>
  <c r="BI187" i="2"/>
  <c r="BI18" i="2"/>
  <c r="BI80" i="2"/>
  <c r="BI35" i="2"/>
  <c r="BI77" i="2"/>
  <c r="BI31" i="2"/>
  <c r="BI72" i="2"/>
  <c r="BI135" i="2"/>
  <c r="BI85" i="2"/>
  <c r="BI7" i="2"/>
  <c r="BI193" i="2"/>
  <c r="BI105" i="2"/>
  <c r="BI136" i="2"/>
  <c r="BI195" i="2"/>
  <c r="BI5" i="2"/>
  <c r="BI64" i="2"/>
  <c r="BI9" i="2"/>
  <c r="BI111" i="2"/>
  <c r="BI162" i="2"/>
  <c r="BI178" i="2"/>
  <c r="BI139" i="2"/>
  <c r="BI17" i="2"/>
  <c r="BI12" i="2"/>
  <c r="BI112" i="2"/>
  <c r="BI188" i="2"/>
  <c r="BI94" i="2"/>
  <c r="BI45" i="2"/>
  <c r="BI165" i="2"/>
  <c r="BI198" i="2"/>
  <c r="BI182" i="2"/>
  <c r="BI185" i="2"/>
  <c r="BI11" i="2"/>
  <c r="BI161" i="2"/>
  <c r="BI103" i="2"/>
  <c r="BI168" i="2"/>
  <c r="BI46" i="2"/>
  <c r="BI124" i="2"/>
  <c r="BI22" i="2"/>
  <c r="BI145" i="2"/>
  <c r="BI52" i="2"/>
  <c r="BI177" i="2"/>
  <c r="BI27" i="2"/>
  <c r="BI150" i="2"/>
  <c r="BI179" i="2"/>
  <c r="BI166" i="2"/>
  <c r="BI21" i="2"/>
  <c r="BI106" i="2"/>
  <c r="BI78" i="2"/>
  <c r="BI191" i="2"/>
  <c r="BI132" i="2"/>
  <c r="BI144" i="2"/>
  <c r="BI101" i="2"/>
  <c r="BI156" i="2"/>
  <c r="BI90" i="2"/>
  <c r="BI56" i="2"/>
  <c r="BI122" i="2"/>
  <c r="BI163" i="2"/>
  <c r="BI6" i="2"/>
  <c r="BI74" i="2"/>
  <c r="BI140" i="2"/>
  <c r="BI100" i="2"/>
  <c r="BI123" i="2"/>
  <c r="BI62" i="2"/>
  <c r="BI126" i="2"/>
  <c r="BI190" i="2"/>
  <c r="BI147" i="2"/>
  <c r="BI131" i="2"/>
  <c r="BI118" i="2"/>
  <c r="BI172" i="2"/>
  <c r="BI81" i="2"/>
  <c r="BI65" i="2"/>
  <c r="BI29" i="2"/>
  <c r="BI37" i="2"/>
  <c r="BI181" i="2"/>
  <c r="BI97" i="2"/>
  <c r="BI51" i="2"/>
  <c r="BI157" i="2"/>
  <c r="BI28" i="2"/>
  <c r="BI108" i="2"/>
  <c r="BI57" i="2"/>
  <c r="BI53" i="2"/>
  <c r="BI110" i="2"/>
  <c r="BI44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<sst xmlns="http://schemas.openxmlformats.org/spreadsheetml/2006/main" count="1175" uniqueCount="329">
  <si>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</si>
  <si>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</si>
  <si>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</si>
  <si>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</si>
  <si>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</si>
  <si>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</si>
  <si>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</si>
  <si>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</si>
  <si>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</si>
  <si>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</si>
  <si>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</si>
  <si>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</si>
  <si>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</si>
  <si>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</si>
  <si>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</si>
  <si>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</si>
  <si>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</si>
  <si>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</si>
  <si>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</si>
  <si>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</si>
  <si>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</si>
  <si>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</si>
  <si>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</si>
  <si>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</si>
  <si>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</si>
  <si>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</si>
  <si>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</si>
  <si>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</si>
  <si>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</si>
  <si>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</si>
  <si>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</si>
  <si>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</si>
  <si>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</si>
  <si>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</si>
  <si>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</si>
  <si>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</si>
  <si>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</si>
  <si>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</si>
  <si>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</si>
  <si>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</si>
  <si>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</si>
  <si>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</si>
  <si>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</si>
  <si>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</si>
  <si>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</si>
  <si>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</si>
  <si>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</si>
  <si>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</si>
  <si>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</si>
  <si>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</si>
  <si>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</si>
  <si>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</si>
  <si>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</si>
  <si>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</si>
  <si>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</si>
  <si>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</si>
  <si>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</si>
  <si>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</si>
  <si>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</si>
  <si>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</si>
  <si>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</si>
  <si>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</si>
  <si>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</si>
  <si>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</si>
  <si>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</si>
  <si>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</si>
  <si>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</si>
  <si>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</si>
  <si>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</si>
  <si>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</si>
  <si>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</si>
  <si>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</si>
  <si>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</si>
  <si>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</si>
  <si>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</si>
  <si>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</si>
  <si>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</si>
  <si>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</si>
  <si>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</si>
  <si>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</si>
  <si>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</si>
  <si>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</si>
  <si>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</si>
  <si>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</si>
  <si>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</si>
  <si>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</si>
  <si>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</si>
  <si>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</si>
  <si>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</si>
  <si>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</si>
  <si>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</si>
  <si>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</si>
  <si>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</si>
  <si>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</si>
  <si>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</si>
  <si>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</si>
  <si>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</si>
  <si>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</si>
  <si>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</si>
  <si>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</si>
  <si>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</si>
  <si>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</si>
  <si>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</si>
  <si>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</si>
  <si>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</si>
  <si>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</si>
  <si>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</si>
  <si>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</si>
  <si>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</si>
  <si>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</si>
  <si>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</si>
  <si>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</si>
  <si>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</si>
  <si>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</si>
  <si>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</si>
  <si>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</si>
  <si>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</si>
  <si>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</si>
  <si>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</si>
  <si>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</si>
  <si>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</si>
  <si>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</si>
  <si>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</si>
  <si>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</si>
  <si>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</si>
  <si>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</si>
  <si>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</si>
  <si>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</si>
  <si>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</si>
  <si>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</si>
  <si>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</si>
  <si>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</si>
  <si>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</si>
  <si>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</si>
  <si>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</si>
  <si>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</si>
  <si>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</si>
  <si>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</si>
  <si>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</si>
  <si>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</si>
  <si>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</si>
  <si>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</si>
  <si>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</si>
  <si>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</si>
  <si>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</si>
  <si>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</si>
  <si>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</si>
  <si>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</si>
  <si>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</si>
  <si>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</si>
  <si>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</si>
  <si>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</si>
  <si>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</si>
  <si>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</si>
  <si>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</si>
  <si>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</si>
  <si>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</si>
  <si>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</si>
  <si>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</si>
  <si>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</si>
  <si>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</si>
  <si>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</si>
  <si>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</si>
  <si>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</si>
  <si>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</si>
  <si>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</si>
  <si>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</si>
  <si>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</si>
  <si>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</si>
  <si>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</si>
  <si>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</si>
  <si>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</si>
  <si>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</si>
  <si>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</si>
  <si>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</si>
  <si>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</si>
  <si>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</si>
  <si>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</si>
  <si>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</si>
  <si>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</si>
  <si>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</si>
  <si>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</si>
  <si>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</si>
  <si>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</si>
  <si>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</si>
  <si>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</si>
  <si>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</si>
  <si>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</si>
  <si>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</si>
  <si>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</si>
  <si>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</si>
  <si>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</si>
  <si>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</si>
  <si>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</si>
  <si>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</si>
  <si>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</si>
  <si>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</si>
  <si>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</si>
  <si>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</si>
  <si>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</si>
  <si>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</si>
  <si>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</si>
  <si>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</si>
  <si>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</si>
  <si>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</si>
  <si>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</si>
  <si>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</si>
  <si>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</si>
  <si>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</si>
  <si>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</si>
  <si>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</si>
  <si>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</si>
  <si>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</si>
  <si>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</si>
  <si>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</si>
  <si>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</si>
  <si>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</si>
  <si>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</si>
  <si>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</si>
  <si>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</si>
  <si>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</si>
  <si>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</si>
  <si>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</si>
  <si>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</si>
  <si>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</si>
  <si>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</si>
  <si>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</si>
  <si>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</si>
  <si>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</si>
  <si>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</si>
  <si>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</si>
  <si>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</si>
  <si>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</si>
  <si>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</si>
  <si>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</si>
  <si>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</si>
  <si>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</si>
  <si>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</si>
  <si>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</si>
  <si>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</si>
  <si>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</si>
  <si>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</si>
  <si>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</si>
  <si>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</si>
  <si>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</si>
  <si>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</si>
  <si>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</si>
  <si>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</si>
  <si>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</si>
  <si>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</si>
  <si>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</si>
  <si>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</si>
  <si>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</si>
  <si>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</si>
  <si>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</si>
  <si>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</si>
  <si>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</si>
  <si>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</si>
  <si>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</si>
  <si>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</si>
  <si>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</si>
  <si>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</si>
  <si>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</si>
  <si>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</si>
  <si>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</si>
  <si>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</si>
  <si>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</si>
  <si>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</si>
  <si>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</si>
  <si>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</si>
  <si>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</si>
  <si>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</si>
  <si>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</si>
  <si>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</si>
  <si>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</si>
  <si>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</si>
  <si>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</si>
  <si>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</si>
  <si>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</si>
  <si>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</si>
  <si>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</si>
  <si>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</si>
  <si>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</si>
  <si>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</si>
  <si>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</si>
  <si>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</si>
  <si>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</si>
  <si>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</si>
  <si>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</si>
  <si>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</si>
  <si>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</si>
  <si>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</si>
  <si>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</si>
  <si>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</si>
  <si>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</si>
  <si>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</si>
  <si>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</si>
  <si>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</si>
  <si>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</si>
  <si>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</si>
  <si>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</si>
  <si>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</si>
  <si>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</si>
  <si>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</si>
  <si>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</si>
  <si>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</si>
  <si>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</si>
  <si>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</si>
  <si>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</si>
  <si>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</si>
  <si>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</si>
  <si>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</si>
  <si>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</si>
  <si>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</si>
  <si>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</si>
  <si>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</si>
  <si>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</si>
  <si>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</si>
  <si>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</si>
  <si>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</si>
  <si>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</si>
  <si>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</si>
  <si>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</si>
  <si>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</si>
  <si>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ONF_F1</t>
  </si>
  <si>
    <t>ONF_F2</t>
  </si>
  <si>
    <t>F1_ONF</t>
  </si>
  <si>
    <t>CHS-F3</t>
  </si>
  <si>
    <t>Duyck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</si>
</sst>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8" fontId="0" fillId="0" borderId="0" xfId="0" applyNumberFormat="1" applyProtection="1"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1.9307584976046614</c:v>
                </c:pt>
                <c:pt idx="2">
                  <c:v>2.5650512589887167</c:v>
                </c:pt>
                <c:pt idx="3">
                  <c:v>3.4085894353429098</c:v>
                </c:pt>
                <c:pt idx="4">
                  <c:v>4.5306704043870161</c:v>
                </c:pt>
                <c:pt idx="5">
                  <c:v>6.0236248817219193</c:v>
                </c:pt>
                <c:pt idx="6">
                  <c:v>8.010498631722486</c:v>
                </c:pt>
                <c:pt idx="7">
                  <c:v>10.655303991907449</c:v>
                </c:pt>
                <c:pt idx="8">
                  <c:v>14.17670333802697</c:v>
                </c:pt>
                <c:pt idx="9">
                  <c:v>18.866276588131154</c:v>
                </c:pt>
                <c:pt idx="10">
                  <c:v>25.112912570994709</c:v>
                </c:pt>
                <c:pt idx="11">
                  <c:v>33.435382592084615</c:v>
                </c:pt>
                <c:pt idx="12">
                  <c:v>44.525848020806173</c:v>
                </c:pt>
                <c:pt idx="13">
                  <c:v>59.307981364892662</c:v>
                </c:pt>
                <c:pt idx="14">
                  <c:v>79.014621303141979</c:v>
                </c:pt>
                <c:pt idx="15">
                  <c:v>105.29154257060414</c:v>
                </c:pt>
                <c:pt idx="16">
                  <c:v>140.33614343808804</c:v>
                </c:pt>
                <c:pt idx="17">
                  <c:v>187.08282696706362</c:v>
                </c:pt>
                <c:pt idx="18">
                  <c:v>249.45083193351374</c:v>
                </c:pt>
                <c:pt idx="19">
                  <c:v>191.696212762545</c:v>
                </c:pt>
                <c:pt idx="20">
                  <c:v>224.20608689237574</c:v>
                </c:pt>
                <c:pt idx="21">
                  <c:v>256.60777089198524</c:v>
                </c:pt>
                <c:pt idx="22">
                  <c:v>288.91684986580464</c:v>
                </c:pt>
                <c:pt idx="23">
                  <c:v>321.14513151169655</c:v>
                </c:pt>
                <c:pt idx="24">
                  <c:v>353.30185772822512</c:v>
                </c:pt>
                <c:pt idx="25">
                  <c:v>326.34435790045637</c:v>
                </c:pt>
                <c:pt idx="26">
                  <c:v>360.74799403145965</c:v>
                </c:pt>
                <c:pt idx="27">
                  <c:v>395.07988016751779</c:v>
                </c:pt>
                <c:pt idx="28">
                  <c:v>429.34711973167282</c:v>
                </c:pt>
                <c:pt idx="29">
                  <c:v>463.55559027922953</c:v>
                </c:pt>
                <c:pt idx="30">
                  <c:v>497.71023178052695</c:v>
                </c:pt>
                <c:pt idx="31">
                  <c:v>435.66371956885092</c:v>
                </c:pt>
                <c:pt idx="32">
                  <c:v>469.67616504377384</c:v>
                </c:pt>
                <c:pt idx="33">
                  <c:v>503.63615942239403</c:v>
                </c:pt>
                <c:pt idx="34">
                  <c:v>537.54773101026342</c:v>
                </c:pt>
                <c:pt idx="35">
                  <c:v>571.41435900614306</c:v>
                </c:pt>
                <c:pt idx="36">
                  <c:v>605.23907710876176</c:v>
                </c:pt>
                <c:pt idx="37">
                  <c:v>536.97828494173086</c:v>
                </c:pt>
                <c:pt idx="38">
                  <c:v>570.17654790922836</c:v>
                </c:pt>
                <c:pt idx="39">
                  <c:v>603.33444275611043</c:v>
                </c:pt>
                <c:pt idx="40">
                  <c:v>636.45449618511327</c:v>
                </c:pt>
                <c:pt idx="41">
                  <c:v>669.53895087892067</c:v>
                </c:pt>
                <c:pt idx="42">
                  <c:v>702.58981015801294</c:v>
                </c:pt>
                <c:pt idx="43">
                  <c:v>627.01470959995152</c:v>
                </c:pt>
                <c:pt idx="44">
                  <c:v>658.94758842310682</c:v>
                </c:pt>
                <c:pt idx="45">
                  <c:v>690.84861573379169</c:v>
                </c:pt>
                <c:pt idx="46">
                  <c:v>722.71946663092638</c:v>
                </c:pt>
                <c:pt idx="47">
                  <c:v>754.56165667126595</c:v>
                </c:pt>
                <c:pt idx="48">
                  <c:v>786.3765632872063</c:v>
                </c:pt>
                <c:pt idx="49">
                  <c:v>697.46345728241215</c:v>
                </c:pt>
                <c:pt idx="50">
                  <c:v>727.69329615335755</c:v>
                </c:pt>
                <c:pt idx="51">
                  <c:v>757.89754335066129</c:v>
                </c:pt>
                <c:pt idx="52">
                  <c:v>788.07736050017218</c:v>
                </c:pt>
                <c:pt idx="53">
                  <c:v>818.23381315332517</c:v>
                </c:pt>
                <c:pt idx="54">
                  <c:v>848.36788205009941</c:v>
                </c:pt>
                <c:pt idx="55">
                  <c:v>4.959485612423072E-12</c:v>
                </c:pt>
                <c:pt idx="56">
                  <c:v>4.959485612423072E-12</c:v>
                </c:pt>
                <c:pt idx="57">
                  <c:v>4.959485612423072E-12</c:v>
                </c:pt>
                <c:pt idx="58">
                  <c:v>4.959485612423072E-12</c:v>
                </c:pt>
                <c:pt idx="59">
                  <c:v>4.959485612423072E-12</c:v>
                </c:pt>
                <c:pt idx="60">
                  <c:v>4.959485612423072E-12</c:v>
                </c:pt>
                <c:pt idx="61">
                  <c:v>4.959485612423072E-12</c:v>
                </c:pt>
                <c:pt idx="62">
                  <c:v>4.959485612423072E-12</c:v>
                </c:pt>
                <c:pt idx="63">
                  <c:v>4.959485612423072E-12</c:v>
                </c:pt>
                <c:pt idx="64">
                  <c:v>4.959485612423072E-12</c:v>
                </c:pt>
                <c:pt idx="65">
                  <c:v>4.959485612423072E-12</c:v>
                </c:pt>
                <c:pt idx="66">
                  <c:v>4.959485612423072E-12</c:v>
                </c:pt>
                <c:pt idx="67">
                  <c:v>4.959485612423072E-12</c:v>
                </c:pt>
                <c:pt idx="68">
                  <c:v>4.959485612423072E-12</c:v>
                </c:pt>
                <c:pt idx="69">
                  <c:v>4.959485612423072E-12</c:v>
                </c:pt>
                <c:pt idx="70">
                  <c:v>4.959485612423072E-12</c:v>
                </c:pt>
                <c:pt idx="71">
                  <c:v>4.959485612423072E-12</c:v>
                </c:pt>
                <c:pt idx="72">
                  <c:v>4.959485612423072E-12</c:v>
                </c:pt>
                <c:pt idx="73">
                  <c:v>4.959485612423072E-12</c:v>
                </c:pt>
                <c:pt idx="74">
                  <c:v>4.959485612423072E-12</c:v>
                </c:pt>
                <c:pt idx="75">
                  <c:v>4.959485612423072E-12</c:v>
                </c:pt>
                <c:pt idx="76">
                  <c:v>4.959485612423072E-12</c:v>
                </c:pt>
                <c:pt idx="77">
                  <c:v>4.959485612423072E-12</c:v>
                </c:pt>
                <c:pt idx="78">
                  <c:v>4.959485612423072E-12</c:v>
                </c:pt>
                <c:pt idx="79">
                  <c:v>4.959485612423072E-12</c:v>
                </c:pt>
                <c:pt idx="80">
                  <c:v>4.959485612423072E-12</c:v>
                </c:pt>
                <c:pt idx="81">
                  <c:v>4.959485612423072E-12</c:v>
                </c:pt>
                <c:pt idx="82">
                  <c:v>4.959485612423072E-12</c:v>
                </c:pt>
                <c:pt idx="83">
                  <c:v>4.959485612423072E-12</c:v>
                </c:pt>
                <c:pt idx="84">
                  <c:v>4.959485612423072E-12</c:v>
                </c:pt>
                <c:pt idx="85">
                  <c:v>4.959485612423072E-12</c:v>
                </c:pt>
                <c:pt idx="86">
                  <c:v>4.959485612423072E-12</c:v>
                </c:pt>
                <c:pt idx="87">
                  <c:v>4.959485612423072E-12</c:v>
                </c:pt>
                <c:pt idx="88">
                  <c:v>4.959485612423072E-12</c:v>
                </c:pt>
                <c:pt idx="89">
                  <c:v>4.959485612423072E-12</c:v>
                </c:pt>
                <c:pt idx="90">
                  <c:v>4.959485612423072E-12</c:v>
                </c:pt>
                <c:pt idx="91">
                  <c:v>4.959485612423072E-12</c:v>
                </c:pt>
                <c:pt idx="92">
                  <c:v>4.959485612423072E-12</c:v>
                </c:pt>
                <c:pt idx="93">
                  <c:v>4.959485612423072E-12</c:v>
                </c:pt>
                <c:pt idx="94">
                  <c:v>4.959485612423072E-12</c:v>
                </c:pt>
                <c:pt idx="95">
                  <c:v>4.959485612423072E-12</c:v>
                </c:pt>
                <c:pt idx="96">
                  <c:v>4.959485612423072E-12</c:v>
                </c:pt>
                <c:pt idx="97">
                  <c:v>4.959485612423072E-12</c:v>
                </c:pt>
                <c:pt idx="98">
                  <c:v>4.959485612423072E-12</c:v>
                </c:pt>
                <c:pt idx="99">
                  <c:v>4.959485612423072E-12</c:v>
                </c:pt>
                <c:pt idx="100">
                  <c:v>4.959485612423072E-12</c:v>
                </c:pt>
                <c:pt idx="101">
                  <c:v>4.959485612423072E-12</c:v>
                </c:pt>
                <c:pt idx="102">
                  <c:v>4.959485612423072E-12</c:v>
                </c:pt>
                <c:pt idx="103">
                  <c:v>4.959485612423072E-12</c:v>
                </c:pt>
                <c:pt idx="104">
                  <c:v>4.959485612423072E-12</c:v>
                </c:pt>
                <c:pt idx="105">
                  <c:v>4.959485612423072E-12</c:v>
                </c:pt>
                <c:pt idx="106">
                  <c:v>4.959485612423072E-12</c:v>
                </c:pt>
                <c:pt idx="107">
                  <c:v>4.959485612423072E-12</c:v>
                </c:pt>
                <c:pt idx="108">
                  <c:v>4.959485612423072E-12</c:v>
                </c:pt>
                <c:pt idx="109">
                  <c:v>4.959485612423072E-12</c:v>
                </c:pt>
                <c:pt idx="110">
                  <c:v>4.959485612423072E-12</c:v>
                </c:pt>
                <c:pt idx="111">
                  <c:v>4.959485612423072E-12</c:v>
                </c:pt>
                <c:pt idx="112">
                  <c:v>4.959485612423072E-12</c:v>
                </c:pt>
                <c:pt idx="113">
                  <c:v>4.959485612423072E-12</c:v>
                </c:pt>
                <c:pt idx="114">
                  <c:v>4.959485612423072E-12</c:v>
                </c:pt>
                <c:pt idx="115">
                  <c:v>4.959485612423072E-12</c:v>
                </c:pt>
                <c:pt idx="116">
                  <c:v>4.959485612423072E-12</c:v>
                </c:pt>
                <c:pt idx="117">
                  <c:v>4.959485612423072E-12</c:v>
                </c:pt>
                <c:pt idx="118">
                  <c:v>4.959485612423072E-12</c:v>
                </c:pt>
                <c:pt idx="119">
                  <c:v>4.959485612423072E-12</c:v>
                </c:pt>
                <c:pt idx="120">
                  <c:v>4.959485612423072E-12</c:v>
                </c:pt>
                <c:pt idx="121">
                  <c:v>4.959485612423072E-12</c:v>
                </c:pt>
                <c:pt idx="122">
                  <c:v>4.959485612423072E-12</c:v>
                </c:pt>
                <c:pt idx="123">
                  <c:v>4.959485612423072E-12</c:v>
                </c:pt>
                <c:pt idx="124">
                  <c:v>4.959485612423072E-12</c:v>
                </c:pt>
                <c:pt idx="125">
                  <c:v>4.959485612423072E-12</c:v>
                </c:pt>
                <c:pt idx="126">
                  <c:v>4.959485612423072E-12</c:v>
                </c:pt>
                <c:pt idx="127">
                  <c:v>4.959485612423072E-12</c:v>
                </c:pt>
                <c:pt idx="128">
                  <c:v>4.959485612423072E-12</c:v>
                </c:pt>
                <c:pt idx="129">
                  <c:v>4.959485612423072E-12</c:v>
                </c:pt>
                <c:pt idx="130">
                  <c:v>4.959485612423072E-12</c:v>
                </c:pt>
                <c:pt idx="131">
                  <c:v>4.959485612423072E-12</c:v>
                </c:pt>
                <c:pt idx="132">
                  <c:v>4.959485612423072E-12</c:v>
                </c:pt>
                <c:pt idx="133">
                  <c:v>4.959485612423072E-12</c:v>
                </c:pt>
                <c:pt idx="134">
                  <c:v>4.959485612423072E-12</c:v>
                </c:pt>
                <c:pt idx="135">
                  <c:v>4.959485612423072E-12</c:v>
                </c:pt>
                <c:pt idx="136">
                  <c:v>4.959485612423072E-12</c:v>
                </c:pt>
                <c:pt idx="137">
                  <c:v>4.959485612423072E-12</c:v>
                </c:pt>
                <c:pt idx="138">
                  <c:v>4.959485612423072E-12</c:v>
                </c:pt>
                <c:pt idx="139">
                  <c:v>4.959485612423072E-12</c:v>
                </c:pt>
                <c:pt idx="140">
                  <c:v>4.959485612423072E-12</c:v>
                </c:pt>
                <c:pt idx="141">
                  <c:v>4.959485612423072E-12</c:v>
                </c:pt>
                <c:pt idx="142">
                  <c:v>4.959485612423072E-12</c:v>
                </c:pt>
                <c:pt idx="143">
                  <c:v>4.959485612423072E-12</c:v>
                </c:pt>
                <c:pt idx="144">
                  <c:v>4.959485612423072E-12</c:v>
                </c:pt>
                <c:pt idx="145">
                  <c:v>4.959485612423072E-12</c:v>
                </c:pt>
                <c:pt idx="146">
                  <c:v>4.959485612423072E-12</c:v>
                </c:pt>
                <c:pt idx="147">
                  <c:v>4.959485612423072E-12</c:v>
                </c:pt>
                <c:pt idx="148">
                  <c:v>4.959485612423072E-12</c:v>
                </c:pt>
                <c:pt idx="149">
                  <c:v>4.959485612423072E-12</c:v>
                </c:pt>
                <c:pt idx="150">
                  <c:v>4.959485612423072E-12</c:v>
                </c:pt>
                <c:pt idx="151">
                  <c:v>4.959485612423072E-12</c:v>
                </c:pt>
                <c:pt idx="152">
                  <c:v>4.959485612423072E-12</c:v>
                </c:pt>
                <c:pt idx="153">
                  <c:v>4.959485612423072E-12</c:v>
                </c:pt>
                <c:pt idx="154">
                  <c:v>4.959485612423072E-12</c:v>
                </c:pt>
                <c:pt idx="155">
                  <c:v>4.959485612423072E-12</c:v>
                </c:pt>
                <c:pt idx="156">
                  <c:v>4.959485612423072E-12</c:v>
                </c:pt>
                <c:pt idx="157">
                  <c:v>4.959485612423072E-12</c:v>
                </c:pt>
                <c:pt idx="158">
                  <c:v>4.959485612423072E-12</c:v>
                </c:pt>
                <c:pt idx="159">
                  <c:v>4.959485612423072E-12</c:v>
                </c:pt>
                <c:pt idx="160">
                  <c:v>4.959485612423072E-12</c:v>
                </c:pt>
                <c:pt idx="161">
                  <c:v>4.959485612423072E-12</c:v>
                </c:pt>
                <c:pt idx="162">
                  <c:v>4.959485612423072E-12</c:v>
                </c:pt>
                <c:pt idx="163">
                  <c:v>4.959485612423072E-12</c:v>
                </c:pt>
                <c:pt idx="164">
                  <c:v>4.959485612423072E-12</c:v>
                </c:pt>
                <c:pt idx="165">
                  <c:v>4.959485612423072E-12</c:v>
                </c:pt>
                <c:pt idx="166">
                  <c:v>4.959485612423072E-12</c:v>
                </c:pt>
                <c:pt idx="167">
                  <c:v>4.959485612423072E-12</c:v>
                </c:pt>
                <c:pt idx="168">
                  <c:v>4.959485612423072E-12</c:v>
                </c:pt>
                <c:pt idx="169">
                  <c:v>4.959485612423072E-12</c:v>
                </c:pt>
                <c:pt idx="170">
                  <c:v>4.959485612423072E-12</c:v>
                </c:pt>
                <c:pt idx="171">
                  <c:v>4.959485612423072E-12</c:v>
                </c:pt>
                <c:pt idx="172">
                  <c:v>4.959485612423072E-12</c:v>
                </c:pt>
                <c:pt idx="173">
                  <c:v>4.959485612423072E-12</c:v>
                </c:pt>
                <c:pt idx="174">
                  <c:v>4.959485612423072E-12</c:v>
                </c:pt>
                <c:pt idx="175">
                  <c:v>4.959485612423072E-12</c:v>
                </c:pt>
                <c:pt idx="176">
                  <c:v>4.959485612423072E-12</c:v>
                </c:pt>
                <c:pt idx="177">
                  <c:v>4.959485612423072E-12</c:v>
                </c:pt>
                <c:pt idx="178">
                  <c:v>4.959485612423072E-12</c:v>
                </c:pt>
                <c:pt idx="179">
                  <c:v>4.959485612423072E-12</c:v>
                </c:pt>
                <c:pt idx="180">
                  <c:v>4.959485612423072E-12</c:v>
                </c:pt>
                <c:pt idx="181">
                  <c:v>4.959485612423072E-12</c:v>
                </c:pt>
                <c:pt idx="182">
                  <c:v>4.959485612423072E-12</c:v>
                </c:pt>
                <c:pt idx="183">
                  <c:v>4.959485612423072E-12</c:v>
                </c:pt>
                <c:pt idx="184">
                  <c:v>4.959485612423072E-12</c:v>
                </c:pt>
                <c:pt idx="185">
                  <c:v>4.959485612423072E-12</c:v>
                </c:pt>
                <c:pt idx="186">
                  <c:v>4.959485612423072E-12</c:v>
                </c:pt>
                <c:pt idx="187">
                  <c:v>4.959485612423072E-12</c:v>
                </c:pt>
                <c:pt idx="188">
                  <c:v>4.959485612423072E-12</c:v>
                </c:pt>
                <c:pt idx="189">
                  <c:v>4.959485612423072E-12</c:v>
                </c:pt>
                <c:pt idx="190">
                  <c:v>4.959485612423072E-12</c:v>
                </c:pt>
                <c:pt idx="191">
                  <c:v>4.959485612423072E-12</c:v>
                </c:pt>
                <c:pt idx="192">
                  <c:v>4.959485612423072E-12</c:v>
                </c:pt>
                <c:pt idx="193">
                  <c:v>4.959485612423072E-12</c:v>
                </c:pt>
                <c:pt idx="194">
                  <c:v>4.959485612423072E-12</c:v>
                </c:pt>
                <c:pt idx="195">
                  <c:v>4.959485612423072E-12</c:v>
                </c:pt>
                <c:pt idx="196">
                  <c:v>4.959485612423072E-12</c:v>
                </c:pt>
                <c:pt idx="197">
                  <c:v>4.959485612423072E-12</c:v>
                </c:pt>
                <c:pt idx="198">
                  <c:v>4.959485612423072E-12</c:v>
                </c:pt>
                <c:pt idx="199">
                  <c:v>4.959485612423072E-12</c:v>
                </c:pt>
                <c:pt idx="200">
                  <c:v>4.959485612423072E-12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2.0372769670101483</c:v>
                </c:pt>
                <c:pt idx="2">
                  <c:v>2.676486199143135</c:v>
                </c:pt>
                <c:pt idx="3">
                  <c:v>3.5170759077395513</c:v>
                </c:pt>
                <c:pt idx="4">
                  <c:v>4.6227351394646172</c:v>
                </c:pt>
                <c:pt idx="5">
                  <c:v>6.0773678328619782</c:v>
                </c:pt>
                <c:pt idx="6">
                  <c:v>7.9915303734957925</c:v>
                </c:pt>
                <c:pt idx="7">
                  <c:v>10.510925497936862</c:v>
                </c:pt>
                <c:pt idx="8">
                  <c:v>13.827611241534122</c:v>
                </c:pt>
                <c:pt idx="9">
                  <c:v>18.194795155280449</c:v>
                </c:pt>
                <c:pt idx="10">
                  <c:v>23.946363633196558</c:v>
                </c:pt>
                <c:pt idx="11">
                  <c:v>31.522665853656651</c:v>
                </c:pt>
                <c:pt idx="12">
                  <c:v>41.504560602143492</c:v>
                </c:pt>
                <c:pt idx="13">
                  <c:v>54.658380558021626</c:v>
                </c:pt>
                <c:pt idx="14">
                  <c:v>71.995323377039924</c:v>
                </c:pt>
                <c:pt idx="15">
                  <c:v>94.849909428740133</c:v>
                </c:pt>
                <c:pt idx="16">
                  <c:v>124.98364149297942</c:v>
                </c:pt>
                <c:pt idx="17">
                  <c:v>164.72198008050322</c:v>
                </c:pt>
                <c:pt idx="18">
                  <c:v>134.28250989030781</c:v>
                </c:pt>
                <c:pt idx="19">
                  <c:v>157.45506117882073</c:v>
                </c:pt>
                <c:pt idx="20">
                  <c:v>180.54657390777126</c:v>
                </c:pt>
                <c:pt idx="21">
                  <c:v>203.56888236001612</c:v>
                </c:pt>
                <c:pt idx="22">
                  <c:v>226.53091750255075</c:v>
                </c:pt>
                <c:pt idx="23">
                  <c:v>249.43964844709606</c:v>
                </c:pt>
                <c:pt idx="24">
                  <c:v>198.2631718527642</c:v>
                </c:pt>
                <c:pt idx="25">
                  <c:v>222.37968742634794</c:v>
                </c:pt>
                <c:pt idx="26">
                  <c:v>246.4361891457107</c:v>
                </c:pt>
                <c:pt idx="27">
                  <c:v>270.43935829312153</c:v>
                </c:pt>
                <c:pt idx="28">
                  <c:v>294.39459227178389</c:v>
                </c:pt>
                <c:pt idx="29">
                  <c:v>318.30633801047736</c:v>
                </c:pt>
                <c:pt idx="30">
                  <c:v>270.68449172782698</c:v>
                </c:pt>
                <c:pt idx="31">
                  <c:v>293.51930351408345</c:v>
                </c:pt>
                <c:pt idx="32">
                  <c:v>316.31447172414227</c:v>
                </c:pt>
                <c:pt idx="33">
                  <c:v>339.07325336996888</c:v>
                </c:pt>
                <c:pt idx="34">
                  <c:v>361.7984326115573</c:v>
                </c:pt>
                <c:pt idx="35">
                  <c:v>384.49241541397896</c:v>
                </c:pt>
                <c:pt idx="36">
                  <c:v>407.15730067263689</c:v>
                </c:pt>
                <c:pt idx="37">
                  <c:v>330.75137896983284</c:v>
                </c:pt>
                <c:pt idx="38">
                  <c:v>351.93090381479277</c:v>
                </c:pt>
                <c:pt idx="39">
                  <c:v>373.08249524821412</c:v>
                </c:pt>
                <c:pt idx="40">
                  <c:v>394.20795870969431</c:v>
                </c:pt>
                <c:pt idx="41">
                  <c:v>415.30889042922746</c:v>
                </c:pt>
                <c:pt idx="42">
                  <c:v>436.38671128579443</c:v>
                </c:pt>
                <c:pt idx="43">
                  <c:v>457.44269378262044</c:v>
                </c:pt>
                <c:pt idx="44">
                  <c:v>478.47798379712521</c:v>
                </c:pt>
                <c:pt idx="45">
                  <c:v>397.753227063145</c:v>
                </c:pt>
                <c:pt idx="46">
                  <c:v>416.44223811477758</c:v>
                </c:pt>
                <c:pt idx="47">
                  <c:v>435.11317365477458</c:v>
                </c:pt>
                <c:pt idx="48">
                  <c:v>453.76691805289994</c:v>
                </c:pt>
                <c:pt idx="49">
                  <c:v>472.40427707439738</c:v>
                </c:pt>
                <c:pt idx="50">
                  <c:v>491.0259877555323</c:v>
                </c:pt>
                <c:pt idx="51">
                  <c:v>509.63272670342303</c:v>
                </c:pt>
                <c:pt idx="52">
                  <c:v>528.22511712105825</c:v>
                </c:pt>
                <c:pt idx="53">
                  <c:v>448.98126779829232</c:v>
                </c:pt>
                <c:pt idx="54">
                  <c:v>465.70732350694396</c:v>
                </c:pt>
                <c:pt idx="55">
                  <c:v>482.42057605284941</c:v>
                </c:pt>
                <c:pt idx="56">
                  <c:v>499.12153124405523</c:v>
                </c:pt>
                <c:pt idx="57">
                  <c:v>515.81065829469196</c:v>
                </c:pt>
                <c:pt idx="58">
                  <c:v>532.48839359517024</c:v>
                </c:pt>
                <c:pt idx="59">
                  <c:v>549.15514398564108</c:v>
                </c:pt>
                <c:pt idx="60">
                  <c:v>565.81128961154946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2.6737980304323585</c:v>
                </c:pt>
                <c:pt idx="2">
                  <c:v>3.0943090739629628</c:v>
                </c:pt>
                <c:pt idx="3">
                  <c:v>3.5811929339565567</c:v>
                </c:pt>
                <c:pt idx="4">
                  <c:v>4.1449613785168511</c:v>
                </c:pt>
                <c:pt idx="5">
                  <c:v>4.7977962608357618</c:v>
                </c:pt>
                <c:pt idx="6">
                  <c:v>5.5538156415632898</c:v>
                </c:pt>
                <c:pt idx="7">
                  <c:v>6.4293824324905131</c:v>
                </c:pt>
                <c:pt idx="8">
                  <c:v>7.4434623726649827</c:v>
                </c:pt>
                <c:pt idx="9">
                  <c:v>8.6180392415700524</c:v>
                </c:pt>
                <c:pt idx="10">
                  <c:v>9.9785964834391248</c:v>
                </c:pt>
                <c:pt idx="11">
                  <c:v>11.554675890499484</c:v>
                </c:pt>
                <c:pt idx="12">
                  <c:v>13.38052570388389</c:v>
                </c:pt>
                <c:pt idx="13">
                  <c:v>15.495852477366185</c:v>
                </c:pt>
                <c:pt idx="14">
                  <c:v>17.946693355403458</c:v>
                </c:pt>
                <c:pt idx="15">
                  <c:v>20.786428094814809</c:v>
                </c:pt>
                <c:pt idx="16">
                  <c:v>24.076953268748301</c:v>
                </c:pt>
                <c:pt idx="17">
                  <c:v>27.890044702026973</c:v>
                </c:pt>
                <c:pt idx="18">
                  <c:v>32.30893837942314</c:v>
                </c:pt>
                <c:pt idx="19">
                  <c:v>37.430164936871329</c:v>
                </c:pt>
                <c:pt idx="20">
                  <c:v>43.365678499276271</c:v>
                </c:pt>
                <c:pt idx="21">
                  <c:v>50.245327194245732</c:v>
                </c:pt>
                <c:pt idx="22">
                  <c:v>58.219720296145177</c:v>
                </c:pt>
                <c:pt idx="23">
                  <c:v>67.463555810539106</c:v>
                </c:pt>
                <c:pt idx="24">
                  <c:v>78.179482594275399</c:v>
                </c:pt>
                <c:pt idx="25">
                  <c:v>90.60258305230083</c:v>
                </c:pt>
                <c:pt idx="26">
                  <c:v>105.005576327306</c:v>
                </c:pt>
                <c:pt idx="27">
                  <c:v>121.70485801451069</c:v>
                </c:pt>
                <c:pt idx="28">
                  <c:v>141.06751115386842</c:v>
                </c:pt>
                <c:pt idx="29">
                  <c:v>163.51944499698146</c:v>
                </c:pt>
                <c:pt idx="30">
                  <c:v>189.5548433056081</c:v>
                </c:pt>
                <c:pt idx="31">
                  <c:v>219.74713328168124</c:v>
                </c:pt>
                <c:pt idx="32">
                  <c:v>254.76172031629076</c:v>
                </c:pt>
                <c:pt idx="33">
                  <c:v>295.37077334531978</c:v>
                </c:pt>
                <c:pt idx="34">
                  <c:v>342.47039160511548</c:v>
                </c:pt>
                <c:pt idx="35">
                  <c:v>298.49846155904305</c:v>
                </c:pt>
                <c:pt idx="36">
                  <c:v>325.52045225626819</c:v>
                </c:pt>
                <c:pt idx="37">
                  <c:v>352.49289391837186</c:v>
                </c:pt>
                <c:pt idx="38">
                  <c:v>379.42010762458534</c:v>
                </c:pt>
                <c:pt idx="39">
                  <c:v>406.30575129176503</c:v>
                </c:pt>
                <c:pt idx="40">
                  <c:v>433.15295950772139</c:v>
                </c:pt>
                <c:pt idx="41">
                  <c:v>459.9644468634869</c:v>
                </c:pt>
                <c:pt idx="42">
                  <c:v>486.74258592712107</c:v>
                </c:pt>
                <c:pt idx="43">
                  <c:v>402.6863801134038</c:v>
                </c:pt>
                <c:pt idx="44">
                  <c:v>430.29805347853835</c:v>
                </c:pt>
                <c:pt idx="45">
                  <c:v>457.87166664968487</c:v>
                </c:pt>
                <c:pt idx="46">
                  <c:v>485.40983120164657</c:v>
                </c:pt>
                <c:pt idx="47">
                  <c:v>512.91483849860072</c:v>
                </c:pt>
                <c:pt idx="48">
                  <c:v>540.38871436673799</c:v>
                </c:pt>
                <c:pt idx="49">
                  <c:v>567.83326207225002</c:v>
                </c:pt>
                <c:pt idx="50">
                  <c:v>595.25009656142754</c:v>
                </c:pt>
                <c:pt idx="51">
                  <c:v>486.84565545428495</c:v>
                </c:pt>
                <c:pt idx="52">
                  <c:v>513.81747826911885</c:v>
                </c:pt>
                <c:pt idx="53">
                  <c:v>540.7594227694326</c:v>
                </c:pt>
                <c:pt idx="54">
                  <c:v>567.67318501986585</c:v>
                </c:pt>
                <c:pt idx="55">
                  <c:v>594.56028733429628</c:v>
                </c:pt>
                <c:pt idx="56">
                  <c:v>621.42210328406259</c:v>
                </c:pt>
                <c:pt idx="57">
                  <c:v>648.25987816020552</c:v>
                </c:pt>
                <c:pt idx="58">
                  <c:v>675.07474587368461</c:v>
                </c:pt>
                <c:pt idx="59">
                  <c:v>575.30805370400878</c:v>
                </c:pt>
                <c:pt idx="60">
                  <c:v>601.13070346995141</c:v>
                </c:pt>
                <c:pt idx="61">
                  <c:v>626.93030959755595</c:v>
                </c:pt>
                <c:pt idx="62">
                  <c:v>652.70795254564484</c:v>
                </c:pt>
                <c:pt idx="63">
                  <c:v>678.46462058239911</c:v>
                </c:pt>
                <c:pt idx="64">
                  <c:v>704.20122092209192</c:v>
                </c:pt>
                <c:pt idx="65">
                  <c:v>729.91858915073738</c:v>
                </c:pt>
                <c:pt idx="66">
                  <c:v>755.61749725572326</c:v>
                </c:pt>
                <c:pt idx="67">
                  <c:v>634.39698138943356</c:v>
                </c:pt>
                <c:pt idx="68">
                  <c:v>658.78701023794144</c:v>
                </c:pt>
                <c:pt idx="69">
                  <c:v>683.158451920331</c:v>
                </c:pt>
                <c:pt idx="70">
                  <c:v>707.51206197606132</c:v>
                </c:pt>
                <c:pt idx="71">
                  <c:v>731.84853975815815</c:v>
                </c:pt>
                <c:pt idx="72">
                  <c:v>756.16853437807106</c:v>
                </c:pt>
                <c:pt idx="73">
                  <c:v>780.47264984684045</c:v>
                </c:pt>
                <c:pt idx="74">
                  <c:v>804.76144954334825</c:v>
                </c:pt>
                <c:pt idx="75">
                  <c:v>684.6197833537384</c:v>
                </c:pt>
                <c:pt idx="76">
                  <c:v>707.61670982448493</c:v>
                </c:pt>
                <c:pt idx="77">
                  <c:v>730.59836192905857</c:v>
                </c:pt>
                <c:pt idx="78">
                  <c:v>753.56528715170464</c:v>
                </c:pt>
                <c:pt idx="79">
                  <c:v>776.51799692714212</c:v>
                </c:pt>
                <c:pt idx="80">
                  <c:v>799.45697003086968</c:v>
                </c:pt>
                <c:pt idx="81">
                  <c:v>822.38265556060048</c:v>
                </c:pt>
                <c:pt idx="82">
                  <c:v>845.29547556837406</c:v>
                </c:pt>
                <c:pt idx="83">
                  <c:v>757.09482840743919</c:v>
                </c:pt>
                <c:pt idx="84">
                  <c:v>779.25733761234221</c:v>
                </c:pt>
                <c:pt idx="85">
                  <c:v>801.40708912663069</c:v>
                </c:pt>
                <c:pt idx="86">
                  <c:v>823.54448473067441</c:v>
                </c:pt>
                <c:pt idx="87">
                  <c:v>845.66990287278952</c:v>
                </c:pt>
                <c:pt idx="88">
                  <c:v>867.78370061131125</c:v>
                </c:pt>
                <c:pt idx="89">
                  <c:v>889.88621534867627</c:v>
                </c:pt>
                <c:pt idx="90">
                  <c:v>911.9777663845033</c:v>
                </c:pt>
                <c:pt idx="91">
                  <c:v>803.45959274206746</c:v>
                </c:pt>
                <c:pt idx="92">
                  <c:v>824.86845553628189</c:v>
                </c:pt>
                <c:pt idx="93">
                  <c:v>846.26613593714671</c:v>
                </c:pt>
                <c:pt idx="94">
                  <c:v>867.65295612366288</c:v>
                </c:pt>
                <c:pt idx="95">
                  <c:v>889.02922111887312</c:v>
                </c:pt>
                <c:pt idx="96">
                  <c:v>910.39522010217399</c:v>
                </c:pt>
                <c:pt idx="97">
                  <c:v>931.75122759220085</c:v>
                </c:pt>
                <c:pt idx="98">
                  <c:v>953.09750451577702</c:v>
                </c:pt>
                <c:pt idx="99">
                  <c:v>974.43429917626281</c:v>
                </c:pt>
                <c:pt idx="100">
                  <c:v>995.76184813280258</c:v>
                </c:pt>
                <c:pt idx="101">
                  <c:v>840.17828387797579</c:v>
                </c:pt>
                <c:pt idx="102">
                  <c:v>860.72861734504897</c:v>
                </c:pt>
                <c:pt idx="103">
                  <c:v>881.26911871096502</c:v>
                </c:pt>
                <c:pt idx="104">
                  <c:v>901.80004910721084</c:v>
                </c:pt>
                <c:pt idx="105">
                  <c:v>922.32165682199127</c:v>
                </c:pt>
                <c:pt idx="106">
                  <c:v>942.83417820931766</c:v>
                </c:pt>
                <c:pt idx="107">
                  <c:v>963.33783851498117</c:v>
                </c:pt>
                <c:pt idx="108">
                  <c:v>983.83285262865172</c:v>
                </c:pt>
                <c:pt idx="109">
                  <c:v>1004.3194257701401</c:v>
                </c:pt>
                <c:pt idx="110">
                  <c:v>1024.7977541168391</c:v>
                </c:pt>
                <c:pt idx="111">
                  <c:v>906.48026452257966</c:v>
                </c:pt>
                <c:pt idx="112">
                  <c:v>926.78215925861196</c:v>
                </c:pt>
                <c:pt idx="113">
                  <c:v>947.07520827387407</c:v>
                </c:pt>
                <c:pt idx="114">
                  <c:v>967.35962753381591</c:v>
                </c:pt>
                <c:pt idx="115">
                  <c:v>987.63562322140353</c:v>
                </c:pt>
                <c:pt idx="116">
                  <c:v>1007.9033923759724</c:v>
                </c:pt>
                <c:pt idx="117">
                  <c:v>1028.1631234781019</c:v>
                </c:pt>
                <c:pt idx="118">
                  <c:v>1048.4149969860646</c:v>
                </c:pt>
                <c:pt idx="119">
                  <c:v>1068.6591858287338</c:v>
                </c:pt>
                <c:pt idx="120">
                  <c:v>1088.8958558592624</c:v>
                </c:pt>
                <c:pt idx="121">
                  <c:v>984.47170812959484</c:v>
                </c:pt>
                <c:pt idx="122">
                  <c:v>1004.7785351985522</c:v>
                </c:pt>
                <c:pt idx="123">
                  <c:v>1025.0772655736414</c:v>
                </c:pt>
                <c:pt idx="124">
                  <c:v>1045.3680819280014</c:v>
                </c:pt>
                <c:pt idx="125">
                  <c:v>1065.6511592760337</c:v>
                </c:pt>
                <c:pt idx="126">
                  <c:v>1085.9266654370654</c:v>
                </c:pt>
                <c:pt idx="127">
                  <c:v>1106.1947614626372</c:v>
                </c:pt>
                <c:pt idx="128">
                  <c:v>1126.4556020309005</c:v>
                </c:pt>
                <c:pt idx="129">
                  <c:v>1146.709335811212</c:v>
                </c:pt>
                <c:pt idx="130">
                  <c:v>1166.95610580167</c:v>
                </c:pt>
                <c:pt idx="131">
                  <c:v>1044.4619025340414</c:v>
                </c:pt>
                <c:pt idx="132">
                  <c:v>1064.9302649523968</c:v>
                </c:pt>
                <c:pt idx="133">
                  <c:v>1085.3909114956843</c:v>
                </c:pt>
                <c:pt idx="134">
                  <c:v>1105.8440078721535</c:v>
                </c:pt>
                <c:pt idx="135">
                  <c:v>1126.2897131704797</c:v>
                </c:pt>
                <c:pt idx="136">
                  <c:v>1146.7281802419484</c:v>
                </c:pt>
                <c:pt idx="137">
                  <c:v>1167.1595560540247</c:v>
                </c:pt>
                <c:pt idx="138">
                  <c:v>1187.5839820179174</c:v>
                </c:pt>
                <c:pt idx="139">
                  <c:v>1208.0015942924804</c:v>
                </c:pt>
                <c:pt idx="140">
                  <c:v>1228.4125240665323</c:v>
                </c:pt>
                <c:pt idx="141">
                  <c:v>1108.2370093829725</c:v>
                </c:pt>
                <c:pt idx="142">
                  <c:v>1128.7402956172302</c:v>
                </c:pt>
                <c:pt idx="143">
                  <c:v>1149.2363202035792</c:v>
                </c:pt>
                <c:pt idx="144">
                  <c:v>1169.7252306767962</c:v>
                </c:pt>
                <c:pt idx="145">
                  <c:v>1190.2071689905461</c:v>
                </c:pt>
                <c:pt idx="146">
                  <c:v>1210.6822718228229</c:v>
                </c:pt>
                <c:pt idx="147">
                  <c:v>1231.1506708596933</c:v>
                </c:pt>
                <c:pt idx="148">
                  <c:v>1251.6124930592212</c:v>
                </c:pt>
                <c:pt idx="149">
                  <c:v>1272.0678608972707</c:v>
                </c:pt>
                <c:pt idx="150">
                  <c:v>1292.5168925967034</c:v>
                </c:pt>
                <c:pt idx="151">
                  <c:v>816.01334617680141</c:v>
                </c:pt>
                <c:pt idx="152">
                  <c:v>829.51908601437174</c:v>
                </c:pt>
                <c:pt idx="153">
                  <c:v>843.0204025614504</c:v>
                </c:pt>
                <c:pt idx="154">
                  <c:v>553.29262833385587</c:v>
                </c:pt>
                <c:pt idx="155">
                  <c:v>561.10044728949822</c:v>
                </c:pt>
                <c:pt idx="156">
                  <c:v>568.90599291549813</c:v>
                </c:pt>
                <c:pt idx="157">
                  <c:v>388.08375787348422</c:v>
                </c:pt>
                <c:pt idx="158">
                  <c:v>392.7077850319518</c:v>
                </c:pt>
                <c:pt idx="159">
                  <c:v>397.33063149976448</c:v>
                </c:pt>
                <c:pt idx="160">
                  <c:v>8.7420875242334695E-12</c:v>
                </c:pt>
                <c:pt idx="161">
                  <c:v>8.7420875242334695E-12</c:v>
                </c:pt>
                <c:pt idx="162">
                  <c:v>8.7420875242334695E-12</c:v>
                </c:pt>
                <c:pt idx="163">
                  <c:v>8.7420875242334695E-12</c:v>
                </c:pt>
                <c:pt idx="164">
                  <c:v>8.7420875242334695E-12</c:v>
                </c:pt>
                <c:pt idx="165">
                  <c:v>8.7420875242334695E-12</c:v>
                </c:pt>
                <c:pt idx="166">
                  <c:v>8.7420875242334695E-12</c:v>
                </c:pt>
                <c:pt idx="167">
                  <c:v>8.7420875242334695E-12</c:v>
                </c:pt>
                <c:pt idx="168">
                  <c:v>8.7420875242334695E-12</c:v>
                </c:pt>
                <c:pt idx="169">
                  <c:v>8.7420875242334695E-12</c:v>
                </c:pt>
                <c:pt idx="170">
                  <c:v>8.7420875242334695E-12</c:v>
                </c:pt>
                <c:pt idx="171">
                  <c:v>8.7420875242334695E-12</c:v>
                </c:pt>
                <c:pt idx="172">
                  <c:v>8.7420875242334695E-12</c:v>
                </c:pt>
                <c:pt idx="173">
                  <c:v>8.7420875242334695E-12</c:v>
                </c:pt>
                <c:pt idx="174">
                  <c:v>8.7420875242334695E-12</c:v>
                </c:pt>
                <c:pt idx="175">
                  <c:v>8.7420875242334695E-12</c:v>
                </c:pt>
                <c:pt idx="176">
                  <c:v>8.7420875242334695E-12</c:v>
                </c:pt>
                <c:pt idx="177">
                  <c:v>8.7420875242334695E-12</c:v>
                </c:pt>
                <c:pt idx="178">
                  <c:v>8.7420875242334695E-12</c:v>
                </c:pt>
                <c:pt idx="179">
                  <c:v>8.7420875242334695E-12</c:v>
                </c:pt>
                <c:pt idx="180">
                  <c:v>8.7420875242334695E-12</c:v>
                </c:pt>
                <c:pt idx="181">
                  <c:v>8.7420875242334695E-12</c:v>
                </c:pt>
                <c:pt idx="182">
                  <c:v>8.7420875242334695E-12</c:v>
                </c:pt>
                <c:pt idx="183">
                  <c:v>8.7420875242334695E-12</c:v>
                </c:pt>
                <c:pt idx="184">
                  <c:v>8.7420875242334695E-12</c:v>
                </c:pt>
                <c:pt idx="185">
                  <c:v>8.7420875242334695E-12</c:v>
                </c:pt>
                <c:pt idx="186">
                  <c:v>8.7420875242334695E-12</c:v>
                </c:pt>
                <c:pt idx="187">
                  <c:v>8.7420875242334695E-12</c:v>
                </c:pt>
                <c:pt idx="188">
                  <c:v>8.7420875242334695E-12</c:v>
                </c:pt>
                <c:pt idx="189">
                  <c:v>8.7420875242334695E-12</c:v>
                </c:pt>
                <c:pt idx="190">
                  <c:v>8.7420875242334695E-12</c:v>
                </c:pt>
                <c:pt idx="191">
                  <c:v>8.7420875242334695E-12</c:v>
                </c:pt>
                <c:pt idx="192">
                  <c:v>8.7420875242334695E-12</c:v>
                </c:pt>
                <c:pt idx="193">
                  <c:v>8.7420875242334695E-12</c:v>
                </c:pt>
                <c:pt idx="194">
                  <c:v>8.7420875242334695E-12</c:v>
                </c:pt>
                <c:pt idx="195">
                  <c:v>8.7420875242334695E-12</c:v>
                </c:pt>
                <c:pt idx="196">
                  <c:v>8.7420875242334695E-12</c:v>
                </c:pt>
                <c:pt idx="197">
                  <c:v>8.7420875242334695E-12</c:v>
                </c:pt>
                <c:pt idx="198">
                  <c:v>8.7420875242334695E-12</c:v>
                </c:pt>
                <c:pt idx="199">
                  <c:v>8.7420875242334695E-12</c:v>
                </c:pt>
                <c:pt idx="200">
                  <c:v>8.7420875242334695E-12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7.9348268839058393</c:v>
                </c:pt>
                <c:pt idx="2">
                  <c:v>15.517090525941128</c:v>
                </c:pt>
                <c:pt idx="3">
                  <c:v>22.985493938419882</c:v>
                </c:pt>
                <c:pt idx="4">
                  <c:v>30.383711256164688</c:v>
                </c:pt>
                <c:pt idx="5">
                  <c:v>37.731537028809953</c:v>
                </c:pt>
                <c:pt idx="6">
                  <c:v>45.040262893912661</c:v>
                </c:pt>
                <c:pt idx="7">
                  <c:v>52.317168133608305</c:v>
                </c:pt>
                <c:pt idx="8">
                  <c:v>59.567323055290082</c:v>
                </c:pt>
                <c:pt idx="9">
                  <c:v>66.794454399391569</c:v>
                </c:pt>
                <c:pt idx="10">
                  <c:v>74.001412157424696</c:v>
                </c:pt>
                <c:pt idx="11">
                  <c:v>81.190443338320719</c:v>
                </c:pt>
                <c:pt idx="12">
                  <c:v>88.363362971016116</c:v>
                </c:pt>
                <c:pt idx="13">
                  <c:v>95.521666329523114</c:v>
                </c:pt>
                <c:pt idx="14">
                  <c:v>102.6666055778236</c:v>
                </c:pt>
                <c:pt idx="15">
                  <c:v>109.79924386311403</c:v>
                </c:pt>
                <c:pt idx="16">
                  <c:v>116.92049456001179</c:v>
                </c:pt>
                <c:pt idx="17">
                  <c:v>124.03115041829483</c:v>
                </c:pt>
                <c:pt idx="18">
                  <c:v>131.13190565447152</c:v>
                </c:pt>
                <c:pt idx="19">
                  <c:v>138.22337299336959</c:v>
                </c:pt>
                <c:pt idx="20">
                  <c:v>145.30609701967319</c:v>
                </c:pt>
                <c:pt idx="21">
                  <c:v>152.38056478326666</c:v>
                </c:pt>
                <c:pt idx="22">
                  <c:v>159.44721432727769</c:v>
                </c:pt>
                <c:pt idx="23">
                  <c:v>166.50644162173626</c:v>
                </c:pt>
                <c:pt idx="24">
                  <c:v>173.55860625735497</c:v>
                </c:pt>
                <c:pt idx="25">
                  <c:v>180.60403616360529</c:v>
                </c:pt>
                <c:pt idx="26">
                  <c:v>187.64303155065241</c:v>
                </c:pt>
                <c:pt idx="27">
                  <c:v>194.67586822778131</c:v>
                </c:pt>
                <c:pt idx="28">
                  <c:v>201.70280041638287</c:v>
                </c:pt>
                <c:pt idx="29">
                  <c:v>208.72406314979355</c:v>
                </c:pt>
                <c:pt idx="30">
                  <c:v>215.73987433282181</c:v>
                </c:pt>
                <c:pt idx="31">
                  <c:v>222.7504365189578</c:v>
                </c:pt>
                <c:pt idx="32">
                  <c:v>229.75593845182368</c:v>
                </c:pt>
                <c:pt idx="33">
                  <c:v>236.75655640852983</c:v>
                </c:pt>
                <c:pt idx="34">
                  <c:v>243.75245537562498</c:v>
                </c:pt>
                <c:pt idx="35">
                  <c:v>250.74379008281184</c:v>
                </c:pt>
                <c:pt idx="36">
                  <c:v>257.73070591520286</c:v>
                </c:pt>
                <c:pt idx="37">
                  <c:v>264.71333972136563</c:v>
                </c:pt>
                <c:pt idx="38">
                  <c:v>271.69182053155362</c:v>
                </c:pt>
                <c:pt idx="39">
                  <c:v>278.66627019820879</c:v>
                </c:pt>
                <c:pt idx="40">
                  <c:v>285.63680396892198</c:v>
                </c:pt>
                <c:pt idx="41">
                  <c:v>292.60353100048502</c:v>
                </c:pt>
                <c:pt idx="42">
                  <c:v>299.56655482137893</c:v>
                </c:pt>
                <c:pt idx="43">
                  <c:v>306.52597374897516</c:v>
                </c:pt>
                <c:pt idx="44">
                  <c:v>313.48188126683385</c:v>
                </c:pt>
                <c:pt idx="45">
                  <c:v>320.43436636673522</c:v>
                </c:pt>
                <c:pt idx="46">
                  <c:v>327.38351385945117</c:v>
                </c:pt>
                <c:pt idx="47">
                  <c:v>334.32940465773095</c:v>
                </c:pt>
                <c:pt idx="48">
                  <c:v>341.27211603452292</c:v>
                </c:pt>
                <c:pt idx="49">
                  <c:v>348.21172185907125</c:v>
                </c:pt>
                <c:pt idx="50">
                  <c:v>355.14829281319425</c:v>
                </c:pt>
                <c:pt idx="51">
                  <c:v>362.08189658977221</c:v>
                </c:pt>
                <c:pt idx="52">
                  <c:v>369.01259807522791</c:v>
                </c:pt>
                <c:pt idx="53">
                  <c:v>375.94045951757306</c:v>
                </c:pt>
                <c:pt idx="54">
                  <c:v>382.8655406814126</c:v>
                </c:pt>
                <c:pt idx="55">
                  <c:v>389.78789899114423</c:v>
                </c:pt>
                <c:pt idx="56">
                  <c:v>396.70758966344698</c:v>
                </c:pt>
                <c:pt idx="57">
                  <c:v>403.62466583003965</c:v>
                </c:pt>
                <c:pt idx="58">
                  <c:v>410.53917865157979</c:v>
                </c:pt>
                <c:pt idx="59">
                  <c:v>417.45117742348617</c:v>
                </c:pt>
                <c:pt idx="60">
                  <c:v>424.36070967438195</c:v>
                </c:pt>
                <c:pt idx="61">
                  <c:v>288.18730679977051</c:v>
                </c:pt>
                <c:pt idx="62">
                  <c:v>302.47198070570596</c:v>
                </c:pt>
                <c:pt idx="63">
                  <c:v>316.74164591285154</c:v>
                </c:pt>
                <c:pt idx="64">
                  <c:v>330.99707386423012</c:v>
                </c:pt>
                <c:pt idx="65">
                  <c:v>345.23896411987533</c:v>
                </c:pt>
                <c:pt idx="66">
                  <c:v>359.46795380642266</c:v>
                </c:pt>
                <c:pt idx="67">
                  <c:v>373.68462549187933</c:v>
                </c:pt>
                <c:pt idx="68">
                  <c:v>387.88951379915807</c:v>
                </c:pt>
                <c:pt idx="69">
                  <c:v>402.08311100010451</c:v>
                </c:pt>
                <c:pt idx="70">
                  <c:v>328.91011552785579</c:v>
                </c:pt>
                <c:pt idx="71">
                  <c:v>342.84500036388135</c:v>
                </c:pt>
                <c:pt idx="72">
                  <c:v>356.76743992635789</c:v>
                </c:pt>
                <c:pt idx="73">
                  <c:v>370.67798829998833</c:v>
                </c:pt>
                <c:pt idx="74">
                  <c:v>384.57715458703962</c:v>
                </c:pt>
                <c:pt idx="75">
                  <c:v>398.46540808711467</c:v>
                </c:pt>
                <c:pt idx="76">
                  <c:v>412.3431827169984</c:v>
                </c:pt>
                <c:pt idx="77">
                  <c:v>426.21088080440586</c:v>
                </c:pt>
                <c:pt idx="78">
                  <c:v>370.20260469110161</c:v>
                </c:pt>
                <c:pt idx="79">
                  <c:v>384.10358289738252</c:v>
                </c:pt>
                <c:pt idx="80">
                  <c:v>397.99363067483574</c:v>
                </c:pt>
                <c:pt idx="81">
                  <c:v>411.87318321337824</c:v>
                </c:pt>
                <c:pt idx="82">
                  <c:v>425.74264398092276</c:v>
                </c:pt>
                <c:pt idx="83">
                  <c:v>439.60238801543551</c:v>
                </c:pt>
                <c:pt idx="84">
                  <c:v>453.45276478019287</c:v>
                </c:pt>
                <c:pt idx="85">
                  <c:v>467.29410065203678</c:v>
                </c:pt>
                <c:pt idx="86">
                  <c:v>481.12670109948903</c:v>
                </c:pt>
                <c:pt idx="87">
                  <c:v>417.92486805030893</c:v>
                </c:pt>
                <c:pt idx="88">
                  <c:v>431.82201320823901</c:v>
                </c:pt>
                <c:pt idx="89">
                  <c:v>445.70955372287375</c:v>
                </c:pt>
                <c:pt idx="90">
                  <c:v>459.58783097189752</c:v>
                </c:pt>
                <c:pt idx="91">
                  <c:v>473.4571640373162</c:v>
                </c:pt>
                <c:pt idx="92">
                  <c:v>487.31785178574552</c:v>
                </c:pt>
                <c:pt idx="93">
                  <c:v>501.17017469973308</c:v>
                </c:pt>
                <c:pt idx="94">
                  <c:v>515.01439649611177</c:v>
                </c:pt>
                <c:pt idx="95">
                  <c:v>528.85076556131935</c:v>
                </c:pt>
                <c:pt idx="96">
                  <c:v>456.25823673536746</c:v>
                </c:pt>
                <c:pt idx="97">
                  <c:v>470.16615638603167</c:v>
                </c:pt>
                <c:pt idx="98">
                  <c:v>484.06531560972599</c:v>
                </c:pt>
                <c:pt idx="99">
                  <c:v>497.95600132779902</c:v>
                </c:pt>
                <c:pt idx="100">
                  <c:v>511.83848315243455</c:v>
                </c:pt>
                <c:pt idx="101">
                  <c:v>525.71301488182235</c:v>
                </c:pt>
                <c:pt idx="102">
                  <c:v>539.57983582931536</c:v>
                </c:pt>
                <c:pt idx="103">
                  <c:v>553.43917200888438</c:v>
                </c:pt>
                <c:pt idx="104">
                  <c:v>567.29123719568713</c:v>
                </c:pt>
                <c:pt idx="105">
                  <c:v>500.76273642622454</c:v>
                </c:pt>
                <c:pt idx="106">
                  <c:v>514.8551556957724</c:v>
                </c:pt>
                <c:pt idx="107">
                  <c:v>528.93943541715112</c:v>
                </c:pt>
                <c:pt idx="108">
                  <c:v>543.01582278718149</c:v>
                </c:pt>
                <c:pt idx="109">
                  <c:v>557.0845511461456</c:v>
                </c:pt>
                <c:pt idx="110">
                  <c:v>571.14584109211796</c:v>
                </c:pt>
                <c:pt idx="111">
                  <c:v>585.19990147989529</c:v>
                </c:pt>
                <c:pt idx="112">
                  <c:v>599.24693031901279</c:v>
                </c:pt>
                <c:pt idx="113">
                  <c:v>613.28711558321936</c:v>
                </c:pt>
                <c:pt idx="114">
                  <c:v>542.53862974826052</c:v>
                </c:pt>
                <c:pt idx="115">
                  <c:v>556.85289709565188</c:v>
                </c:pt>
                <c:pt idx="116">
                  <c:v>571.15946063462252</c:v>
                </c:pt>
                <c:pt idx="117">
                  <c:v>585.45854043456723</c:v>
                </c:pt>
                <c:pt idx="118">
                  <c:v>599.75034494340457</c:v>
                </c:pt>
                <c:pt idx="119">
                  <c:v>614.03507186934644</c:v>
                </c:pt>
                <c:pt idx="120">
                  <c:v>628.31290897638928</c:v>
                </c:pt>
                <c:pt idx="121">
                  <c:v>642.58403480377649</c:v>
                </c:pt>
                <c:pt idx="122">
                  <c:v>656.84861931825901</c:v>
                </c:pt>
                <c:pt idx="123">
                  <c:v>577.87919984414941</c:v>
                </c:pt>
                <c:pt idx="124">
                  <c:v>592.4032440297533</c:v>
                </c:pt>
                <c:pt idx="125">
                  <c:v>606.91987898108778</c:v>
                </c:pt>
                <c:pt idx="126">
                  <c:v>621.42930679167</c:v>
                </c:pt>
                <c:pt idx="127">
                  <c:v>635.93171935349449</c:v>
                </c:pt>
                <c:pt idx="128">
                  <c:v>650.42729909771822</c:v>
                </c:pt>
                <c:pt idx="129">
                  <c:v>664.91621966592049</c:v>
                </c:pt>
                <c:pt idx="130">
                  <c:v>679.39864651985215</c:v>
                </c:pt>
                <c:pt idx="131">
                  <c:v>693.87473749652361</c:v>
                </c:pt>
                <c:pt idx="132">
                  <c:v>708.3446433145931</c:v>
                </c:pt>
                <c:pt idx="133">
                  <c:v>624.1119505589121</c:v>
                </c:pt>
                <c:pt idx="134">
                  <c:v>639.07065813849192</c:v>
                </c:pt>
                <c:pt idx="135">
                  <c:v>654.02213550578983</c:v>
                </c:pt>
                <c:pt idx="136">
                  <c:v>668.96657113032506</c:v>
                </c:pt>
                <c:pt idx="137">
                  <c:v>683.90414437995207</c:v>
                </c:pt>
                <c:pt idx="138">
                  <c:v>698.83502615369832</c:v>
                </c:pt>
                <c:pt idx="139">
                  <c:v>713.75937945774365</c:v>
                </c:pt>
                <c:pt idx="140">
                  <c:v>728.67735993075883</c:v>
                </c:pt>
                <c:pt idx="141">
                  <c:v>743.58911632402123</c:v>
                </c:pt>
                <c:pt idx="142">
                  <c:v>758.49479094104538</c:v>
                </c:pt>
                <c:pt idx="143">
                  <c:v>773.39452004089162</c:v>
                </c:pt>
                <c:pt idx="144">
                  <c:v>788.28843420880264</c:v>
                </c:pt>
                <c:pt idx="145">
                  <c:v>679.69414667999979</c:v>
                </c:pt>
                <c:pt idx="146">
                  <c:v>694.99652870254488</c:v>
                </c:pt>
                <c:pt idx="147">
                  <c:v>710.29201169407168</c:v>
                </c:pt>
                <c:pt idx="148">
                  <c:v>725.58076503627569</c:v>
                </c:pt>
                <c:pt idx="149">
                  <c:v>740.86295039636786</c:v>
                </c:pt>
                <c:pt idx="150">
                  <c:v>756.13872223358032</c:v>
                </c:pt>
                <c:pt idx="151">
                  <c:v>771.40822826265219</c:v>
                </c:pt>
                <c:pt idx="152">
                  <c:v>786.67160987874149</c:v>
                </c:pt>
                <c:pt idx="153">
                  <c:v>801.92900254767562</c:v>
                </c:pt>
                <c:pt idx="154">
                  <c:v>817.18053616498548</c:v>
                </c:pt>
                <c:pt idx="155">
                  <c:v>832.42633538677239</c:v>
                </c:pt>
                <c:pt idx="156">
                  <c:v>847.66651993509458</c:v>
                </c:pt>
                <c:pt idx="157">
                  <c:v>729.93421625601695</c:v>
                </c:pt>
                <c:pt idx="158">
                  <c:v>745.53794628468529</c:v>
                </c:pt>
                <c:pt idx="159">
                  <c:v>761.13503622704968</c:v>
                </c:pt>
                <c:pt idx="160">
                  <c:v>776.72564120317713</c:v>
                </c:pt>
                <c:pt idx="161">
                  <c:v>792.309909603758</c:v>
                </c:pt>
                <c:pt idx="162">
                  <c:v>807.88798351136938</c:v>
                </c:pt>
                <c:pt idx="163">
                  <c:v>823.45999908758722</c:v>
                </c:pt>
                <c:pt idx="164">
                  <c:v>839.02608692932472</c:v>
                </c:pt>
                <c:pt idx="165">
                  <c:v>854.58637239737743</c:v>
                </c:pt>
                <c:pt idx="166">
                  <c:v>870.14097591982454</c:v>
                </c:pt>
                <c:pt idx="167">
                  <c:v>885.69001327262743</c:v>
                </c:pt>
                <c:pt idx="168">
                  <c:v>901.23359583952379</c:v>
                </c:pt>
                <c:pt idx="169">
                  <c:v>772.14760109782401</c:v>
                </c:pt>
                <c:pt idx="170">
                  <c:v>787.754010163918</c:v>
                </c:pt>
                <c:pt idx="171">
                  <c:v>803.35416757047312</c:v>
                </c:pt>
                <c:pt idx="172">
                  <c:v>818.94821170769308</c:v>
                </c:pt>
                <c:pt idx="173">
                  <c:v>834.53627527080562</c:v>
                </c:pt>
                <c:pt idx="174">
                  <c:v>850.11848559859118</c:v>
                </c:pt>
                <c:pt idx="175">
                  <c:v>865.6949649858251</c:v>
                </c:pt>
                <c:pt idx="176">
                  <c:v>881.26583097209289</c:v>
                </c:pt>
                <c:pt idx="177">
                  <c:v>896.83119660914872</c:v>
                </c:pt>
                <c:pt idx="178">
                  <c:v>912.39117070877421</c:v>
                </c:pt>
                <c:pt idx="179">
                  <c:v>927.94585807286694</c:v>
                </c:pt>
                <c:pt idx="180">
                  <c:v>943.49535970731733</c:v>
                </c:pt>
                <c:pt idx="181">
                  <c:v>596.65205110487057</c:v>
                </c:pt>
                <c:pt idx="182">
                  <c:v>606.44243354148568</c:v>
                </c:pt>
                <c:pt idx="183">
                  <c:v>616.22953464876537</c:v>
                </c:pt>
                <c:pt idx="184">
                  <c:v>626.01341388147284</c:v>
                </c:pt>
                <c:pt idx="185">
                  <c:v>425.18816872945314</c:v>
                </c:pt>
                <c:pt idx="186">
                  <c:v>431.52402561764438</c:v>
                </c:pt>
                <c:pt idx="187">
                  <c:v>437.85788419433567</c:v>
                </c:pt>
                <c:pt idx="188">
                  <c:v>444.18977746524746</c:v>
                </c:pt>
                <c:pt idx="189">
                  <c:v>299.42016224308082</c:v>
                </c:pt>
                <c:pt idx="190">
                  <c:v>303.50750955716296</c:v>
                </c:pt>
                <c:pt idx="191">
                  <c:v>307.59363224458792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2.4666401082077529</c:v>
                </c:pt>
                <c:pt idx="2">
                  <c:v>3.038131488248808</c:v>
                </c:pt>
                <c:pt idx="3">
                  <c:v>3.7425387547668367</c:v>
                </c:pt>
                <c:pt idx="4">
                  <c:v>4.6108866206039663</c:v>
                </c:pt>
                <c:pt idx="5">
                  <c:v>5.6814658439892973</c:v>
                </c:pt>
                <c:pt idx="6">
                  <c:v>7.0015402599437531</c:v>
                </c:pt>
                <c:pt idx="7">
                  <c:v>8.6294560019543258</c:v>
                </c:pt>
                <c:pt idx="8">
                  <c:v>10.637247922670763</c:v>
                </c:pt>
                <c:pt idx="9">
                  <c:v>13.113860719985803</c:v>
                </c:pt>
                <c:pt idx="10">
                  <c:v>16.169130111381239</c:v>
                </c:pt>
                <c:pt idx="11">
                  <c:v>19.938703844324056</c:v>
                </c:pt>
                <c:pt idx="12">
                  <c:v>24.590124955629083</c:v>
                </c:pt>
                <c:pt idx="13">
                  <c:v>30.33035244444093</c:v>
                </c:pt>
                <c:pt idx="14">
                  <c:v>37.415059812099081</c:v>
                </c:pt>
                <c:pt idx="15">
                  <c:v>46.160132732540724</c:v>
                </c:pt>
                <c:pt idx="16">
                  <c:v>53.544050503850364</c:v>
                </c:pt>
                <c:pt idx="17">
                  <c:v>64.237401598357238</c:v>
                </c:pt>
                <c:pt idx="18">
                  <c:v>74.884579280274849</c:v>
                </c:pt>
                <c:pt idx="19">
                  <c:v>85.493098566478125</c:v>
                </c:pt>
                <c:pt idx="20">
                  <c:v>96.068445641261476</c:v>
                </c:pt>
                <c:pt idx="21">
                  <c:v>80.193291162399461</c:v>
                </c:pt>
                <c:pt idx="22">
                  <c:v>91.886046932171325</c:v>
                </c:pt>
                <c:pt idx="23">
                  <c:v>103.54156485887916</c:v>
                </c:pt>
                <c:pt idx="24">
                  <c:v>115.16463575201853</c:v>
                </c:pt>
                <c:pt idx="25">
                  <c:v>126.75900094885519</c:v>
                </c:pt>
                <c:pt idx="26">
                  <c:v>109.79548104191571</c:v>
                </c:pt>
                <c:pt idx="27">
                  <c:v>122.38693696465789</c:v>
                </c:pt>
                <c:pt idx="28">
                  <c:v>134.94687886983328</c:v>
                </c:pt>
                <c:pt idx="29">
                  <c:v>147.47865649814872</c:v>
                </c:pt>
                <c:pt idx="30">
                  <c:v>159.98500254922158</c:v>
                </c:pt>
                <c:pt idx="31">
                  <c:v>172.46818680341792</c:v>
                </c:pt>
                <c:pt idx="32">
                  <c:v>145.84557228360381</c:v>
                </c:pt>
                <c:pt idx="33">
                  <c:v>158.35509811111217</c:v>
                </c:pt>
                <c:pt idx="34">
                  <c:v>170.84118819614926</c:v>
                </c:pt>
                <c:pt idx="35">
                  <c:v>183.30579795772098</c:v>
                </c:pt>
                <c:pt idx="36">
                  <c:v>195.75059480584989</c:v>
                </c:pt>
                <c:pt idx="37">
                  <c:v>208.17701657982505</c:v>
                </c:pt>
                <c:pt idx="38">
                  <c:v>181.29426173871184</c:v>
                </c:pt>
                <c:pt idx="39">
                  <c:v>193.35586169716734</c:v>
                </c:pt>
                <c:pt idx="40">
                  <c:v>205.39996584148545</c:v>
                </c:pt>
                <c:pt idx="41">
                  <c:v>217.42774527281196</c:v>
                </c:pt>
                <c:pt idx="42">
                  <c:v>229.44023082304497</c:v>
                </c:pt>
                <c:pt idx="43">
                  <c:v>241.43833647949381</c:v>
                </c:pt>
                <c:pt idx="44">
                  <c:v>253.42287790323667</c:v>
                </c:pt>
                <c:pt idx="45">
                  <c:v>218.29453042918621</c:v>
                </c:pt>
                <c:pt idx="46">
                  <c:v>229.47870880055882</c:v>
                </c:pt>
                <c:pt idx="47">
                  <c:v>240.6504241738447</c:v>
                </c:pt>
                <c:pt idx="48">
                  <c:v>251.81033702718767</c:v>
                </c:pt>
                <c:pt idx="49">
                  <c:v>262.95904447060485</c:v>
                </c:pt>
                <c:pt idx="50">
                  <c:v>274.09708881265965</c:v>
                </c:pt>
                <c:pt idx="51">
                  <c:v>285.224964660598</c:v>
                </c:pt>
                <c:pt idx="52">
                  <c:v>296.34312485361016</c:v>
                </c:pt>
                <c:pt idx="53">
                  <c:v>254.90083615003348</c:v>
                </c:pt>
                <c:pt idx="54">
                  <c:v>264.97271844500727</c:v>
                </c:pt>
                <c:pt idx="55">
                  <c:v>275.03597041080951</c:v>
                </c:pt>
                <c:pt idx="56">
                  <c:v>285.09095256078473</c:v>
                </c:pt>
                <c:pt idx="57">
                  <c:v>295.13799788320961</c:v>
                </c:pt>
                <c:pt idx="58">
                  <c:v>305.17741482861635</c:v>
                </c:pt>
                <c:pt idx="59">
                  <c:v>315.2094898832018</c:v>
                </c:pt>
                <c:pt idx="60">
                  <c:v>325.23448979729528</c:v>
                </c:pt>
                <c:pt idx="61">
                  <c:v>284.19750247594328</c:v>
                </c:pt>
                <c:pt idx="62">
                  <c:v>293.4863491195228</c:v>
                </c:pt>
                <c:pt idx="63">
                  <c:v>302.76863479871071</c:v>
                </c:pt>
                <c:pt idx="64">
                  <c:v>312.04458917169069</c:v>
                </c:pt>
                <c:pt idx="65">
                  <c:v>321.31442711818204</c:v>
                </c:pt>
                <c:pt idx="66">
                  <c:v>330.57835009864004</c:v>
                </c:pt>
                <c:pt idx="67">
                  <c:v>339.83654735304776</c:v>
                </c:pt>
                <c:pt idx="68">
                  <c:v>349.08919696217669</c:v>
                </c:pt>
                <c:pt idx="69">
                  <c:v>358.33646679039742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8" sqref="B18:M31"/>
    </sheetView>
  </sheetViews>
  <sheetFormatPr baseColWidth="10" defaultRowHeight="14.25" x14ac:dyDescent="0.45"/>
  <cols>
    <col min="1" max="1" width="6.73046875" customWidth="1"/>
    <col min="2" max="13" width="15.796875" customWidth="1"/>
  </cols>
  <sheetData>
    <row r="12" spans="2:13" ht="15" customHeight="1" x14ac:dyDescent="0.45">
      <c r="B12" s="258" t="s">
        <v>291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 x14ac:dyDescent="0.45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 x14ac:dyDescent="0.45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 x14ac:dyDescent="0.45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 x14ac:dyDescent="0.45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 x14ac:dyDescent="0.45">
      <c r="B18" s="258" t="s">
        <v>292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 x14ac:dyDescent="0.45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 x14ac:dyDescent="0.45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 x14ac:dyDescent="0.45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 x14ac:dyDescent="0.45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 x14ac:dyDescent="0.45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 x14ac:dyDescent="0.45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 x14ac:dyDescent="0.45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 x14ac:dyDescent="0.45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 x14ac:dyDescent="0.45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 x14ac:dyDescent="0.45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 x14ac:dyDescent="0.45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 x14ac:dyDescent="0.45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 x14ac:dyDescent="0.45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29" zoomScale="70" zoomScaleNormal="70" workbookViewId="0">
      <selection activeCell="C151" sqref="C151"/>
    </sheetView>
  </sheetViews>
  <sheetFormatPr baseColWidth="10" defaultColWidth="11.46484375" defaultRowHeight="14.25" x14ac:dyDescent="0.45"/>
  <cols>
    <col min="1" max="1" width="13.73046875" style="23" customWidth="1"/>
    <col min="2" max="2" width="36.19921875" style="23" customWidth="1"/>
    <col min="3" max="3" width="14.796875" style="23" bestFit="1" customWidth="1"/>
    <col min="4" max="4" width="16.46484375" style="23" customWidth="1"/>
    <col min="5" max="5" width="23.265625" style="23" customWidth="1"/>
    <col min="6" max="6" width="28.796875" style="23" bestFit="1" customWidth="1"/>
    <col min="7" max="8" width="14.73046875" style="23" customWidth="1"/>
    <col min="9" max="9" width="17" style="23" customWidth="1"/>
    <col min="10" max="10" width="13.796875" style="23" customWidth="1"/>
    <col min="11" max="16384" width="11.46484375" style="23"/>
  </cols>
  <sheetData>
    <row r="1" spans="1:38" x14ac:dyDescent="0.45">
      <c r="A1" s="4"/>
      <c r="B1" s="4"/>
      <c r="C1" s="263" t="s">
        <v>190</v>
      </c>
      <c r="D1" s="263"/>
      <c r="E1" s="26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4.65" thickBot="1" x14ac:dyDescent="0.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5.9" thickBot="1" x14ac:dyDescent="0.5">
      <c r="A3" s="4"/>
      <c r="B3" s="264" t="s">
        <v>192</v>
      </c>
      <c r="C3" s="265"/>
      <c r="D3" s="265"/>
      <c r="E3" s="265"/>
      <c r="F3" s="266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5" x14ac:dyDescent="0.4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5" x14ac:dyDescent="0.45">
      <c r="A5" s="269" t="s">
        <v>231</v>
      </c>
      <c r="B5" s="269"/>
      <c r="C5" s="24">
        <v>6.35</v>
      </c>
      <c r="D5" s="270" t="s">
        <v>229</v>
      </c>
      <c r="E5" s="271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4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5" x14ac:dyDescent="0.45">
      <c r="A7" s="268" t="s">
        <v>226</v>
      </c>
      <c r="B7" s="268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4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45">
      <c r="A9" s="30" t="s">
        <v>165</v>
      </c>
      <c r="B9" s="31" t="s">
        <v>18</v>
      </c>
      <c r="C9" s="32">
        <v>0.15</v>
      </c>
      <c r="D9" s="33">
        <f t="shared" ref="D9:D18" si="0">C9*$C$5</f>
        <v>0.9524999999999999</v>
      </c>
      <c r="E9" s="34">
        <v>54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45">
      <c r="A10" s="30" t="s">
        <v>166</v>
      </c>
      <c r="B10" s="31" t="s">
        <v>36</v>
      </c>
      <c r="C10" s="32">
        <v>0.11</v>
      </c>
      <c r="D10" s="33">
        <f t="shared" si="0"/>
        <v>0.69850000000000001</v>
      </c>
      <c r="E10" s="34">
        <v>60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45">
      <c r="A11" s="30" t="s">
        <v>167</v>
      </c>
      <c r="B11" s="31" t="s">
        <v>14</v>
      </c>
      <c r="C11" s="32">
        <v>0.6</v>
      </c>
      <c r="D11" s="33">
        <f t="shared" si="0"/>
        <v>3.8099999999999996</v>
      </c>
      <c r="E11" s="34">
        <v>159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45">
      <c r="A12" s="30" t="s">
        <v>168</v>
      </c>
      <c r="B12" s="31" t="s">
        <v>1</v>
      </c>
      <c r="C12" s="32">
        <v>7.0000000000000007E-2</v>
      </c>
      <c r="D12" s="33">
        <f t="shared" si="0"/>
        <v>0.44450000000000001</v>
      </c>
      <c r="E12" s="34">
        <v>191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45">
      <c r="A13" s="30" t="s">
        <v>169</v>
      </c>
      <c r="B13" s="31" t="s">
        <v>29</v>
      </c>
      <c r="C13" s="32">
        <v>7.0000000000000007E-2</v>
      </c>
      <c r="D13" s="33">
        <f t="shared" si="0"/>
        <v>0.44450000000000001</v>
      </c>
      <c r="E13" s="34">
        <v>69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4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4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4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4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4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45">
      <c r="A19" s="78"/>
      <c r="B19" s="36" t="s">
        <v>175</v>
      </c>
      <c r="C19" s="37">
        <f>SUM(C9:C18)</f>
        <v>1</v>
      </c>
      <c r="D19" s="38">
        <f>SUM(D9:D18)</f>
        <v>6.3499999999999988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4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4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65">
      <c r="A22" s="267" t="s">
        <v>232</v>
      </c>
      <c r="B22" s="26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4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4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4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4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4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4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4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45">
      <c r="A30" s="268" t="s">
        <v>227</v>
      </c>
      <c r="B30" s="268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4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45">
      <c r="A32" s="46" t="s">
        <v>165</v>
      </c>
      <c r="B32" s="47" t="str">
        <f>IF(B9="","",B9)</f>
        <v>Douglas</v>
      </c>
      <c r="C32" s="23" t="s">
        <v>324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4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4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28.5" x14ac:dyDescent="0.4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45">
      <c r="A36" s="50">
        <v>18</v>
      </c>
      <c r="B36" s="60">
        <v>202.42</v>
      </c>
      <c r="C36" s="60">
        <v>1</v>
      </c>
      <c r="D36" s="60">
        <v>74.829999999999984</v>
      </c>
      <c r="E36" s="51">
        <v>0.25</v>
      </c>
      <c r="F36" s="51">
        <v>0.37</v>
      </c>
      <c r="G36" s="51">
        <v>0.38</v>
      </c>
      <c r="H36" s="51">
        <v>0</v>
      </c>
      <c r="I36" s="49">
        <f>IFERROR(B36/A36,"")</f>
        <v>11.245555555555555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45">
      <c r="A37" s="50">
        <v>24</v>
      </c>
      <c r="B37" s="60">
        <v>289.16000000000003</v>
      </c>
      <c r="C37" s="60">
        <v>2</v>
      </c>
      <c r="D37" s="60">
        <v>51.400000000000034</v>
      </c>
      <c r="E37" s="51">
        <v>0.25</v>
      </c>
      <c r="F37" s="51">
        <v>0.37</v>
      </c>
      <c r="G37" s="51">
        <v>0.38</v>
      </c>
      <c r="H37" s="51">
        <v>0</v>
      </c>
      <c r="I37" s="53">
        <f t="shared" ref="I37:I55" si="1">IF(A37&lt;&gt;0,(B37-(B36-D36))/(A37-A36),"")</f>
        <v>26.928333333333338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45">
      <c r="A38" s="50">
        <v>30</v>
      </c>
      <c r="B38" s="60">
        <v>410.69</v>
      </c>
      <c r="C38" s="60">
        <v>3</v>
      </c>
      <c r="D38" s="60">
        <v>80.990000000000009</v>
      </c>
      <c r="E38" s="51">
        <v>0.6</v>
      </c>
      <c r="F38" s="51">
        <v>0.2</v>
      </c>
      <c r="G38" s="51">
        <v>0.2</v>
      </c>
      <c r="H38" s="51">
        <v>0</v>
      </c>
      <c r="I38" s="53">
        <f t="shared" si="1"/>
        <v>28.821666666666669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45">
      <c r="A39" s="50">
        <v>36</v>
      </c>
      <c r="B39" s="60">
        <v>501.69</v>
      </c>
      <c r="C39" s="60">
        <v>4</v>
      </c>
      <c r="D39" s="60">
        <v>85.910000000000025</v>
      </c>
      <c r="E39" s="51">
        <v>0.6</v>
      </c>
      <c r="F39" s="51">
        <v>0.2</v>
      </c>
      <c r="G39" s="51">
        <v>0.2</v>
      </c>
      <c r="H39" s="51">
        <v>0</v>
      </c>
      <c r="I39" s="49">
        <f t="shared" si="1"/>
        <v>28.665000000000003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45">
      <c r="A40" s="50">
        <v>42</v>
      </c>
      <c r="B40" s="60">
        <v>584.37</v>
      </c>
      <c r="C40" s="60">
        <v>5</v>
      </c>
      <c r="D40" s="60">
        <v>91.32</v>
      </c>
      <c r="E40" s="51">
        <v>0.6</v>
      </c>
      <c r="F40" s="51">
        <v>0.2</v>
      </c>
      <c r="G40" s="51">
        <v>0.2</v>
      </c>
      <c r="H40" s="51">
        <v>0</v>
      </c>
      <c r="I40" s="49">
        <f t="shared" si="1"/>
        <v>28.09833333333334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45">
      <c r="A41" s="50">
        <v>48</v>
      </c>
      <c r="B41" s="60">
        <v>655.72</v>
      </c>
      <c r="C41" s="60">
        <v>6</v>
      </c>
      <c r="D41" s="60">
        <v>101.43000000000006</v>
      </c>
      <c r="E41" s="51">
        <v>0.6</v>
      </c>
      <c r="F41" s="51">
        <v>0.2</v>
      </c>
      <c r="G41" s="51">
        <v>0.2</v>
      </c>
      <c r="H41" s="51">
        <v>0</v>
      </c>
      <c r="I41" s="53">
        <f t="shared" si="1"/>
        <v>27.111666666666668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45">
      <c r="A42" s="50">
        <v>54</v>
      </c>
      <c r="B42" s="60">
        <v>708.61</v>
      </c>
      <c r="C42" s="60">
        <v>7</v>
      </c>
      <c r="D42" s="60">
        <v>708.61</v>
      </c>
      <c r="E42" s="51">
        <v>0.6</v>
      </c>
      <c r="F42" s="51">
        <v>0.2</v>
      </c>
      <c r="G42" s="51">
        <v>0.2</v>
      </c>
      <c r="H42" s="51">
        <v>0</v>
      </c>
      <c r="I42" s="53">
        <f t="shared" si="1"/>
        <v>25.72000000000001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4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4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4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4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4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4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4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4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4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4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4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4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4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4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4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45">
      <c r="A58" s="46" t="s">
        <v>166</v>
      </c>
      <c r="B58" s="52" t="str">
        <f>IF(B10="","",B10)</f>
        <v>Pin maritime</v>
      </c>
      <c r="C58" s="23" t="s">
        <v>325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4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4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28.5" x14ac:dyDescent="0.4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45">
      <c r="A62" s="50">
        <v>17</v>
      </c>
      <c r="B62" s="60">
        <v>123.63</v>
      </c>
      <c r="C62" s="60">
        <v>1</v>
      </c>
      <c r="D62" s="60">
        <v>41.179999999999993</v>
      </c>
      <c r="E62" s="51">
        <v>0</v>
      </c>
      <c r="F62" s="51">
        <v>0.5</v>
      </c>
      <c r="G62" s="51">
        <v>0.5</v>
      </c>
      <c r="H62" s="51">
        <v>0</v>
      </c>
      <c r="I62" s="53">
        <f>IFERROR(B62/A62,"")</f>
        <v>7.2723529411764707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45">
      <c r="A63" s="50">
        <v>23</v>
      </c>
      <c r="B63" s="60">
        <v>189.21</v>
      </c>
      <c r="C63" s="60">
        <v>2</v>
      </c>
      <c r="D63" s="60">
        <v>58.370000000000005</v>
      </c>
      <c r="E63" s="51">
        <v>0.25</v>
      </c>
      <c r="F63" s="51">
        <v>0.37</v>
      </c>
      <c r="G63" s="51">
        <v>0.38</v>
      </c>
      <c r="H63" s="51">
        <v>0</v>
      </c>
      <c r="I63" s="49">
        <f>IF(A63&lt;&gt;0,(B63-(B62-D62))/(A63-A62),"")</f>
        <v>17.793333333333333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45">
      <c r="A64" s="50">
        <v>29</v>
      </c>
      <c r="B64" s="60">
        <v>242.91</v>
      </c>
      <c r="C64" s="60">
        <v>3</v>
      </c>
      <c r="D64" s="60">
        <v>54.97</v>
      </c>
      <c r="E64" s="51">
        <v>0.6</v>
      </c>
      <c r="F64" s="51">
        <v>0.2</v>
      </c>
      <c r="G64" s="51">
        <v>0.2</v>
      </c>
      <c r="H64" s="51">
        <v>0</v>
      </c>
      <c r="I64" s="49">
        <f>IF(A64&lt;&gt;0,(B64-(B63-D63))/(A64-A63),"")</f>
        <v>18.678333333333331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45">
      <c r="A65" s="50">
        <v>36</v>
      </c>
      <c r="B65" s="60">
        <v>312.57</v>
      </c>
      <c r="C65" s="60">
        <v>4</v>
      </c>
      <c r="D65" s="60">
        <v>76.509999999999991</v>
      </c>
      <c r="E65" s="51">
        <v>0.6</v>
      </c>
      <c r="F65" s="51">
        <v>0.2</v>
      </c>
      <c r="G65" s="51">
        <v>0.2</v>
      </c>
      <c r="H65" s="51">
        <v>0</v>
      </c>
      <c r="I65" s="49">
        <f>IF(A65&lt;&gt;0,(B65-(B64-D64))/(A65-A64),"")</f>
        <v>17.804285714285715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45">
      <c r="A66" s="50">
        <v>44</v>
      </c>
      <c r="B66" s="60">
        <v>368.73</v>
      </c>
      <c r="C66" s="60">
        <v>5</v>
      </c>
      <c r="D66" s="60">
        <v>78.240000000000009</v>
      </c>
      <c r="E66" s="51">
        <v>0.6</v>
      </c>
      <c r="F66" s="51">
        <v>0.2</v>
      </c>
      <c r="G66" s="51">
        <v>0.2</v>
      </c>
      <c r="H66" s="51">
        <v>0</v>
      </c>
      <c r="I66" s="49">
        <f t="shared" ref="I66:I81" si="2">IF(A66&lt;&gt;0,(B66-(B65-D65))/(A66-A65),"")</f>
        <v>16.583750000000002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45">
      <c r="A67" s="50">
        <v>52</v>
      </c>
      <c r="B67" s="60">
        <v>408.01</v>
      </c>
      <c r="C67" s="60">
        <v>6</v>
      </c>
      <c r="D67" s="60">
        <v>75.70999999999998</v>
      </c>
      <c r="E67" s="51">
        <v>0.6</v>
      </c>
      <c r="F67" s="51">
        <v>0.2</v>
      </c>
      <c r="G67" s="51">
        <v>0.2</v>
      </c>
      <c r="H67" s="51">
        <v>0</v>
      </c>
      <c r="I67" s="49">
        <f t="shared" si="2"/>
        <v>14.689999999999998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45">
      <c r="A68" s="50">
        <v>60</v>
      </c>
      <c r="B68" s="60">
        <v>437.74</v>
      </c>
      <c r="C68" s="60">
        <v>7</v>
      </c>
      <c r="D68" s="60">
        <v>437.74</v>
      </c>
      <c r="E68" s="51">
        <v>0.6</v>
      </c>
      <c r="F68" s="51">
        <v>0.2</v>
      </c>
      <c r="G68" s="51">
        <v>0.2</v>
      </c>
      <c r="H68" s="51">
        <v>0</v>
      </c>
      <c r="I68" s="49">
        <f t="shared" si="2"/>
        <v>13.18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4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4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4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4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4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4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4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4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4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4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4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4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4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4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45">
      <c r="A83" s="4"/>
      <c r="B83" s="4"/>
      <c r="C83" s="23" t="s">
        <v>326</v>
      </c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45">
      <c r="A84" s="46" t="s">
        <v>167</v>
      </c>
      <c r="B84" s="52" t="str">
        <f>IF(B11="","",B11)</f>
        <v>Chêne sessile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4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4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28.5" x14ac:dyDescent="0.4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45">
      <c r="A88" s="50">
        <v>34</v>
      </c>
      <c r="B88" s="60">
        <v>173.04</v>
      </c>
      <c r="C88" s="60">
        <v>1</v>
      </c>
      <c r="D88" s="60">
        <v>36.679999999999978</v>
      </c>
      <c r="E88" s="51">
        <v>0</v>
      </c>
      <c r="F88" s="51">
        <v>0.8</v>
      </c>
      <c r="G88" s="51">
        <v>0.2</v>
      </c>
      <c r="H88" s="87">
        <v>0</v>
      </c>
      <c r="I88" s="53">
        <f>IFERROR(B88/A88,"")</f>
        <v>5.0894117647058819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45">
      <c r="A89" s="50">
        <v>42</v>
      </c>
      <c r="B89" s="60">
        <v>248.01</v>
      </c>
      <c r="C89" s="60">
        <v>2</v>
      </c>
      <c r="D89" s="60">
        <v>58.099999999999994</v>
      </c>
      <c r="E89" s="51">
        <v>0</v>
      </c>
      <c r="F89" s="51">
        <v>0.8</v>
      </c>
      <c r="G89" s="51">
        <v>0.2</v>
      </c>
      <c r="H89" s="87">
        <v>0</v>
      </c>
      <c r="I89" s="53">
        <f t="shared" ref="I89:I107" si="3">IF(A89&lt;&gt;0,(B89-(B88-D88))/(A89-A88),"")</f>
        <v>13.956249999999997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45">
      <c r="A90" s="50">
        <v>50</v>
      </c>
      <c r="B90" s="60">
        <v>304.72000000000003</v>
      </c>
      <c r="C90" s="60">
        <v>3</v>
      </c>
      <c r="D90" s="60">
        <v>70.730000000000018</v>
      </c>
      <c r="E90" s="87">
        <v>0</v>
      </c>
      <c r="F90" s="87">
        <v>0.8</v>
      </c>
      <c r="G90" s="87">
        <v>0.2</v>
      </c>
      <c r="H90" s="87">
        <v>0</v>
      </c>
      <c r="I90" s="53">
        <f t="shared" si="3"/>
        <v>14.351250000000004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45">
      <c r="A91" s="50">
        <v>58</v>
      </c>
      <c r="B91" s="60">
        <v>346.58</v>
      </c>
      <c r="C91" s="60">
        <v>4</v>
      </c>
      <c r="D91" s="60">
        <v>65.819999999999993</v>
      </c>
      <c r="E91" s="87">
        <v>0.35</v>
      </c>
      <c r="F91" s="87">
        <v>0.2</v>
      </c>
      <c r="G91" s="87">
        <v>0.1</v>
      </c>
      <c r="H91" s="87">
        <v>0.35</v>
      </c>
      <c r="I91" s="53">
        <f t="shared" si="3"/>
        <v>14.073749999999997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45">
      <c r="A92" s="50">
        <v>66</v>
      </c>
      <c r="B92" s="60">
        <v>388.92</v>
      </c>
      <c r="C92" s="60">
        <v>5</v>
      </c>
      <c r="D92" s="60">
        <v>76.480000000000018</v>
      </c>
      <c r="E92" s="87">
        <v>0.35</v>
      </c>
      <c r="F92" s="87">
        <v>0.2</v>
      </c>
      <c r="G92" s="87">
        <v>0.1</v>
      </c>
      <c r="H92" s="87">
        <v>0.35</v>
      </c>
      <c r="I92" s="53">
        <f t="shared" si="3"/>
        <v>13.520000000000003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45">
      <c r="A93" s="50">
        <v>74</v>
      </c>
      <c r="B93" s="60">
        <v>414.8</v>
      </c>
      <c r="C93" s="60">
        <v>6</v>
      </c>
      <c r="D93" s="60">
        <v>75.29000000000002</v>
      </c>
      <c r="E93" s="87">
        <v>0.35</v>
      </c>
      <c r="F93" s="87">
        <v>0.2</v>
      </c>
      <c r="G93" s="87">
        <v>0.1</v>
      </c>
      <c r="H93" s="87">
        <v>0.35</v>
      </c>
      <c r="I93" s="53">
        <f t="shared" si="3"/>
        <v>12.795000000000002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45">
      <c r="A94" s="50">
        <v>82</v>
      </c>
      <c r="B94" s="60">
        <v>436.17</v>
      </c>
      <c r="C94" s="60">
        <v>7</v>
      </c>
      <c r="D94" s="60">
        <v>58.140000000000043</v>
      </c>
      <c r="E94" s="87">
        <v>0.35</v>
      </c>
      <c r="F94" s="87">
        <v>0.2</v>
      </c>
      <c r="G94" s="87">
        <v>0.1</v>
      </c>
      <c r="H94" s="87">
        <v>0.35</v>
      </c>
      <c r="I94" s="53">
        <f t="shared" si="3"/>
        <v>12.082500000000003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45">
      <c r="A95" s="60">
        <v>90</v>
      </c>
      <c r="B95" s="60">
        <v>471.37</v>
      </c>
      <c r="C95" s="60">
        <v>8</v>
      </c>
      <c r="D95" s="60">
        <v>68.54000000000002</v>
      </c>
      <c r="E95" s="87">
        <v>0.35</v>
      </c>
      <c r="F95" s="87">
        <v>0.2</v>
      </c>
      <c r="G95" s="87">
        <v>0.1</v>
      </c>
      <c r="H95" s="87">
        <v>0.35</v>
      </c>
      <c r="I95" s="53">
        <f t="shared" si="3"/>
        <v>11.667500000000004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45">
      <c r="A96" s="60">
        <v>100</v>
      </c>
      <c r="B96" s="60">
        <v>515.66999999999996</v>
      </c>
      <c r="C96" s="60">
        <v>9</v>
      </c>
      <c r="D96" s="60">
        <v>93.039999999999964</v>
      </c>
      <c r="E96" s="87">
        <v>0.5</v>
      </c>
      <c r="F96" s="87">
        <v>0.2</v>
      </c>
      <c r="G96" s="87">
        <v>0</v>
      </c>
      <c r="H96" s="87">
        <v>0.3</v>
      </c>
      <c r="I96" s="53">
        <f t="shared" si="3"/>
        <v>11.283999999999997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45">
      <c r="A97" s="60">
        <v>110</v>
      </c>
      <c r="B97" s="60">
        <v>531.04</v>
      </c>
      <c r="C97" s="60">
        <v>10</v>
      </c>
      <c r="D97" s="60">
        <v>73.299999999999955</v>
      </c>
      <c r="E97" s="87">
        <v>0.5</v>
      </c>
      <c r="F97" s="87">
        <v>0.2</v>
      </c>
      <c r="G97" s="87">
        <v>0</v>
      </c>
      <c r="H97" s="87">
        <v>0.3</v>
      </c>
      <c r="I97" s="53">
        <f t="shared" si="3"/>
        <v>10.840999999999998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45">
      <c r="A98" s="60">
        <v>120</v>
      </c>
      <c r="B98" s="60">
        <v>565</v>
      </c>
      <c r="C98" s="60">
        <v>11</v>
      </c>
      <c r="D98" s="60">
        <v>66.050000000000011</v>
      </c>
      <c r="E98" s="87">
        <v>0.5</v>
      </c>
      <c r="F98" s="87">
        <v>0.2</v>
      </c>
      <c r="G98" s="87">
        <v>0</v>
      </c>
      <c r="H98" s="87">
        <v>0.3</v>
      </c>
      <c r="I98" s="53">
        <f t="shared" si="3"/>
        <v>10.725999999999999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45">
      <c r="A99" s="60">
        <v>130</v>
      </c>
      <c r="B99" s="60">
        <v>606.41</v>
      </c>
      <c r="C99" s="60">
        <v>12</v>
      </c>
      <c r="D99" s="60">
        <v>75.799999999999955</v>
      </c>
      <c r="E99" s="87">
        <v>0.5</v>
      </c>
      <c r="F99" s="87">
        <v>0.2</v>
      </c>
      <c r="G99" s="87">
        <v>0</v>
      </c>
      <c r="H99" s="87">
        <v>0.3</v>
      </c>
      <c r="I99" s="53">
        <f t="shared" si="3"/>
        <v>10.745999999999999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45">
      <c r="A100" s="60">
        <v>140</v>
      </c>
      <c r="B100" s="60">
        <v>639.04999999999995</v>
      </c>
      <c r="C100" s="60">
        <v>13</v>
      </c>
      <c r="D100" s="60">
        <v>74.669999999999959</v>
      </c>
      <c r="E100" s="65">
        <v>0.5</v>
      </c>
      <c r="F100" s="65">
        <v>0.2</v>
      </c>
      <c r="G100" s="65">
        <v>0</v>
      </c>
      <c r="H100" s="65">
        <v>0.3</v>
      </c>
      <c r="I100" s="53">
        <f t="shared" si="3"/>
        <v>10.843999999999994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45">
      <c r="A101" s="60">
        <v>150</v>
      </c>
      <c r="B101" s="60">
        <v>673.13</v>
      </c>
      <c r="C101" s="60">
        <v>14</v>
      </c>
      <c r="D101" s="60">
        <v>259.52</v>
      </c>
      <c r="E101" s="65">
        <v>0.45</v>
      </c>
      <c r="F101" s="65">
        <v>0.05</v>
      </c>
      <c r="G101" s="65">
        <v>0.05</v>
      </c>
      <c r="H101" s="65">
        <v>0.45</v>
      </c>
      <c r="I101" s="53">
        <f t="shared" si="3"/>
        <v>10.875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45">
      <c r="A102" s="60">
        <v>153</v>
      </c>
      <c r="B102" s="50">
        <v>434.97</v>
      </c>
      <c r="C102" s="60">
        <v>15</v>
      </c>
      <c r="D102" s="50">
        <v>156.29000000000002</v>
      </c>
      <c r="E102" s="54">
        <v>0.45</v>
      </c>
      <c r="F102" s="54">
        <v>0.05</v>
      </c>
      <c r="G102" s="54">
        <v>0.05</v>
      </c>
      <c r="H102" s="54">
        <v>0.45</v>
      </c>
      <c r="I102" s="53">
        <f t="shared" si="3"/>
        <v>7.1200000000000045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45">
      <c r="A103" s="60">
        <v>156</v>
      </c>
      <c r="B103" s="50">
        <v>290.93</v>
      </c>
      <c r="C103" s="60">
        <v>16</v>
      </c>
      <c r="D103" s="50">
        <v>96.65</v>
      </c>
      <c r="E103" s="54">
        <v>0.45</v>
      </c>
      <c r="F103" s="54">
        <v>0.05</v>
      </c>
      <c r="G103" s="54">
        <v>0.05</v>
      </c>
      <c r="H103" s="54">
        <v>0.45</v>
      </c>
      <c r="I103" s="53">
        <f t="shared" si="3"/>
        <v>4.083333333333333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45">
      <c r="A104" s="60">
        <v>159</v>
      </c>
      <c r="B104" s="50">
        <v>201.48</v>
      </c>
      <c r="C104" s="60">
        <v>17</v>
      </c>
      <c r="D104" s="50">
        <v>201.48</v>
      </c>
      <c r="E104" s="54">
        <v>0.45</v>
      </c>
      <c r="F104" s="54">
        <v>0.05</v>
      </c>
      <c r="G104" s="54">
        <v>0.05</v>
      </c>
      <c r="H104" s="54">
        <v>0.45</v>
      </c>
      <c r="I104" s="53">
        <f t="shared" si="3"/>
        <v>2.3999999999999964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4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4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4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4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4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45">
      <c r="A110" s="46" t="s">
        <v>168</v>
      </c>
      <c r="B110" s="52" t="str">
        <f>IF(B12="","",B12)</f>
        <v>Alisier torminal</v>
      </c>
      <c r="C110" s="23" t="s">
        <v>327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4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4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28.5" x14ac:dyDescent="0.4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45">
      <c r="A114" s="50">
        <v>60</v>
      </c>
      <c r="B114" s="60">
        <v>201.62</v>
      </c>
      <c r="C114" s="50">
        <v>1</v>
      </c>
      <c r="D114" s="60">
        <v>72.87</v>
      </c>
      <c r="E114" s="51">
        <v>0</v>
      </c>
      <c r="F114" s="51">
        <v>0.8</v>
      </c>
      <c r="G114" s="51">
        <v>0.2</v>
      </c>
      <c r="H114" s="51">
        <v>0</v>
      </c>
      <c r="I114" s="53">
        <f>IFERROR(B114/A114,"")</f>
        <v>3.3603333333333336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45">
      <c r="A115" s="50">
        <v>69</v>
      </c>
      <c r="B115" s="60">
        <v>190.79</v>
      </c>
      <c r="C115" s="50">
        <v>2</v>
      </c>
      <c r="D115" s="60">
        <v>42.22</v>
      </c>
      <c r="E115" s="51">
        <v>0</v>
      </c>
      <c r="F115" s="51">
        <v>0.8</v>
      </c>
      <c r="G115" s="51">
        <v>0.2</v>
      </c>
      <c r="H115" s="51">
        <v>0</v>
      </c>
      <c r="I115" s="53">
        <f t="shared" ref="I115:I133" si="4">IF(A115&lt;&gt;0,(B115-(B114-D114))/(A115-A114),"")</f>
        <v>6.8933333333333326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45">
      <c r="A116" s="50">
        <v>77</v>
      </c>
      <c r="B116" s="60">
        <v>202.52</v>
      </c>
      <c r="C116" s="50">
        <v>3</v>
      </c>
      <c r="D116" s="60">
        <v>33.950000000000017</v>
      </c>
      <c r="E116" s="51">
        <v>0</v>
      </c>
      <c r="F116" s="51">
        <v>0.8</v>
      </c>
      <c r="G116" s="51">
        <v>0.2</v>
      </c>
      <c r="H116" s="51">
        <v>0</v>
      </c>
      <c r="I116" s="53">
        <f t="shared" si="4"/>
        <v>6.7437500000000021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45">
      <c r="A117" s="50">
        <v>86</v>
      </c>
      <c r="B117" s="60">
        <v>229.27</v>
      </c>
      <c r="C117" s="50">
        <v>4</v>
      </c>
      <c r="D117" s="60">
        <v>37.54000000000002</v>
      </c>
      <c r="E117" s="51">
        <v>0.35</v>
      </c>
      <c r="F117" s="51">
        <v>0.2</v>
      </c>
      <c r="G117" s="51">
        <v>0.1</v>
      </c>
      <c r="H117" s="51">
        <v>0.35</v>
      </c>
      <c r="I117" s="53">
        <f t="shared" si="4"/>
        <v>6.7444444444444462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45">
      <c r="A118" s="50">
        <v>95</v>
      </c>
      <c r="B118" s="60">
        <v>252.57</v>
      </c>
      <c r="C118" s="50">
        <v>5</v>
      </c>
      <c r="D118" s="60">
        <v>42.199999999999989</v>
      </c>
      <c r="E118" s="51">
        <v>0.35</v>
      </c>
      <c r="F118" s="51">
        <v>0.2</v>
      </c>
      <c r="G118" s="51">
        <v>0.1</v>
      </c>
      <c r="H118" s="51">
        <v>0.35</v>
      </c>
      <c r="I118" s="53">
        <f t="shared" si="4"/>
        <v>6.7600000000000007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45">
      <c r="A119" s="50">
        <v>104</v>
      </c>
      <c r="B119" s="60">
        <v>271.37</v>
      </c>
      <c r="C119" s="50">
        <v>6</v>
      </c>
      <c r="D119" s="60">
        <v>39.400000000000006</v>
      </c>
      <c r="E119" s="51">
        <v>0.35</v>
      </c>
      <c r="F119" s="51">
        <v>0.2</v>
      </c>
      <c r="G119" s="51">
        <v>0.1</v>
      </c>
      <c r="H119" s="51">
        <v>0.35</v>
      </c>
      <c r="I119" s="53">
        <f t="shared" si="4"/>
        <v>6.7777777777777777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45">
      <c r="A120" s="60">
        <v>113</v>
      </c>
      <c r="B120" s="60">
        <v>293.89999999999998</v>
      </c>
      <c r="C120" s="60">
        <v>7</v>
      </c>
      <c r="D120" s="60">
        <v>41.639999999999986</v>
      </c>
      <c r="E120" s="87">
        <v>0.35</v>
      </c>
      <c r="F120" s="87">
        <v>0.2</v>
      </c>
      <c r="G120" s="87">
        <v>0.1</v>
      </c>
      <c r="H120" s="87">
        <v>0.35</v>
      </c>
      <c r="I120" s="53">
        <f t="shared" si="4"/>
        <v>6.8811111111111085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45">
      <c r="A121" s="60">
        <v>122</v>
      </c>
      <c r="B121" s="60">
        <v>315.27</v>
      </c>
      <c r="C121" s="60">
        <v>8</v>
      </c>
      <c r="D121" s="60">
        <v>45.829999999999984</v>
      </c>
      <c r="E121" s="87">
        <v>0.35</v>
      </c>
      <c r="F121" s="87">
        <v>0.2</v>
      </c>
      <c r="G121" s="87">
        <v>0.1</v>
      </c>
      <c r="H121" s="87">
        <v>0.35</v>
      </c>
      <c r="I121" s="53">
        <f t="shared" si="4"/>
        <v>7.0011111111111104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45">
      <c r="A122" s="60">
        <v>132</v>
      </c>
      <c r="B122" s="60">
        <v>340.57</v>
      </c>
      <c r="C122" s="60">
        <v>9</v>
      </c>
      <c r="D122" s="60">
        <v>48.699999999999989</v>
      </c>
      <c r="E122" s="87">
        <v>0.35</v>
      </c>
      <c r="F122" s="87">
        <v>0.2</v>
      </c>
      <c r="G122" s="87">
        <v>0.1</v>
      </c>
      <c r="H122" s="87">
        <v>0.35</v>
      </c>
      <c r="I122" s="53">
        <f t="shared" si="4"/>
        <v>7.1129999999999995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45">
      <c r="A123" s="60">
        <v>144</v>
      </c>
      <c r="B123" s="60">
        <v>379.92</v>
      </c>
      <c r="C123" s="60">
        <v>10</v>
      </c>
      <c r="D123" s="60">
        <v>60.949999999999989</v>
      </c>
      <c r="E123" s="87">
        <v>0.35</v>
      </c>
      <c r="F123" s="87">
        <v>0.2</v>
      </c>
      <c r="G123" s="87">
        <v>0.1</v>
      </c>
      <c r="H123" s="87">
        <v>0.35</v>
      </c>
      <c r="I123" s="53">
        <f t="shared" si="4"/>
        <v>7.3375000000000012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45">
      <c r="A124" s="60">
        <v>156</v>
      </c>
      <c r="B124" s="60">
        <v>409.2</v>
      </c>
      <c r="C124" s="60">
        <v>11</v>
      </c>
      <c r="D124" s="60">
        <v>65.69</v>
      </c>
      <c r="E124" s="87">
        <v>0.5</v>
      </c>
      <c r="F124" s="87">
        <v>0.2</v>
      </c>
      <c r="G124" s="87">
        <v>0</v>
      </c>
      <c r="H124" s="87">
        <v>0.3</v>
      </c>
      <c r="I124" s="53">
        <f t="shared" si="4"/>
        <v>7.5191666666666634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45">
      <c r="A125" s="60">
        <v>168</v>
      </c>
      <c r="B125" s="60">
        <v>435.65</v>
      </c>
      <c r="C125" s="60">
        <v>12</v>
      </c>
      <c r="D125" s="60">
        <v>71.37</v>
      </c>
      <c r="E125" s="87">
        <v>0.5</v>
      </c>
      <c r="F125" s="87">
        <v>0.2</v>
      </c>
      <c r="G125" s="87">
        <v>0</v>
      </c>
      <c r="H125" s="87">
        <v>0.3</v>
      </c>
      <c r="I125" s="53">
        <f t="shared" si="4"/>
        <v>7.6783333333333319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45">
      <c r="A126" s="60">
        <v>180</v>
      </c>
      <c r="B126" s="60">
        <v>456.54</v>
      </c>
      <c r="C126" s="60">
        <v>13</v>
      </c>
      <c r="D126" s="60">
        <v>175.59000000000003</v>
      </c>
      <c r="E126" s="65">
        <v>0.5</v>
      </c>
      <c r="F126" s="65">
        <v>0.2</v>
      </c>
      <c r="G126" s="65">
        <v>0</v>
      </c>
      <c r="H126" s="65">
        <v>0.3</v>
      </c>
      <c r="I126" s="53">
        <f t="shared" si="4"/>
        <v>7.688333333333337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45">
      <c r="A127" s="60">
        <v>184</v>
      </c>
      <c r="B127" s="60">
        <v>300.14</v>
      </c>
      <c r="C127" s="60">
        <v>14</v>
      </c>
      <c r="D127" s="60">
        <v>101.19999999999999</v>
      </c>
      <c r="E127" s="65">
        <v>0.5</v>
      </c>
      <c r="F127" s="65">
        <v>0.2</v>
      </c>
      <c r="G127" s="65">
        <v>0</v>
      </c>
      <c r="H127" s="65">
        <v>0.3</v>
      </c>
      <c r="I127" s="53">
        <f t="shared" si="4"/>
        <v>4.7974999999999994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45">
      <c r="A128" s="50">
        <v>188</v>
      </c>
      <c r="B128" s="50">
        <v>211.27</v>
      </c>
      <c r="C128" s="50">
        <v>15</v>
      </c>
      <c r="D128" s="50">
        <v>72.180000000000007</v>
      </c>
      <c r="E128" s="54">
        <v>0.5</v>
      </c>
      <c r="F128" s="54">
        <v>0.2</v>
      </c>
      <c r="G128" s="54">
        <v>0</v>
      </c>
      <c r="H128" s="54">
        <v>0.3</v>
      </c>
      <c r="I128" s="53">
        <f t="shared" si="4"/>
        <v>3.0825000000000031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45">
      <c r="A129" s="50">
        <v>191</v>
      </c>
      <c r="B129" s="50">
        <v>145.01</v>
      </c>
      <c r="C129" s="50">
        <v>16</v>
      </c>
      <c r="D129" s="50">
        <v>145.01</v>
      </c>
      <c r="E129" s="54">
        <v>0.45</v>
      </c>
      <c r="F129" s="54">
        <v>0.05</v>
      </c>
      <c r="G129" s="54">
        <v>0.05</v>
      </c>
      <c r="H129" s="54">
        <v>0.45</v>
      </c>
      <c r="I129" s="53">
        <f t="shared" si="4"/>
        <v>1.9733333333333292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4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4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4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4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4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45">
      <c r="A135" s="4"/>
      <c r="B135" s="4"/>
      <c r="C135" s="23" t="s">
        <v>328</v>
      </c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45">
      <c r="A136" s="46" t="s">
        <v>169</v>
      </c>
      <c r="B136" s="52" t="str">
        <f>IF(B13="","",B13)</f>
        <v>Merisier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4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4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28.5" x14ac:dyDescent="0.4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45">
      <c r="A140" s="50">
        <v>15</v>
      </c>
      <c r="B140" s="60">
        <v>25.641025641025639</v>
      </c>
      <c r="C140" s="50">
        <v>1</v>
      </c>
      <c r="D140" s="60">
        <v>1.9230769230769229</v>
      </c>
      <c r="E140" s="51">
        <v>0</v>
      </c>
      <c r="F140" s="51">
        <v>0.25</v>
      </c>
      <c r="G140" s="51">
        <v>0.25</v>
      </c>
      <c r="H140" s="51">
        <v>0.5</v>
      </c>
      <c r="I140" s="57">
        <f>IFERROR(B140/A140,"")</f>
        <v>1.7094017094017093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45">
      <c r="A141" s="50">
        <v>20</v>
      </c>
      <c r="B141" s="60">
        <v>54.487179487179482</v>
      </c>
      <c r="C141" s="50">
        <v>2</v>
      </c>
      <c r="D141" s="60">
        <v>16.025641025641026</v>
      </c>
      <c r="E141" s="51">
        <v>0</v>
      </c>
      <c r="F141" s="51">
        <v>0.25</v>
      </c>
      <c r="G141" s="51">
        <v>0.25</v>
      </c>
      <c r="H141" s="51">
        <v>0.5</v>
      </c>
      <c r="I141" s="57">
        <f t="shared" ref="I141:I159" si="5">IF(A141&lt;&gt;0,(B141-(B140-D140))/(A141-A140),"")</f>
        <v>6.1538461538461533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45">
      <c r="A142" s="50">
        <v>25</v>
      </c>
      <c r="B142" s="60">
        <v>72.435897435897431</v>
      </c>
      <c r="C142" s="50">
        <v>3</v>
      </c>
      <c r="D142" s="60">
        <v>17.307692307692307</v>
      </c>
      <c r="E142" s="51">
        <v>0</v>
      </c>
      <c r="F142" s="51">
        <v>0.25</v>
      </c>
      <c r="G142" s="51">
        <v>0.25</v>
      </c>
      <c r="H142" s="51">
        <v>0.5</v>
      </c>
      <c r="I142" s="57">
        <f t="shared" si="5"/>
        <v>6.7948717948717956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45">
      <c r="A143" s="50">
        <v>31</v>
      </c>
      <c r="B143" s="60">
        <v>99.358974358974351</v>
      </c>
      <c r="C143" s="50">
        <v>4</v>
      </c>
      <c r="D143" s="60">
        <v>23.076923076923077</v>
      </c>
      <c r="E143" s="51">
        <v>0.25</v>
      </c>
      <c r="F143" s="51">
        <v>0.25</v>
      </c>
      <c r="G143" s="51">
        <v>0.25</v>
      </c>
      <c r="H143" s="51">
        <v>0.25</v>
      </c>
      <c r="I143" s="57">
        <f t="shared" si="5"/>
        <v>7.3717948717948714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45">
      <c r="A144" s="50">
        <v>37</v>
      </c>
      <c r="B144" s="60">
        <v>120.51282051282051</v>
      </c>
      <c r="C144" s="50">
        <v>5</v>
      </c>
      <c r="D144" s="60">
        <v>23.076923076923077</v>
      </c>
      <c r="E144" s="51">
        <v>0.25</v>
      </c>
      <c r="F144" s="51">
        <v>0.25</v>
      </c>
      <c r="G144" s="51">
        <v>0.25</v>
      </c>
      <c r="H144" s="51">
        <v>0.25</v>
      </c>
      <c r="I144" s="57">
        <f t="shared" si="5"/>
        <v>7.3717948717948731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45">
      <c r="A145" s="50">
        <v>44</v>
      </c>
      <c r="B145" s="60">
        <v>147.43589743589743</v>
      </c>
      <c r="C145" s="50">
        <v>6</v>
      </c>
      <c r="D145" s="60">
        <v>27.564102564102562</v>
      </c>
      <c r="E145" s="51">
        <v>0.25</v>
      </c>
      <c r="F145" s="51">
        <v>0.25</v>
      </c>
      <c r="G145" s="51">
        <v>0.25</v>
      </c>
      <c r="H145" s="51">
        <v>0.25</v>
      </c>
      <c r="I145" s="57">
        <f t="shared" si="5"/>
        <v>7.1428571428571432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45">
      <c r="A146" s="50">
        <v>52</v>
      </c>
      <c r="B146" s="60">
        <v>173.07692307692307</v>
      </c>
      <c r="C146" s="50">
        <v>7</v>
      </c>
      <c r="D146" s="60">
        <v>30.769230769230766</v>
      </c>
      <c r="E146" s="51">
        <v>0.25</v>
      </c>
      <c r="F146" s="51">
        <v>0.25</v>
      </c>
      <c r="G146" s="51">
        <v>0.25</v>
      </c>
      <c r="H146" s="51">
        <v>0.25</v>
      </c>
      <c r="I146" s="57">
        <f t="shared" si="5"/>
        <v>6.6506410256410255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45">
      <c r="A147" s="50">
        <v>60</v>
      </c>
      <c r="B147" s="60">
        <v>190.38461538461539</v>
      </c>
      <c r="C147" s="50">
        <v>8</v>
      </c>
      <c r="D147" s="60">
        <v>30.128205128205128</v>
      </c>
      <c r="E147" s="51">
        <v>0.25</v>
      </c>
      <c r="F147" s="51">
        <v>0.25</v>
      </c>
      <c r="G147" s="51">
        <v>0.25</v>
      </c>
      <c r="H147" s="51">
        <v>0.25</v>
      </c>
      <c r="I147" s="57">
        <f>IF(A147&lt;&gt;0,(B147-(B146-D146))/(A147-A146),"")</f>
        <v>6.0096153846153868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45">
      <c r="A148" s="50">
        <v>69</v>
      </c>
      <c r="B148" s="60">
        <v>210.25641025641025</v>
      </c>
      <c r="C148" s="50">
        <v>9</v>
      </c>
      <c r="D148" s="60">
        <v>210.25641025641025</v>
      </c>
      <c r="E148" s="51">
        <v>0.25</v>
      </c>
      <c r="F148" s="51">
        <v>0.25</v>
      </c>
      <c r="G148" s="51">
        <v>0.25</v>
      </c>
      <c r="H148" s="51">
        <v>0.25</v>
      </c>
      <c r="I148" s="57">
        <f t="shared" si="5"/>
        <v>5.5555555555555554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4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4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4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4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4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4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4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4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4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4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4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4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4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4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4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4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28.5" x14ac:dyDescent="0.4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4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4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4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4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4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4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4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4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4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4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4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4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4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4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4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4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4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4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4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4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4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4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4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4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4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28.5" x14ac:dyDescent="0.4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4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4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4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4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4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4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4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4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4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4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4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4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4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4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4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4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4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4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4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4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4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4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4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4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4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28.5" x14ac:dyDescent="0.4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4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4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4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4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4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4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4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4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4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4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4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4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4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4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4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4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4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4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4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4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4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4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4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4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4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28.5" x14ac:dyDescent="0.4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4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4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4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4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4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4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4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4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4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4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4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4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4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4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4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4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4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4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4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4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4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4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4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4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4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28.5" x14ac:dyDescent="0.4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4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4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4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4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4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4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4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4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4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4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4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4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4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4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4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4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4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4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4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4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4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4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4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4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4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4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4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4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4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4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4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4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4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4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4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4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4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4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4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4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4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4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4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4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4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4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4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4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4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4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4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4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4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4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4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4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4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4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4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4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4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4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4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4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4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4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4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4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4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4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4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4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4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4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4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4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4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4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4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4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4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4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4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4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4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4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4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4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4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4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4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4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4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4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4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4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4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4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4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4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4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4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4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4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4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4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4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4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4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4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4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4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4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4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4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4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4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4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4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4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4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4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4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4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4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4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4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4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4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4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4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4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4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4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4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4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4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4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4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4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4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4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4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4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4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4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4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4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4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4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4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4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4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4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4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4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4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4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G16" sqref="G16"/>
    </sheetView>
  </sheetViews>
  <sheetFormatPr baseColWidth="10" defaultColWidth="11.46484375" defaultRowHeight="14.25" x14ac:dyDescent="0.45"/>
  <cols>
    <col min="1" max="1" width="22.796875" style="1" bestFit="1" customWidth="1"/>
    <col min="2" max="2" width="10.53125" style="1" bestFit="1" customWidth="1"/>
    <col min="3" max="3" width="15.53125" style="1" bestFit="1" customWidth="1"/>
    <col min="4" max="4" width="13.46484375" style="1" bestFit="1" customWidth="1"/>
    <col min="5" max="8" width="11.46484375" style="1"/>
    <col min="9" max="13" width="11.46484375" style="62"/>
    <col min="14" max="15" width="11.46484375" style="1"/>
    <col min="16" max="17" width="13.46484375" style="1" customWidth="1"/>
    <col min="18" max="16384" width="11.46484375" style="1"/>
  </cols>
  <sheetData>
    <row r="1" spans="1:6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5.9" thickBot="1" x14ac:dyDescent="0.8">
      <c r="A2" s="275" t="s">
        <v>271</v>
      </c>
      <c r="B2" s="276"/>
      <c r="C2" s="276"/>
      <c r="D2" s="276"/>
      <c r="E2" s="276"/>
      <c r="F2" s="276"/>
      <c r="G2" s="276"/>
      <c r="H2" s="276"/>
      <c r="I2" s="276"/>
      <c r="J2" s="276"/>
      <c r="K2" s="276"/>
      <c r="L2" s="277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4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4.65" thickBot="1" x14ac:dyDescent="0.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7.4" thickBot="1" x14ac:dyDescent="0.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45">
      <c r="A6" s="145" t="str">
        <f>IF('Données projet'!$B$9="","",'Données projet'!$B$9)</f>
        <v>Douglas</v>
      </c>
      <c r="B6" s="146">
        <f>'Données projet'!D9</f>
        <v>0.9524999999999999</v>
      </c>
      <c r="C6" s="147">
        <f ca="1">IF(OR('Données projet'!B9="",'Données projet'!C9="",'Données projet'!C9=0%),0,Calculateur!S3)</f>
        <v>324.69474275039357</v>
      </c>
      <c r="D6" s="147">
        <f>IF(OR('Données projet'!B9="",'Données projet'!C9="",'Données projet'!C9=0%),0,Calculateur!T3)</f>
        <v>437.68177084535927</v>
      </c>
      <c r="E6" s="147">
        <f ca="1">MIN(C6,D6)</f>
        <v>324.69474275039357</v>
      </c>
      <c r="F6" s="147">
        <f ca="1">E6*B6</f>
        <v>309.27174246974982</v>
      </c>
      <c r="G6" s="147">
        <f ca="1">F6*(100%-'Données projet'!$C$24)*(100%-'Données projet'!$C$25)*(100%-'Données projet'!$C$26)*(100%-'Données projet'!$C$27)</f>
        <v>278.34456822277485</v>
      </c>
      <c r="H6" s="148">
        <f>IF(OR('Données projet'!B9="",'Données projet'!C9="",'Données projet'!C9=0%),0,AVERAGE(Calculateur!$AC$3:$AC$33)*B6)</f>
        <v>13.308337872555205</v>
      </c>
      <c r="I6" s="149">
        <f>H6*(100%-'Données projet'!$C$24)*(100%-'Données projet'!$C$25)*(100%-'Données projet'!$C$26)*(100%-'Données projet'!$C$27)</f>
        <v>11.977504085299685</v>
      </c>
      <c r="J6" s="150">
        <f>IF(OR('Données projet'!B9="",'Données projet'!C9="",'Données projet'!C9=0%),0,SUM(Calculateur!$V$3:$V$33)*VLOOKUP('Données projet'!$B$9,Paramètres!$A$1:$I$89,9,0)*B6)</f>
        <v>84.872131499999995</v>
      </c>
      <c r="K6" s="151">
        <f>J6*(100%-'Données projet'!$C$24)*(100%-'Données projet'!$C$25)*(100%-'Données projet'!$C$26)*(100%-'Données projet'!$C$27)</f>
        <v>76.384918349999992</v>
      </c>
      <c r="L6" s="152">
        <f ca="1">G6+I6+K6</f>
        <v>366.70699065807457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45">
      <c r="A7" s="153" t="str">
        <f>IF('Données projet'!$B$10="","",'Données projet'!$B$10)</f>
        <v>Pin maritime</v>
      </c>
      <c r="B7" s="154">
        <f>'Données projet'!D10</f>
        <v>0.69850000000000001</v>
      </c>
      <c r="C7" s="147">
        <f ca="1">IF(OR('Données projet'!B10="",'Données projet'!C10="",'Données projet'!C10=0%),0,Calculateur!AN3)</f>
        <v>214.93913810439858</v>
      </c>
      <c r="D7" s="147">
        <f>IF(OR('Données projet'!B10="",'Données projet'!C10="",'Données projet'!C10=0%),0,Calculateur!AO3)</f>
        <v>210.65603079265924</v>
      </c>
      <c r="E7" s="147">
        <f t="shared" ref="E7:E15" ca="1" si="0">MIN(C7,D7)</f>
        <v>210.65603079265924</v>
      </c>
      <c r="F7" s="147">
        <f t="shared" ref="F7:F15" ca="1" si="1">E7*B7</f>
        <v>147.14323750867248</v>
      </c>
      <c r="G7" s="147">
        <f ca="1">F7*(100%-'Données projet'!$C$24)*(100%-'Données projet'!$C$25)*(100%-'Données projet'!$C$26)*(100%-'Données projet'!$C$27)</f>
        <v>132.42891375780525</v>
      </c>
      <c r="H7" s="155">
        <f>IF(OR('Données projet'!B10="",'Données projet'!C10="",'Données projet'!C10=0%),0,AVERAGE(Calculateur!$AX$3:$AX$33)*B7)</f>
        <v>7.2091772457038248</v>
      </c>
      <c r="I7" s="149">
        <f>H7*(100%-'Données projet'!$C$24)*(100%-'Données projet'!$C$25)*(100%-'Données projet'!$C$26)*(100%-'Données projet'!$C$27)</f>
        <v>6.4882595211334424</v>
      </c>
      <c r="J7" s="150">
        <f>IF(OR('Données projet'!B10="",'Données projet'!C10="",'Données projet'!C10=0%),0,SUM(Calculateur!$AQ$3:$AQ$33)*VLOOKUP('Données projet'!$B$10,Paramètres!$A$1:$I$89,9,0)*B7)</f>
        <v>63.680009799999986</v>
      </c>
      <c r="K7" s="151">
        <f>J7*(100%-'Données projet'!$C$24)*(100%-'Données projet'!$C$25)*(100%-'Données projet'!$C$26)*(100%-'Données projet'!$C$27)</f>
        <v>57.312008819999988</v>
      </c>
      <c r="L7" s="152">
        <f t="shared" ref="L7:L15" ca="1" si="2">G7+I7+K7</f>
        <v>196.22918209893868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45">
      <c r="A8" s="153" t="str">
        <f>IF('Données projet'!$B$11="","",'Données projet'!$B$11)</f>
        <v>Chêne sessile</v>
      </c>
      <c r="B8" s="154">
        <f>'Données projet'!D11</f>
        <v>3.8099999999999996</v>
      </c>
      <c r="C8" s="147">
        <f ca="1">IF(OR('Données projet'!B11="",'Données projet'!C11="",'Données projet'!C11=0%),0,Calculateur!BI3)</f>
        <v>507.69556381324213</v>
      </c>
      <c r="D8" s="147">
        <f>IF(OR('Données projet'!B11="",'Données projet'!C11="",'Données projet'!C11=0%),0,Calculateur!BJ3)</f>
        <v>129.52638237044044</v>
      </c>
      <c r="E8" s="147">
        <f t="shared" ca="1" si="0"/>
        <v>129.52638237044044</v>
      </c>
      <c r="F8" s="147">
        <f t="shared" ca="1" si="1"/>
        <v>493.49551683137804</v>
      </c>
      <c r="G8" s="147">
        <f ca="1">F8*(100%-'Données projet'!$C$24)*(100%-'Données projet'!$C$25)*(100%-'Données projet'!$C$26)*(100%-'Données projet'!$C$27)</f>
        <v>444.14596514824024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444.14596514824024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45">
      <c r="A9" s="153" t="str">
        <f>IF('Données projet'!$B$12="","",'Données projet'!$B$12)</f>
        <v>Alisier torminal</v>
      </c>
      <c r="B9" s="154">
        <f>'Données projet'!D12</f>
        <v>0.44450000000000001</v>
      </c>
      <c r="C9" s="147">
        <f ca="1">IF(OR('Données projet'!B12="",'Données projet'!C12="",'Données projet'!C12=0%),0,Calculateur!CD3)</f>
        <v>292.52253679467469</v>
      </c>
      <c r="D9" s="147">
        <f>IF(OR('Données projet'!B12="",'Données projet'!C12="",'Données projet'!C12=0%),0,Calculateur!CE3)</f>
        <v>155.7114133976541</v>
      </c>
      <c r="E9" s="147">
        <f t="shared" ca="1" si="0"/>
        <v>155.7114133976541</v>
      </c>
      <c r="F9" s="147">
        <f t="shared" ca="1" si="1"/>
        <v>69.21372325525725</v>
      </c>
      <c r="G9" s="147">
        <f ca="1">F9*(100%-'Données projet'!$C$24)*(100%-'Données projet'!$C$25)*(100%-'Données projet'!$C$26)*(100%-'Données projet'!$C$27)</f>
        <v>62.292350929731526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62.292350929731526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45">
      <c r="A10" s="153" t="str">
        <f>IF('Données projet'!$B$13="","",'Données projet'!$B$13)</f>
        <v>Merisier</v>
      </c>
      <c r="B10" s="154">
        <f>'Données projet'!D13</f>
        <v>0.44450000000000001</v>
      </c>
      <c r="C10" s="147">
        <f ca="1">IF(OR('Données projet'!B13="",'Données projet'!C13="",'Données projet'!C13=0%),0,Calculateur!CY3)</f>
        <v>100.54865094989304</v>
      </c>
      <c r="D10" s="147">
        <f>IF(OR('Données projet'!B13="",'Données projet'!C13="",'Données projet'!C13=0%),0,Calculateur!CZ3)</f>
        <v>99.95654161405389</v>
      </c>
      <c r="E10" s="147">
        <f t="shared" ca="1" si="0"/>
        <v>99.95654161405389</v>
      </c>
      <c r="F10" s="147">
        <f t="shared" ca="1" si="1"/>
        <v>44.430682747446951</v>
      </c>
      <c r="G10" s="147">
        <f ca="1">F10*(100%-'Données projet'!$C$24)*(100%-'Données projet'!$C$25)*(100%-'Données projet'!$C$26)*(100%-'Données projet'!$C$27)</f>
        <v>39.987614472702255</v>
      </c>
      <c r="H10" s="155">
        <f>IF(OR('Données projet'!B13="",'Données projet'!C13="",'Données projet'!C13=0%),0,AVERAGE(Calculateur!$DI$3:$DI$33)*B10)</f>
        <v>0.66053849438057743</v>
      </c>
      <c r="I10" s="149">
        <f>H10*(100%-'Données projet'!$C$24)*(100%-'Données projet'!$C$25)*(100%-'Données projet'!$C$26)*(100%-'Données projet'!$C$27)</f>
        <v>0.59448464494251974</v>
      </c>
      <c r="J10" s="150">
        <f>IF(OR('Données projet'!B13="",'Données projet'!C13="",'Données projet'!C13=0%),0,SUM(Calculateur!$DB$3:$DB$33)*VLOOKUP('Données projet'!$B$13,Paramètres!$A$1:$I$89,9,0)*B10)</f>
        <v>3.9178685897435899</v>
      </c>
      <c r="K10" s="151">
        <f>J10*(100%-'Données projet'!$C$24)*(100%-'Données projet'!$C$25)*(100%-'Données projet'!$C$26)*(100%-'Données projet'!$C$27)</f>
        <v>3.5260817307692309</v>
      </c>
      <c r="L10" s="152">
        <f t="shared" ca="1" si="2"/>
        <v>44.108180848414001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4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4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4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4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4.65" thickBot="1" x14ac:dyDescent="0.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4.65" thickBot="1" x14ac:dyDescent="0.5">
      <c r="A16" s="209"/>
      <c r="B16" s="213"/>
      <c r="C16" s="214"/>
      <c r="D16" s="23"/>
      <c r="E16" s="23"/>
      <c r="F16" s="165">
        <f t="shared" ref="F16:L16" ca="1" si="3">SUM(F6:F15)</f>
        <v>1063.5549028125047</v>
      </c>
      <c r="G16" s="166">
        <f t="shared" ca="1" si="3"/>
        <v>957.19941253125421</v>
      </c>
      <c r="H16" s="167">
        <f t="shared" si="3"/>
        <v>21.178053612639609</v>
      </c>
      <c r="I16" s="167">
        <f t="shared" si="3"/>
        <v>19.060248251375647</v>
      </c>
      <c r="J16" s="168">
        <f t="shared" si="3"/>
        <v>152.47000988974358</v>
      </c>
      <c r="K16" s="168">
        <f t="shared" si="3"/>
        <v>137.2230089007692</v>
      </c>
      <c r="L16" s="169">
        <f t="shared" ca="1" si="3"/>
        <v>1113.4826696833991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45">
      <c r="A17" s="209"/>
      <c r="B17" s="213"/>
      <c r="C17" s="214"/>
      <c r="D17" s="23"/>
      <c r="E17" s="23"/>
      <c r="F17" s="272" t="s">
        <v>246</v>
      </c>
      <c r="G17" s="273"/>
      <c r="H17" s="273"/>
      <c r="I17" s="273"/>
      <c r="J17" s="273"/>
      <c r="K17" s="273"/>
      <c r="L17" s="273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45">
      <c r="A18" s="209"/>
      <c r="B18" s="213"/>
      <c r="C18" s="214"/>
      <c r="D18" s="23"/>
      <c r="E18" s="23"/>
      <c r="F18" s="274"/>
      <c r="G18" s="274"/>
      <c r="H18" s="274"/>
      <c r="I18" s="274"/>
      <c r="J18" s="274"/>
      <c r="K18" s="274"/>
      <c r="L18" s="274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4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4.65" thickBot="1" x14ac:dyDescent="0.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4.65" thickBot="1" x14ac:dyDescent="0.5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4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4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4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4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4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4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4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4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4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4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4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4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4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4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4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4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4.65" thickBot="1" x14ac:dyDescent="0.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4.65" thickBot="1" x14ac:dyDescent="0.5">
      <c r="A39" s="170" t="str">
        <f>A7</f>
        <v>Pin maritime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4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4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4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4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4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4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4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4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4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4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4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4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4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4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4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4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4.65" thickBot="1" x14ac:dyDescent="0.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4.65" thickBot="1" x14ac:dyDescent="0.5">
      <c r="A57" s="170" t="str">
        <f>A8</f>
        <v>Chêne sessile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4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4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4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4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4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4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4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4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4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4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4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4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4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4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4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4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4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4.65" thickBot="1" x14ac:dyDescent="0.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4.65" thickBot="1" x14ac:dyDescent="0.5">
      <c r="A76" s="170" t="str">
        <f>A9</f>
        <v>Alisier torminal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4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4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4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4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4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4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4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4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4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4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4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4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4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4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4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4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4.65" thickBot="1" x14ac:dyDescent="0.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4.65" thickBot="1" x14ac:dyDescent="0.5">
      <c r="A94" s="170" t="str">
        <f>A10</f>
        <v>Merisier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4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4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4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4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4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4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4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4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4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4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4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4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4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4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4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4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4.65" thickBot="1" x14ac:dyDescent="0.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4.65" thickBot="1" x14ac:dyDescent="0.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4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4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4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4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4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4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4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4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4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4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4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4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4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4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4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4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4.65" thickBot="1" x14ac:dyDescent="0.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4.65" thickBot="1" x14ac:dyDescent="0.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4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4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4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4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4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4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4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4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4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4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4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4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4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4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4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4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4.65" thickBot="1" x14ac:dyDescent="0.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4.65" thickBot="1" x14ac:dyDescent="0.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4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4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4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4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4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4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4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4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4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4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4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4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4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4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4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4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4.65" thickBot="1" x14ac:dyDescent="0.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4.65" thickBot="1" x14ac:dyDescent="0.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4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4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4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4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4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4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4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4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4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4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4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4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4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4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4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4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4.65" thickBot="1" x14ac:dyDescent="0.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4.65" thickBot="1" x14ac:dyDescent="0.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4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4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4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4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4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4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4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4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4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4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4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4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4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4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4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4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4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4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4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4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4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4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4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4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4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4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4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4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4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4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4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4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4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4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4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4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4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4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4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4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4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4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4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4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4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4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4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4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4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4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4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4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4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4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4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4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4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4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4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4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4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4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4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4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4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4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4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4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4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4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4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4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4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4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4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4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4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4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4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4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4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4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4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4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4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4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4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4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4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4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4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4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4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4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4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4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4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4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4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4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4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4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4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4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4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4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4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4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4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4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4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4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4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4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4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4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4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4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4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4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4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4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4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4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4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4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4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4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4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4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4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4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4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4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4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4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4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4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4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4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4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4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4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4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4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4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4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4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4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4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4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4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4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4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4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4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4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4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4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4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4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4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4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4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4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4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4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4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4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4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4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85" zoomScaleNormal="85" workbookViewId="0">
      <selection activeCell="G15" sqref="G15"/>
    </sheetView>
  </sheetViews>
  <sheetFormatPr baseColWidth="10" defaultColWidth="11.46484375" defaultRowHeight="14.25" x14ac:dyDescent="0.45"/>
  <cols>
    <col min="1" max="1" width="5.796875" style="1" customWidth="1"/>
    <col min="2" max="2" width="14.19921875" style="1" customWidth="1"/>
    <col min="3" max="3" width="62.19921875" style="1" customWidth="1"/>
    <col min="4" max="5" width="4.265625" style="1" customWidth="1"/>
    <col min="6" max="6" width="14.265625" style="1" customWidth="1"/>
    <col min="7" max="7" width="73.265625" style="1" bestFit="1" customWidth="1"/>
    <col min="8" max="10" width="11.46484375" style="1"/>
    <col min="11" max="11" width="12.53125" style="1" customWidth="1"/>
    <col min="12" max="16384" width="11.46484375" style="1"/>
  </cols>
  <sheetData>
    <row r="1" spans="1:38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5.9" thickBot="1" x14ac:dyDescent="0.8">
      <c r="A2" s="4"/>
      <c r="B2" s="275" t="s">
        <v>191</v>
      </c>
      <c r="C2" s="276"/>
      <c r="D2" s="276"/>
      <c r="E2" s="276"/>
      <c r="F2" s="276"/>
      <c r="G2" s="277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4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45">
      <c r="A4" s="4"/>
      <c r="B4" s="274"/>
      <c r="C4" s="274"/>
      <c r="D4" s="274"/>
      <c r="E4" s="274"/>
      <c r="F4" s="274"/>
      <c r="G4" s="274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4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4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4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4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4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4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4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4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4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4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45">
      <c r="A15" s="23"/>
      <c r="B15" s="26" t="s">
        <v>295</v>
      </c>
      <c r="C15" s="4"/>
      <c r="D15" s="23"/>
      <c r="E15" s="4"/>
      <c r="F15" s="4"/>
      <c r="G15" s="2" t="s">
        <v>26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4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4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4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4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4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4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4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4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4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4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4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4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4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4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4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4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4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4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4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4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4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4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4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4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4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4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4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4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4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4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4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4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4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4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4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4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4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4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4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4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4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4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4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4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4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4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4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4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4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4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4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4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4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4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4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4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4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4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4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4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4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4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4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4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4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4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4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4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4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4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4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4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4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4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4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4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4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4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4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4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4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4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4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4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4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4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4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45">
      <c r="C104" s="4"/>
      <c r="F104" s="4"/>
    </row>
    <row r="105" spans="3:35" x14ac:dyDescent="0.45">
      <c r="C105" s="4"/>
      <c r="F105" s="4"/>
    </row>
    <row r="106" spans="3:35" x14ac:dyDescent="0.45">
      <c r="C106" s="4"/>
      <c r="F106" s="4"/>
    </row>
    <row r="107" spans="3:35" x14ac:dyDescent="0.45">
      <c r="C107" s="4"/>
      <c r="F107" s="4"/>
    </row>
    <row r="108" spans="3:35" x14ac:dyDescent="0.45">
      <c r="C108" s="4"/>
      <c r="F108" s="4"/>
    </row>
    <row r="109" spans="3:35" x14ac:dyDescent="0.45">
      <c r="C109" s="4"/>
      <c r="F109" s="4"/>
    </row>
    <row r="110" spans="3:35" x14ac:dyDescent="0.45">
      <c r="C110" s="4"/>
      <c r="F110" s="4"/>
    </row>
    <row r="111" spans="3:35" x14ac:dyDescent="0.45">
      <c r="C111" s="4"/>
      <c r="F111" s="4"/>
    </row>
    <row r="112" spans="3:35" x14ac:dyDescent="0.45">
      <c r="C112" s="4"/>
      <c r="F112" s="4"/>
    </row>
    <row r="113" spans="3:6" x14ac:dyDescent="0.45">
      <c r="C113" s="4"/>
      <c r="F113" s="4"/>
    </row>
    <row r="114" spans="3:6" x14ac:dyDescent="0.45">
      <c r="C114" s="4"/>
      <c r="F114" s="4"/>
    </row>
    <row r="115" spans="3:6" x14ac:dyDescent="0.45">
      <c r="C115" s="4"/>
      <c r="F115" s="4"/>
    </row>
    <row r="116" spans="3:6" x14ac:dyDescent="0.45">
      <c r="C116" s="4"/>
      <c r="F116" s="4"/>
    </row>
    <row r="117" spans="3:6" x14ac:dyDescent="0.45">
      <c r="C117" s="4"/>
      <c r="F117" s="4"/>
    </row>
    <row r="118" spans="3:6" x14ac:dyDescent="0.45">
      <c r="C118" s="4"/>
      <c r="F118" s="4"/>
    </row>
    <row r="119" spans="3:6" x14ac:dyDescent="0.45">
      <c r="C119" s="4"/>
      <c r="F119" s="4"/>
    </row>
    <row r="120" spans="3:6" x14ac:dyDescent="0.45">
      <c r="C120" s="4"/>
      <c r="F120" s="4"/>
    </row>
    <row r="121" spans="3:6" x14ac:dyDescent="0.45">
      <c r="C121" s="4"/>
      <c r="F121" s="4"/>
    </row>
    <row r="122" spans="3:6" x14ac:dyDescent="0.45">
      <c r="C122" s="4"/>
      <c r="F122" s="4"/>
    </row>
    <row r="123" spans="3:6" x14ac:dyDescent="0.45">
      <c r="C123" s="4"/>
      <c r="F123" s="4"/>
    </row>
    <row r="124" spans="3:6" x14ac:dyDescent="0.45">
      <c r="C124" s="4"/>
      <c r="F124" s="4"/>
    </row>
    <row r="125" spans="3:6" x14ac:dyDescent="0.45">
      <c r="C125" s="4"/>
      <c r="F125" s="4"/>
    </row>
    <row r="126" spans="3:6" x14ac:dyDescent="0.45">
      <c r="C126" s="4"/>
      <c r="F126" s="4"/>
    </row>
    <row r="127" spans="3:6" x14ac:dyDescent="0.45">
      <c r="C127" s="4"/>
      <c r="F127" s="4"/>
    </row>
    <row r="128" spans="3:6" x14ac:dyDescent="0.45">
      <c r="C128" s="4"/>
      <c r="F128" s="4"/>
    </row>
    <row r="129" spans="3:6" x14ac:dyDescent="0.45">
      <c r="C129" s="4"/>
      <c r="F129" s="4"/>
    </row>
    <row r="130" spans="3:6" x14ac:dyDescent="0.45">
      <c r="C130" s="4"/>
      <c r="F130" s="4"/>
    </row>
    <row r="131" spans="3:6" x14ac:dyDescent="0.45">
      <c r="C131" s="4"/>
      <c r="F131" s="4"/>
    </row>
    <row r="132" spans="3:6" x14ac:dyDescent="0.45">
      <c r="F132" s="4"/>
    </row>
    <row r="133" spans="3:6" x14ac:dyDescent="0.45">
      <c r="F133" s="4"/>
    </row>
    <row r="134" spans="3:6" x14ac:dyDescent="0.45">
      <c r="F134" s="4"/>
    </row>
    <row r="135" spans="3:6" x14ac:dyDescent="0.45">
      <c r="F135" s="4"/>
    </row>
    <row r="136" spans="3:6" x14ac:dyDescent="0.45">
      <c r="F136" s="4"/>
    </row>
    <row r="137" spans="3:6" x14ac:dyDescent="0.45">
      <c r="F137" s="4"/>
    </row>
    <row r="138" spans="3:6" x14ac:dyDescent="0.45">
      <c r="F138" s="4"/>
    </row>
    <row r="139" spans="3:6" x14ac:dyDescent="0.45">
      <c r="F139" s="4"/>
    </row>
    <row r="140" spans="3:6" x14ac:dyDescent="0.45">
      <c r="F140" s="4"/>
    </row>
    <row r="141" spans="3:6" x14ac:dyDescent="0.45">
      <c r="F141" s="4"/>
    </row>
    <row r="142" spans="3:6" x14ac:dyDescent="0.45">
      <c r="F142" s="4"/>
    </row>
    <row r="143" spans="3:6" x14ac:dyDescent="0.45">
      <c r="F143" s="4"/>
    </row>
    <row r="144" spans="3:6" x14ac:dyDescent="0.45">
      <c r="F144" s="4"/>
    </row>
    <row r="145" spans="6:6" x14ac:dyDescent="0.45">
      <c r="F145" s="4"/>
    </row>
    <row r="146" spans="6:6" x14ac:dyDescent="0.45">
      <c r="F146" s="4"/>
    </row>
    <row r="147" spans="6:6" x14ac:dyDescent="0.45">
      <c r="F147" s="4"/>
    </row>
    <row r="148" spans="6:6" x14ac:dyDescent="0.45">
      <c r="F148" s="4"/>
    </row>
    <row r="149" spans="6:6" x14ac:dyDescent="0.45">
      <c r="F149" s="4"/>
    </row>
    <row r="150" spans="6:6" x14ac:dyDescent="0.45">
      <c r="F150" s="4"/>
    </row>
    <row r="151" spans="6:6" x14ac:dyDescent="0.45">
      <c r="F151" s="4"/>
    </row>
    <row r="152" spans="6:6" x14ac:dyDescent="0.45">
      <c r="F152" s="4"/>
    </row>
    <row r="153" spans="6:6" x14ac:dyDescent="0.45">
      <c r="F153" s="4"/>
    </row>
    <row r="154" spans="6:6" x14ac:dyDescent="0.45">
      <c r="F154" s="4"/>
    </row>
    <row r="155" spans="6:6" x14ac:dyDescent="0.45">
      <c r="F155" s="4"/>
    </row>
    <row r="156" spans="6:6" x14ac:dyDescent="0.45">
      <c r="F156" s="4"/>
    </row>
    <row r="157" spans="6:6" x14ac:dyDescent="0.45">
      <c r="F157" s="4"/>
    </row>
    <row r="158" spans="6:6" x14ac:dyDescent="0.45">
      <c r="F158" s="4"/>
    </row>
    <row r="159" spans="6:6" x14ac:dyDescent="0.45">
      <c r="F159" s="4"/>
    </row>
    <row r="160" spans="6:6" x14ac:dyDescent="0.45">
      <c r="F160" s="4"/>
    </row>
    <row r="161" spans="6:6" x14ac:dyDescent="0.45">
      <c r="F161" s="4"/>
    </row>
    <row r="162" spans="6:6" x14ac:dyDescent="0.45">
      <c r="F162" s="4"/>
    </row>
    <row r="163" spans="6:6" x14ac:dyDescent="0.4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6484375" defaultRowHeight="14.25" x14ac:dyDescent="0.45"/>
  <cols>
    <col min="1" max="1" width="6.796875" style="4" bestFit="1" customWidth="1"/>
    <col min="2" max="4" width="11.46484375" style="4"/>
    <col min="5" max="5" width="9.53125" style="4" customWidth="1"/>
    <col min="6" max="7" width="11.46484375" style="4"/>
    <col min="8" max="8" width="10.73046875" style="4" customWidth="1"/>
    <col min="9" max="9" width="9.46484375" style="4" customWidth="1"/>
    <col min="10" max="11" width="10.53125" style="4" bestFit="1" customWidth="1"/>
    <col min="12" max="12" width="14" style="4" bestFit="1" customWidth="1"/>
    <col min="13" max="13" width="14" style="4" customWidth="1"/>
    <col min="14" max="23" width="11.46484375" style="4"/>
    <col min="24" max="24" width="11.73046875" style="4" bestFit="1" customWidth="1"/>
    <col min="25" max="25" width="14.53125" style="4" bestFit="1" customWidth="1"/>
    <col min="26" max="26" width="12.46484375" style="4" bestFit="1" customWidth="1"/>
    <col min="27" max="27" width="9.73046875" style="4" bestFit="1" customWidth="1"/>
    <col min="28" max="28" width="11" style="4" bestFit="1" customWidth="1"/>
    <col min="29" max="29" width="9.46484375" style="4" bestFit="1" customWidth="1"/>
    <col min="30" max="31" width="9.46484375" style="4" customWidth="1"/>
    <col min="32" max="32" width="11.46484375" style="4"/>
    <col min="33" max="34" width="14" style="4" bestFit="1" customWidth="1"/>
    <col min="35" max="35" width="10.53125" style="4" bestFit="1" customWidth="1"/>
    <col min="36" max="36" width="9.46484375" style="4" bestFit="1" customWidth="1"/>
    <col min="37" max="38" width="10.53125" style="4" bestFit="1" customWidth="1"/>
    <col min="39" max="41" width="10.53125" style="4" customWidth="1"/>
    <col min="42" max="42" width="9" style="4" bestFit="1" customWidth="1"/>
    <col min="43" max="43" width="10.53125" style="4" bestFit="1" customWidth="1"/>
    <col min="44" max="44" width="9.265625" style="4" bestFit="1" customWidth="1"/>
    <col min="45" max="45" width="11.73046875" style="4" bestFit="1" customWidth="1"/>
    <col min="46" max="46" width="8.46484375" style="4" bestFit="1" customWidth="1"/>
    <col min="47" max="47" width="9.46484375" style="4" bestFit="1" customWidth="1"/>
    <col min="48" max="48" width="9.73046875" style="4" bestFit="1" customWidth="1"/>
    <col min="49" max="49" width="11" style="4" bestFit="1" customWidth="1"/>
    <col min="50" max="50" width="9.46484375" style="4" bestFit="1" customWidth="1"/>
    <col min="51" max="52" width="9.46484375" style="4" customWidth="1"/>
    <col min="53" max="53" width="10.53125" style="4" bestFit="1" customWidth="1"/>
    <col min="54" max="54" width="14.265625" style="4" customWidth="1"/>
    <col min="55" max="55" width="14" style="4" customWidth="1"/>
    <col min="56" max="56" width="10.53125" style="4" bestFit="1" customWidth="1"/>
    <col min="57" max="57" width="9.46484375" style="4" bestFit="1" customWidth="1"/>
    <col min="58" max="59" width="10.53125" style="4" bestFit="1" customWidth="1"/>
    <col min="60" max="62" width="10.53125" style="4" customWidth="1"/>
    <col min="63" max="63" width="9" style="4" bestFit="1" customWidth="1"/>
    <col min="64" max="64" width="10.53125" style="4" bestFit="1" customWidth="1"/>
    <col min="65" max="65" width="9.265625" style="4" bestFit="1" customWidth="1"/>
    <col min="66" max="66" width="11.73046875" style="4" bestFit="1" customWidth="1"/>
    <col min="67" max="67" width="8.46484375" style="4" bestFit="1" customWidth="1"/>
    <col min="68" max="68" width="9.46484375" style="4" bestFit="1" customWidth="1"/>
    <col min="69" max="69" width="9.73046875" style="4" bestFit="1" customWidth="1"/>
    <col min="70" max="70" width="11" style="4" bestFit="1" customWidth="1"/>
    <col min="71" max="71" width="9.46484375" style="4" bestFit="1" customWidth="1"/>
    <col min="72" max="73" width="9.46484375" style="4" customWidth="1"/>
    <col min="74" max="74" width="10.53125" style="4" bestFit="1" customWidth="1"/>
    <col min="75" max="75" width="14" style="4" bestFit="1" customWidth="1"/>
    <col min="76" max="76" width="13.796875" style="4" customWidth="1"/>
    <col min="77" max="77" width="10.53125" style="4" bestFit="1" customWidth="1"/>
    <col min="78" max="78" width="9.46484375" style="4" bestFit="1" customWidth="1"/>
    <col min="79" max="80" width="10.53125" style="4" bestFit="1" customWidth="1"/>
    <col min="81" max="83" width="10.53125" style="4" customWidth="1"/>
    <col min="84" max="84" width="11.46484375" style="4"/>
    <col min="85" max="85" width="10.53125" style="4" bestFit="1" customWidth="1"/>
    <col min="86" max="86" width="9.265625" style="4" bestFit="1" customWidth="1"/>
    <col min="87" max="87" width="11.73046875" style="4" bestFit="1" customWidth="1"/>
    <col min="88" max="88" width="8.46484375" style="4" bestFit="1" customWidth="1"/>
    <col min="89" max="89" width="9.46484375" style="4" bestFit="1" customWidth="1"/>
    <col min="90" max="90" width="9.73046875" style="4" bestFit="1" customWidth="1"/>
    <col min="91" max="91" width="11" style="4" bestFit="1" customWidth="1"/>
    <col min="92" max="92" width="9.46484375" style="4" bestFit="1" customWidth="1"/>
    <col min="93" max="94" width="9.46484375" style="4" customWidth="1"/>
    <col min="95" max="95" width="11.46484375" style="4"/>
    <col min="96" max="97" width="14" style="4" customWidth="1"/>
    <col min="98" max="98" width="10.53125" style="4" bestFit="1" customWidth="1"/>
    <col min="99" max="99" width="9.46484375" style="4" bestFit="1" customWidth="1"/>
    <col min="100" max="101" width="10.53125" style="4" bestFit="1" customWidth="1"/>
    <col min="102" max="104" width="10.53125" style="4" customWidth="1"/>
    <col min="105" max="105" width="9" style="4" bestFit="1" customWidth="1"/>
    <col min="106" max="106" width="10.53125" style="4" bestFit="1" customWidth="1"/>
    <col min="107" max="107" width="9.265625" style="4" bestFit="1" customWidth="1"/>
    <col min="108" max="108" width="11.73046875" style="4" bestFit="1" customWidth="1"/>
    <col min="109" max="109" width="8.46484375" style="4" bestFit="1" customWidth="1"/>
    <col min="110" max="110" width="9.46484375" style="4" bestFit="1" customWidth="1"/>
    <col min="111" max="111" width="9.73046875" style="4" bestFit="1" customWidth="1"/>
    <col min="112" max="112" width="11" style="4" bestFit="1" customWidth="1"/>
    <col min="113" max="113" width="9.46484375" style="4" bestFit="1" customWidth="1"/>
    <col min="114" max="115" width="9.46484375" style="4" customWidth="1"/>
    <col min="116" max="116" width="10.53125" style="4" bestFit="1" customWidth="1"/>
    <col min="117" max="117" width="14.265625" style="4" customWidth="1"/>
    <col min="118" max="118" width="14" style="4" bestFit="1" customWidth="1"/>
    <col min="119" max="119" width="10.53125" style="4" bestFit="1" customWidth="1"/>
    <col min="120" max="120" width="9.46484375" style="4" bestFit="1" customWidth="1"/>
    <col min="121" max="122" width="10.53125" style="4" bestFit="1" customWidth="1"/>
    <col min="123" max="125" width="10.53125" style="4" customWidth="1"/>
    <col min="126" max="126" width="9" style="4" bestFit="1" customWidth="1"/>
    <col min="127" max="127" width="10.53125" style="4" bestFit="1" customWidth="1"/>
    <col min="128" max="128" width="9.265625" style="4" bestFit="1" customWidth="1"/>
    <col min="129" max="129" width="11.73046875" style="4" bestFit="1" customWidth="1"/>
    <col min="130" max="130" width="8.46484375" style="4" bestFit="1" customWidth="1"/>
    <col min="131" max="131" width="9.46484375" style="4" bestFit="1" customWidth="1"/>
    <col min="132" max="132" width="9.73046875" style="4" bestFit="1" customWidth="1"/>
    <col min="133" max="133" width="11" style="4" bestFit="1" customWidth="1"/>
    <col min="134" max="134" width="9.46484375" style="4" bestFit="1" customWidth="1"/>
    <col min="135" max="136" width="9.46484375" style="4" customWidth="1"/>
    <col min="137" max="137" width="10.53125" style="4" bestFit="1" customWidth="1"/>
    <col min="138" max="139" width="14" style="4" customWidth="1"/>
    <col min="140" max="140" width="10.53125" style="4" bestFit="1" customWidth="1"/>
    <col min="141" max="141" width="9.46484375" style="4" bestFit="1" customWidth="1"/>
    <col min="142" max="143" width="10.53125" style="4" bestFit="1" customWidth="1"/>
    <col min="144" max="146" width="10.53125" style="4" customWidth="1"/>
    <col min="147" max="147" width="9" style="4" bestFit="1" customWidth="1"/>
    <col min="148" max="148" width="10.53125" style="4" bestFit="1" customWidth="1"/>
    <col min="149" max="149" width="9.265625" style="4" bestFit="1" customWidth="1"/>
    <col min="150" max="150" width="11.73046875" style="4" bestFit="1" customWidth="1"/>
    <col min="151" max="151" width="8.46484375" style="4" bestFit="1" customWidth="1"/>
    <col min="152" max="152" width="9.46484375" style="4" bestFit="1" customWidth="1"/>
    <col min="153" max="153" width="9.73046875" style="4" bestFit="1" customWidth="1"/>
    <col min="154" max="154" width="11" style="4" bestFit="1" customWidth="1"/>
    <col min="155" max="155" width="9.46484375" style="4" bestFit="1" customWidth="1"/>
    <col min="156" max="157" width="9.46484375" style="4" customWidth="1"/>
    <col min="158" max="158" width="11.46484375" style="4"/>
    <col min="159" max="160" width="14" style="4" bestFit="1" customWidth="1"/>
    <col min="161" max="161" width="10.53125" style="4" bestFit="1" customWidth="1"/>
    <col min="162" max="162" width="9.46484375" style="4" bestFit="1" customWidth="1"/>
    <col min="163" max="164" width="10.53125" style="4" bestFit="1" customWidth="1"/>
    <col min="165" max="167" width="10.53125" style="4" customWidth="1"/>
    <col min="168" max="168" width="9" style="4" bestFit="1" customWidth="1"/>
    <col min="169" max="169" width="10.53125" style="4" bestFit="1" customWidth="1"/>
    <col min="170" max="170" width="9.265625" style="4" bestFit="1" customWidth="1"/>
    <col min="171" max="171" width="11.73046875" style="4" bestFit="1" customWidth="1"/>
    <col min="172" max="172" width="8.19921875" style="4" bestFit="1" customWidth="1"/>
    <col min="173" max="173" width="9.46484375" style="4" bestFit="1" customWidth="1"/>
    <col min="174" max="174" width="9.73046875" style="4" bestFit="1" customWidth="1"/>
    <col min="175" max="175" width="11" style="4" bestFit="1" customWidth="1"/>
    <col min="176" max="176" width="9.46484375" style="4" bestFit="1" customWidth="1"/>
    <col min="177" max="178" width="9.46484375" style="4" customWidth="1"/>
    <col min="179" max="179" width="10.53125" style="4" bestFit="1" customWidth="1"/>
    <col min="180" max="181" width="14" style="4" bestFit="1" customWidth="1"/>
    <col min="182" max="182" width="10.53125" style="4" bestFit="1" customWidth="1"/>
    <col min="183" max="183" width="9.46484375" style="4" bestFit="1" customWidth="1"/>
    <col min="184" max="185" width="10.53125" style="4" bestFit="1" customWidth="1"/>
    <col min="186" max="188" width="10.53125" style="4" customWidth="1"/>
    <col min="189" max="189" width="9" style="4" bestFit="1" customWidth="1"/>
    <col min="190" max="190" width="10.53125" style="4" bestFit="1" customWidth="1"/>
    <col min="191" max="191" width="9.265625" style="4" bestFit="1" customWidth="1"/>
    <col min="192" max="192" width="11.46484375" style="4"/>
    <col min="193" max="193" width="8.46484375" style="4" bestFit="1" customWidth="1"/>
    <col min="194" max="194" width="9.46484375" style="4" bestFit="1" customWidth="1"/>
    <col min="195" max="195" width="9.73046875" style="4" bestFit="1" customWidth="1"/>
    <col min="196" max="196" width="11" style="4" bestFit="1" customWidth="1"/>
    <col min="197" max="197" width="9.46484375" style="4" bestFit="1" customWidth="1"/>
    <col min="198" max="199" width="9.46484375" style="4" customWidth="1"/>
    <col min="200" max="200" width="10.53125" style="4" bestFit="1" customWidth="1"/>
    <col min="201" max="201" width="14" style="4" customWidth="1"/>
    <col min="202" max="202" width="14.265625" style="4" customWidth="1"/>
    <col min="203" max="203" width="10.53125" style="4" bestFit="1" customWidth="1"/>
    <col min="204" max="204" width="9.46484375" style="4" bestFit="1" customWidth="1"/>
    <col min="205" max="206" width="10.53125" style="4" bestFit="1" customWidth="1"/>
    <col min="207" max="209" width="10.53125" style="4" customWidth="1"/>
    <col min="210" max="210" width="9" style="4" bestFit="1" customWidth="1"/>
    <col min="211" max="211" width="10.53125" style="4" bestFit="1" customWidth="1"/>
    <col min="212" max="212" width="9.265625" style="4" bestFit="1" customWidth="1"/>
    <col min="213" max="213" width="11.73046875" style="4" bestFit="1" customWidth="1"/>
    <col min="214" max="214" width="8.46484375" style="4" bestFit="1" customWidth="1"/>
    <col min="215" max="215" width="9.46484375" style="4" bestFit="1" customWidth="1"/>
    <col min="216" max="216" width="9.73046875" style="4" bestFit="1" customWidth="1"/>
    <col min="217" max="217" width="11" style="4" bestFit="1" customWidth="1"/>
    <col min="218" max="218" width="9.46484375" style="4" bestFit="1" customWidth="1"/>
    <col min="219" max="16384" width="11.46484375" style="4"/>
  </cols>
  <sheetData>
    <row r="1" spans="1:218" ht="25.9" thickBot="1" x14ac:dyDescent="0.8">
      <c r="B1" s="281" t="s">
        <v>176</v>
      </c>
      <c r="C1" s="282"/>
      <c r="D1" s="282"/>
      <c r="E1" s="282"/>
      <c r="F1" s="282"/>
      <c r="G1" s="282"/>
      <c r="H1" s="283"/>
      <c r="I1" s="278" t="str">
        <f>IF('Données projet'!$B$9="","",'Données projet'!$B$9)</f>
        <v>Douglas</v>
      </c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  <c r="W1" s="279"/>
      <c r="X1" s="279"/>
      <c r="Y1" s="279"/>
      <c r="Z1" s="279"/>
      <c r="AA1" s="279"/>
      <c r="AB1" s="279"/>
      <c r="AC1" s="280"/>
      <c r="AD1" s="279" t="str">
        <f>IF('Données projet'!$B$10="","",'Données projet'!$B$10)</f>
        <v>Pin maritime</v>
      </c>
      <c r="AE1" s="279"/>
      <c r="AF1" s="279"/>
      <c r="AG1" s="279"/>
      <c r="AH1" s="279"/>
      <c r="AI1" s="279"/>
      <c r="AJ1" s="279"/>
      <c r="AK1" s="279"/>
      <c r="AL1" s="279"/>
      <c r="AM1" s="279"/>
      <c r="AN1" s="279"/>
      <c r="AO1" s="279"/>
      <c r="AP1" s="279"/>
      <c r="AQ1" s="279"/>
      <c r="AR1" s="279"/>
      <c r="AS1" s="279"/>
      <c r="AT1" s="279"/>
      <c r="AU1" s="279"/>
      <c r="AV1" s="279"/>
      <c r="AW1" s="279"/>
      <c r="AX1" s="280"/>
      <c r="AY1" s="278" t="str">
        <f>IF('Données projet'!$B$11="","",'Données projet'!$B$11)</f>
        <v>Chêne sessile</v>
      </c>
      <c r="AZ1" s="279"/>
      <c r="BA1" s="279"/>
      <c r="BB1" s="279"/>
      <c r="BC1" s="279"/>
      <c r="BD1" s="279"/>
      <c r="BE1" s="279"/>
      <c r="BF1" s="279"/>
      <c r="BG1" s="279"/>
      <c r="BH1" s="279"/>
      <c r="BI1" s="279"/>
      <c r="BJ1" s="279"/>
      <c r="BK1" s="279"/>
      <c r="BL1" s="279"/>
      <c r="BM1" s="279"/>
      <c r="BN1" s="279"/>
      <c r="BO1" s="279"/>
      <c r="BP1" s="279"/>
      <c r="BQ1" s="279"/>
      <c r="BR1" s="279"/>
      <c r="BS1" s="280"/>
      <c r="BT1" s="278" t="str">
        <f>IF('Données projet'!$B$12="","",'Données projet'!$B$12)</f>
        <v>Alisier torminal</v>
      </c>
      <c r="BU1" s="279"/>
      <c r="BV1" s="279"/>
      <c r="BW1" s="279"/>
      <c r="BX1" s="279"/>
      <c r="BY1" s="279"/>
      <c r="BZ1" s="279"/>
      <c r="CA1" s="279"/>
      <c r="CB1" s="279"/>
      <c r="CC1" s="279"/>
      <c r="CD1" s="279"/>
      <c r="CE1" s="279"/>
      <c r="CF1" s="279"/>
      <c r="CG1" s="279"/>
      <c r="CH1" s="279"/>
      <c r="CI1" s="279"/>
      <c r="CJ1" s="279"/>
      <c r="CK1" s="279"/>
      <c r="CL1" s="279"/>
      <c r="CM1" s="279"/>
      <c r="CN1" s="280"/>
      <c r="CO1" s="278" t="str">
        <f>IF('Données projet'!$B$13="","",'Données projet'!$B$13)</f>
        <v>Merisier</v>
      </c>
      <c r="CP1" s="279"/>
      <c r="CQ1" s="279"/>
      <c r="CR1" s="279"/>
      <c r="CS1" s="279"/>
      <c r="CT1" s="279"/>
      <c r="CU1" s="279"/>
      <c r="CV1" s="279"/>
      <c r="CW1" s="279"/>
      <c r="CX1" s="279"/>
      <c r="CY1" s="279"/>
      <c r="CZ1" s="279"/>
      <c r="DA1" s="279"/>
      <c r="DB1" s="279"/>
      <c r="DC1" s="279"/>
      <c r="DD1" s="279"/>
      <c r="DE1" s="279"/>
      <c r="DF1" s="279"/>
      <c r="DG1" s="279"/>
      <c r="DH1" s="279"/>
      <c r="DI1" s="280"/>
      <c r="DJ1" s="278" t="str">
        <f>IF('Données projet'!$B$14="","",'Données projet'!$B$14)</f>
        <v/>
      </c>
      <c r="DK1" s="279"/>
      <c r="DL1" s="279"/>
      <c r="DM1" s="279"/>
      <c r="DN1" s="279"/>
      <c r="DO1" s="279"/>
      <c r="DP1" s="279"/>
      <c r="DQ1" s="279"/>
      <c r="DR1" s="279"/>
      <c r="DS1" s="279"/>
      <c r="DT1" s="279"/>
      <c r="DU1" s="279"/>
      <c r="DV1" s="279"/>
      <c r="DW1" s="279"/>
      <c r="DX1" s="279"/>
      <c r="DY1" s="279"/>
      <c r="DZ1" s="279"/>
      <c r="EA1" s="279"/>
      <c r="EB1" s="279"/>
      <c r="EC1" s="279"/>
      <c r="ED1" s="280"/>
      <c r="EE1" s="278" t="str">
        <f>IF('Données projet'!$B$15="","",'Données projet'!$B$15)</f>
        <v/>
      </c>
      <c r="EF1" s="279"/>
      <c r="EG1" s="279"/>
      <c r="EH1" s="279"/>
      <c r="EI1" s="279"/>
      <c r="EJ1" s="279"/>
      <c r="EK1" s="279"/>
      <c r="EL1" s="279"/>
      <c r="EM1" s="279"/>
      <c r="EN1" s="279"/>
      <c r="EO1" s="279"/>
      <c r="EP1" s="279"/>
      <c r="EQ1" s="279"/>
      <c r="ER1" s="279"/>
      <c r="ES1" s="279"/>
      <c r="ET1" s="279"/>
      <c r="EU1" s="279"/>
      <c r="EV1" s="279"/>
      <c r="EW1" s="279"/>
      <c r="EX1" s="279"/>
      <c r="EY1" s="280"/>
      <c r="EZ1" s="278" t="str">
        <f>IF('Données projet'!$B$16="","",'Données projet'!$B$16)</f>
        <v/>
      </c>
      <c r="FA1" s="279"/>
      <c r="FB1" s="279"/>
      <c r="FC1" s="279"/>
      <c r="FD1" s="279"/>
      <c r="FE1" s="279"/>
      <c r="FF1" s="279"/>
      <c r="FG1" s="279"/>
      <c r="FH1" s="279"/>
      <c r="FI1" s="279"/>
      <c r="FJ1" s="279"/>
      <c r="FK1" s="279"/>
      <c r="FL1" s="279"/>
      <c r="FM1" s="279"/>
      <c r="FN1" s="279"/>
      <c r="FO1" s="279"/>
      <c r="FP1" s="279"/>
      <c r="FQ1" s="279"/>
      <c r="FR1" s="279"/>
      <c r="FS1" s="279"/>
      <c r="FT1" s="280"/>
      <c r="FU1" s="278" t="str">
        <f>IF('Données projet'!$B$17="","",'Données projet'!$B$17)</f>
        <v/>
      </c>
      <c r="FV1" s="279"/>
      <c r="FW1" s="279"/>
      <c r="FX1" s="279"/>
      <c r="FY1" s="279"/>
      <c r="FZ1" s="279"/>
      <c r="GA1" s="279"/>
      <c r="GB1" s="279"/>
      <c r="GC1" s="279"/>
      <c r="GD1" s="279"/>
      <c r="GE1" s="279"/>
      <c r="GF1" s="279"/>
      <c r="GG1" s="279"/>
      <c r="GH1" s="279"/>
      <c r="GI1" s="279"/>
      <c r="GJ1" s="279"/>
      <c r="GK1" s="279"/>
      <c r="GL1" s="279"/>
      <c r="GM1" s="279"/>
      <c r="GN1" s="279"/>
      <c r="GO1" s="280"/>
      <c r="GP1" s="278" t="str">
        <f>IF('Données projet'!$B$18="","",'Données projet'!$B$18)</f>
        <v/>
      </c>
      <c r="GQ1" s="279"/>
      <c r="GR1" s="279"/>
      <c r="GS1" s="279"/>
      <c r="GT1" s="279"/>
      <c r="GU1" s="279"/>
      <c r="GV1" s="279"/>
      <c r="GW1" s="279"/>
      <c r="GX1" s="279"/>
      <c r="GY1" s="279"/>
      <c r="GZ1" s="279"/>
      <c r="HA1" s="279"/>
      <c r="HB1" s="279"/>
      <c r="HC1" s="279"/>
      <c r="HD1" s="279"/>
      <c r="HE1" s="279"/>
      <c r="HF1" s="279"/>
      <c r="HG1" s="279"/>
      <c r="HH1" s="279"/>
      <c r="HI1" s="279"/>
      <c r="HJ1" s="280"/>
    </row>
    <row r="2" spans="1:218" ht="57.4" thickBot="1" x14ac:dyDescent="0.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4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324.69474275039357</v>
      </c>
      <c r="T3" s="59">
        <f>IF('Données projet'!E9&gt;30,$R$33-$H$33,LOOKUP('Données projet'!$E$9,$A$3:$A$203,R3:R203)-LOOKUP('Données projet'!$E$9,$A$3:$A$203,$H$3:$H$203))</f>
        <v>437.68177084535927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214.93913810439858</v>
      </c>
      <c r="AO3" s="59">
        <f>IF('Données projet'!E10&gt;30,$AM$33-$H$33,LOOKUP('Données projet'!$E$10,$A$3:$A$203,AM3:AM203)-LOOKUP('Données projet'!$E$10,$A$3:$A$203,$H$3:$H$203))</f>
        <v>210.65603079265924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507.69556381324213</v>
      </c>
      <c r="BJ3" s="59">
        <f>IF('Données projet'!E11&gt;30,$BH$33-$H$33,LOOKUP('Données projet'!$E$11,$A$3:$A$203,BH3:BH203)-LOOKUP('Données projet'!$E$11,$A$3:$A$203,$H$3:$H$203))</f>
        <v>129.52638237044044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292.52253679467469</v>
      </c>
      <c r="CE3" s="59">
        <f>IF('Données projet'!E12&gt;30,$CC$33-$H$33,LOOKUP('Données projet'!$E$12,$A$3:$A$203,CC3:CC203)-LOOKUP('Données projet'!$E$12,$A$3:$A$203,$H$3:$H$203))</f>
        <v>155.7114133976541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100.54865094989304</v>
      </c>
      <c r="CZ3" s="59">
        <f>IF('Données projet'!E13&gt;30,$CX$33-$H$33,LOOKUP('Données projet'!$E$13,$A$3:$A$203,CX3:CX203)-LOOKUP('Données projet'!$E$13,$A$3:$A$203,$H$3:$H$203))</f>
        <v>99.95654161405389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4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0.87360000000000015</v>
      </c>
      <c r="D4" s="11">
        <f>IFERROR(EXP(-1.0587+0.8836*LN(C4)+0.284),0)</f>
        <v>0.40897418972440713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9.9005726926094599</v>
      </c>
      <c r="H4" s="67">
        <f t="shared" ref="H4:H67" si="1">(B4+E4+F4)*44/12+(C4+D4)*0.475*44/12</f>
        <v>295.56715004710333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11.245555555555555</v>
      </c>
      <c r="N4" s="13">
        <f>IF('Données projet'!$A$36&gt;35,N3+M4-V3,IF(A4&lt;'Données projet'!$A$36,$K$205^A4,IF(A4='Données projet'!$A$36,'Données projet'!$B$36,N3+M4-V3)))</f>
        <v>1.3431520832915915</v>
      </c>
      <c r="O4" s="13">
        <f>N4*VLOOKUP('Données projet'!$B$9,Paramètres!$A$1:$I$89,3,0)*VLOOKUP('Données projet'!$B$9,Paramètres!$A$1:$I$89,5,0)</f>
        <v>0.75082201455999975</v>
      </c>
      <c r="P4" s="13">
        <f>EXP(-1.0587+0.8836*LN(O4)+0.284)</f>
        <v>0.35774745774889671</v>
      </c>
      <c r="Q4" s="20">
        <f t="shared" ref="Q4:Q34" si="2">(O4+P4)*0.475*44/12</f>
        <v>1.9307584976046614</v>
      </c>
      <c r="R4" s="59">
        <f t="shared" si="0"/>
        <v>295.26409183093796</v>
      </c>
      <c r="S4" s="59">
        <f ca="1">AVERAGE(OFFSET($R$3,0,0,'Données projet'!$E$9+1,1))-AVERAGE(OFFSET($H$3,0,0,'Données projet'!$E$9+1,1))</f>
        <v>324.69474275039357</v>
      </c>
      <c r="T4" s="59">
        <f>$T$3</f>
        <v>437.68177084535927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7.2723529411764707</v>
      </c>
      <c r="AI4" s="13">
        <f>IF('Données projet'!$A$62&gt;35,AI3+AH4-AQ3,IF(A4&lt;'Données projet'!$A$62,$AF$205^A4,IF(A4='Données projet'!$A$62,'Données projet'!$B$62,AI3+AH4-AQ3)))</f>
        <v>1.3275965341357465</v>
      </c>
      <c r="AJ4" s="13">
        <f>AI4*VLOOKUP('Données projet'!$B$10,Paramètres!$A$1:$I$89,3,0)*VLOOKUP('Données projet'!$B$10,Paramètres!$A$1:$I$89,5,0)</f>
        <v>0.79390272741317647</v>
      </c>
      <c r="AK4" s="13">
        <f>EXP(-1.0587+0.8836*LN(AJ4)+0.284)</f>
        <v>0.37582567469791356</v>
      </c>
      <c r="AL4" s="20">
        <f t="shared" ref="AL4:AL67" si="4">(AJ4+AK4)*0.475*44/12</f>
        <v>2.0372769670101483</v>
      </c>
      <c r="AM4" s="59">
        <f t="shared" ref="AM4:AM67" si="5">AL4+(AD4+AE4)*44/12</f>
        <v>295.37061030034346</v>
      </c>
      <c r="AN4" s="59">
        <f ca="1">AVERAGE(OFFSET($AM$3,0,0,'Données projet'!$E$10+1,1))-AVERAGE(OFFSET($H$3,0,0,'Données projet'!$E$10+1,1))</f>
        <v>214.93913810439858</v>
      </c>
      <c r="AO4" s="59">
        <f>$AO$3</f>
        <v>210.65603079265924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5.0894117647058819</v>
      </c>
      <c r="BD4" s="12">
        <f>IF('Données projet'!$A$88&gt;35,BD3+BC4-BL3,IF(A4&lt;'Données projet'!$A$88,$BA$205^A4,IF(A4='Données projet'!$A$88,'Données projet'!$B$88,BD3+BC4-BL3)))</f>
        <v>1.1636646418946561</v>
      </c>
      <c r="BE4" s="13">
        <f>BD4*VLOOKUP('Données projet'!$B$11,Paramètres!$A$1:$I$89,3,0)*VLOOKUP('Données projet'!$B$11,Paramètres!$A$1:$I$89,5,0)</f>
        <v>1.0528837679862848</v>
      </c>
      <c r="BF4" s="13">
        <f>EXP(-1.0587+0.8836*LN(BE4)+0.284)</f>
        <v>0.48231127341028485</v>
      </c>
      <c r="BG4" s="20">
        <f t="shared" ref="BG4:BG67" si="7">(BE4+BF4)*0.475*44/12</f>
        <v>2.6737980304323585</v>
      </c>
      <c r="BH4" s="59">
        <f t="shared" ref="BH4:BH67" si="8">BG4+(AY4+AZ4)*44/12</f>
        <v>296.00713136376567</v>
      </c>
      <c r="BI4" s="59">
        <f ca="1">AVERAGE(OFFSET($BH$3,0,0,'Données projet'!$E$11+1,1))-AVERAGE(OFFSET($H$3,0,0,'Données projet'!$E$11+1,1))</f>
        <v>507.69556381324213</v>
      </c>
      <c r="BJ4" s="59">
        <f>$BJ$3</f>
        <v>129.52638237044044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3.3603333333333336</v>
      </c>
      <c r="BY4" s="12">
        <f>IF('Données projet'!$A$114&gt;35,BY3+BX4-CG3,IF(A4&lt;'Données projet'!$A$114,$BV$205^A4,IF(A4='Données projet'!$A$114,'Données projet'!$B$114,BY3+BX4-CG3)))</f>
        <v>3.3603333333333336</v>
      </c>
      <c r="BZ4" s="13">
        <f>BY4*VLOOKUP('Données projet'!$B$12,Paramètres!$A$1:$I$89,3,0)*VLOOKUP('Données projet'!$B$12,Paramètres!$A$1:$I$89,5,0)</f>
        <v>3.2501144000000002</v>
      </c>
      <c r="CA4" s="13">
        <f>EXP(-1.0587+0.8836*LN(BZ4)+0.284)</f>
        <v>1.3057670644435437</v>
      </c>
      <c r="CB4" s="20">
        <f t="shared" ref="CB4:CB67" si="10">(BZ4+CA4)*0.475*44/12</f>
        <v>7.9348268839058393</v>
      </c>
      <c r="CC4" s="59">
        <f t="shared" ref="CC4:CC67" si="11">CB4+(BT4+BU4)*44/12</f>
        <v>301.26816021723914</v>
      </c>
      <c r="CD4" s="59">
        <f ca="1">AVERAGE(OFFSET($CC$3,0,0,'Données projet'!$E$12+1,1))-AVERAGE(OFFSET($H$3,0,0,'Données projet'!$E$12+1,1))</f>
        <v>292.52253679467469</v>
      </c>
      <c r="CE4" s="59">
        <f>$CE$3</f>
        <v>155.7114133976541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1.7094017094017093</v>
      </c>
      <c r="CT4" s="12">
        <f>IF('Données projet'!$A$140&gt;35,CT3+CS4-DB3,IF(A4&lt;'Données projet'!$A$140,$CQ$205^A4,IF(A4='Données projet'!$A$140,'Données projet'!$B$140,CT3+CS4-DB3)))</f>
        <v>1.2414494093563335</v>
      </c>
      <c r="CU4" s="17">
        <f>CT4*VLOOKUP('Données projet'!$B$13,Paramètres!$A$1:$I$89,3,0)*VLOOKUP('Données projet'!$B$13,Paramètres!$A$1:$I$89,5,0)</f>
        <v>0.96833053929794022</v>
      </c>
      <c r="CV4" s="13">
        <f>EXP(-1.0587+0.8836*LN(CU4)+0.284)</f>
        <v>0.44792215440986066</v>
      </c>
      <c r="CW4" s="20">
        <f t="shared" ref="CW4:CW67" si="13">(CU4+CV4)*0.475*44/12</f>
        <v>2.4666401082077529</v>
      </c>
      <c r="CX4" s="59">
        <f t="shared" ref="CX4:CX67" si="14">CW4+(CO4+CP4)*44/12</f>
        <v>295.79997344154106</v>
      </c>
      <c r="CY4" s="59">
        <f ca="1">AVERAGE(OFFSET($CX$3,0,0,'Données projet'!$E$13+1,1))-AVERAGE(OFFSET($H$3,0,0,'Données projet'!$E$13+1,1))</f>
        <v>100.54865094989304</v>
      </c>
      <c r="CZ4" s="59">
        <f>$CZ$3</f>
        <v>99.95654161405389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4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1.7472000000000003</v>
      </c>
      <c r="D5" s="11">
        <f t="shared" ref="D5:D68" si="32">IFERROR(EXP(-1.0587+0.8836*LN(C5)+0.284),0)</f>
        <v>0.75454649280048791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19.311727312845875</v>
      </c>
      <c r="H5" s="67">
        <f t="shared" si="1"/>
        <v>297.69054180829414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11.245555555555555</v>
      </c>
      <c r="N5" s="13">
        <f>IF('Données projet'!$A$36&gt;35,N4+M5-V4,IF(A5&lt;'Données projet'!$A$36,$K$205^A5,IF(A5='Données projet'!$A$36,'Données projet'!$B$36,N4+M5-V4)))</f>
        <v>1.8040575188505423</v>
      </c>
      <c r="O5" s="13">
        <f>N5*VLOOKUP('Données projet'!$B$9,Paramètres!$A$1:$I$89,3,0)*VLOOKUP('Données projet'!$B$9,Paramètres!$A$1:$I$89,5,0)</f>
        <v>1.0084681530374533</v>
      </c>
      <c r="P5" s="13">
        <f t="shared" ref="P5:P68" si="33">EXP(-1.0587+0.8836*LN(O5)+0.284)</f>
        <v>0.4642885506881258</v>
      </c>
      <c r="Q5" s="20">
        <f t="shared" si="2"/>
        <v>2.5650512589887167</v>
      </c>
      <c r="R5" s="59">
        <f t="shared" si="0"/>
        <v>295.89838459232203</v>
      </c>
      <c r="S5" s="59">
        <f ca="1">AVERAGE(OFFSET($R$3,0,0,'Données projet'!$E$9+1,1))-AVERAGE(OFFSET($H$3,0,0,'Données projet'!$E$9+1,1))</f>
        <v>324.69474275039357</v>
      </c>
      <c r="T5" s="59">
        <f t="shared" ref="T5:T68" si="34">$T$3</f>
        <v>437.68177084535927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7.2723529411764707</v>
      </c>
      <c r="AI5" s="13">
        <f>IF('Données projet'!$A$62&gt;35,AI4+AH5-AQ4,IF(A5&lt;'Données projet'!$A$62,$AF$205^A5,IF(A5='Données projet'!$A$62,'Données projet'!$B$62,AI4+AH5-AQ4)))</f>
        <v>1.7625125574492464</v>
      </c>
      <c r="AJ5" s="13">
        <f>AI5*VLOOKUP('Données projet'!$B$10,Paramètres!$A$1:$I$89,3,0)*VLOOKUP('Données projet'!$B$10,Paramètres!$A$1:$I$89,5,0)</f>
        <v>1.0539825093546495</v>
      </c>
      <c r="AK5" s="13">
        <f t="shared" ref="AK5:AK68" si="35">EXP(-1.0587+0.8836*LN(AJ5)+0.284)</f>
        <v>0.48275597819164817</v>
      </c>
      <c r="AL5" s="20">
        <f t="shared" si="4"/>
        <v>2.676486199143135</v>
      </c>
      <c r="AM5" s="59">
        <f t="shared" si="5"/>
        <v>296.00981953247646</v>
      </c>
      <c r="AN5" s="59">
        <f ca="1">AVERAGE(OFFSET($AM$3,0,0,'Données projet'!$E$10+1,1))-AVERAGE(OFFSET($H$3,0,0,'Données projet'!$E$10+1,1))</f>
        <v>214.93913810439858</v>
      </c>
      <c r="AO5" s="59">
        <f t="shared" ref="AO5:AO68" si="36">$AO$3</f>
        <v>210.65603079265924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5.0894117647058819</v>
      </c>
      <c r="BD5" s="12">
        <f>IF('Données projet'!$A$88&gt;35,BD4+BC5-BL4,IF(A5&lt;'Données projet'!$A$88,$BA$205^A5,IF(A5='Données projet'!$A$88,'Données projet'!$B$88,BD4+BC5-BL4)))</f>
        <v>1.3541153987958183</v>
      </c>
      <c r="BE5" s="13">
        <f>BD5*VLOOKUP('Données projet'!$B$11,Paramètres!$A$1:$I$89,3,0)*VLOOKUP('Données projet'!$B$11,Paramètres!$A$1:$I$89,5,0)</f>
        <v>1.2252036128304564</v>
      </c>
      <c r="BF5" s="13">
        <f t="shared" ref="BF5:BF68" si="37">EXP(-1.0587+0.8836*LN(BE5)+0.284)</f>
        <v>0.55143317604780007</v>
      </c>
      <c r="BG5" s="20">
        <f t="shared" si="7"/>
        <v>3.0943090739629628</v>
      </c>
      <c r="BH5" s="59">
        <f t="shared" si="8"/>
        <v>296.42764240729628</v>
      </c>
      <c r="BI5" s="59">
        <f ca="1">AVERAGE(OFFSET($BH$3,0,0,'Données projet'!$E$11+1,1))-AVERAGE(OFFSET($H$3,0,0,'Données projet'!$E$11+1,1))</f>
        <v>507.69556381324213</v>
      </c>
      <c r="BJ5" s="59">
        <f t="shared" ref="BJ5:BJ68" si="38">$BJ$3</f>
        <v>129.52638237044044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3.3603333333333336</v>
      </c>
      <c r="BY5" s="12">
        <f>IF('Données projet'!$A$114&gt;35,BY4+BX5-CG4,IF(A5&lt;'Données projet'!$A$114,$BV$205^A5,IF(A5='Données projet'!$A$114,'Données projet'!$B$114,BY4+BX5-CG4)))</f>
        <v>6.7206666666666672</v>
      </c>
      <c r="BZ5" s="13">
        <f>BY5*VLOOKUP('Données projet'!$B$12,Paramètres!$A$1:$I$89,3,0)*VLOOKUP('Données projet'!$B$12,Paramètres!$A$1:$I$89,5,0)</f>
        <v>6.5002288000000004</v>
      </c>
      <c r="CA5" s="13">
        <f t="shared" ref="CA5:CA68" si="39">EXP(-1.0587+0.8836*LN(BZ5)+0.284)</f>
        <v>2.4091054732676334</v>
      </c>
      <c r="CB5" s="20">
        <f t="shared" si="10"/>
        <v>15.517090525941128</v>
      </c>
      <c r="CC5" s="59">
        <f t="shared" si="11"/>
        <v>308.85042385927443</v>
      </c>
      <c r="CD5" s="59">
        <f ca="1">AVERAGE(OFFSET($CC$3,0,0,'Données projet'!$E$12+1,1))-AVERAGE(OFFSET($H$3,0,0,'Données projet'!$E$12+1,1))</f>
        <v>292.52253679467469</v>
      </c>
      <c r="CE5" s="59">
        <f t="shared" ref="CE5:CE68" si="40">$CE$3</f>
        <v>155.7114133976541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1.7094017094017093</v>
      </c>
      <c r="CT5" s="12">
        <f>IF('Données projet'!$A$140&gt;35,CT4+CS5-DB4,IF(A5&lt;'Données projet'!$A$140,$CQ$205^A5,IF(A5='Données projet'!$A$140,'Données projet'!$B$140,CT4+CS5-DB4)))</f>
        <v>1.5411966359911893</v>
      </c>
      <c r="CU5" s="17">
        <f>CT5*VLOOKUP('Données projet'!$B$13,Paramètres!$A$1:$I$89,3,0)*VLOOKUP('Données projet'!$B$13,Paramètres!$A$1:$I$89,5,0)</f>
        <v>1.2021333760731276</v>
      </c>
      <c r="CV5" s="13">
        <f t="shared" ref="CV5:CV68" si="41">EXP(-1.0587+0.8836*LN(CU5)+0.284)</f>
        <v>0.54224833966781483</v>
      </c>
      <c r="CW5" s="20">
        <f t="shared" si="13"/>
        <v>3.038131488248808</v>
      </c>
      <c r="CX5" s="59">
        <f t="shared" si="14"/>
        <v>296.37146482158209</v>
      </c>
      <c r="CY5" s="59">
        <f ca="1">AVERAGE(OFFSET($CX$3,0,0,'Données projet'!$E$13+1,1))-AVERAGE(OFFSET($H$3,0,0,'Données projet'!$E$13+1,1))</f>
        <v>100.54865094989304</v>
      </c>
      <c r="CZ5" s="59">
        <f t="shared" ref="CZ5:CZ68" si="42">$CZ$3</f>
        <v>99.95654161405389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4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2.6208000000000005</v>
      </c>
      <c r="D6" s="11">
        <f t="shared" si="32"/>
        <v>1.0796431690647796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28.564824462956199</v>
      </c>
      <c r="H6" s="67">
        <f t="shared" si="1"/>
        <v>299.77827185278778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11.245555555555555</v>
      </c>
      <c r="N6" s="13">
        <f>IF('Données projet'!$A$36&gt;35,N5+M6-V5,IF(A6&lt;'Données projet'!$A$36,$K$205^A6,IF(A6='Données projet'!$A$36,'Données projet'!$B$36,N5+M6-V5)))</f>
        <v>2.4231236148219657</v>
      </c>
      <c r="O6" s="13">
        <f>N6*VLOOKUP('Données projet'!$B$9,Paramètres!$A$1:$I$89,3,0)*VLOOKUP('Données projet'!$B$9,Paramètres!$A$1:$I$89,5,0)</f>
        <v>1.3545261006854787</v>
      </c>
      <c r="P6" s="13">
        <f t="shared" si="33"/>
        <v>0.60255874257360831</v>
      </c>
      <c r="Q6" s="20">
        <f t="shared" si="2"/>
        <v>3.4085894353429098</v>
      </c>
      <c r="R6" s="59">
        <f t="shared" si="0"/>
        <v>296.7419227686762</v>
      </c>
      <c r="S6" s="59">
        <f ca="1">AVERAGE(OFFSET($R$3,0,0,'Données projet'!$E$9+1,1))-AVERAGE(OFFSET($H$3,0,0,'Données projet'!$E$9+1,1))</f>
        <v>324.69474275039357</v>
      </c>
      <c r="T6" s="59">
        <f t="shared" si="34"/>
        <v>437.68177084535927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7.2723529411764707</v>
      </c>
      <c r="AI6" s="13">
        <f>IF('Données projet'!$A$62&gt;35,AI5+AH6-AQ5,IF(A6&lt;'Données projet'!$A$62,$AF$205^A6,IF(A6='Données projet'!$A$62,'Données projet'!$B$62,AI5+AH6-AQ5)))</f>
        <v>2.3399055626403502</v>
      </c>
      <c r="AJ6" s="13">
        <f>AI6*VLOOKUP('Données projet'!$B$10,Paramètres!$A$1:$I$89,3,0)*VLOOKUP('Données projet'!$B$10,Paramètres!$A$1:$I$89,5,0)</f>
        <v>1.3992635264589295</v>
      </c>
      <c r="AK6" s="13">
        <f t="shared" si="35"/>
        <v>0.62011020047287035</v>
      </c>
      <c r="AL6" s="20">
        <f t="shared" si="4"/>
        <v>3.5170759077395513</v>
      </c>
      <c r="AM6" s="59">
        <f t="shared" si="5"/>
        <v>296.85040924107284</v>
      </c>
      <c r="AN6" s="59">
        <f ca="1">AVERAGE(OFFSET($AM$3,0,0,'Données projet'!$E$10+1,1))-AVERAGE(OFFSET($H$3,0,0,'Données projet'!$E$10+1,1))</f>
        <v>214.93913810439858</v>
      </c>
      <c r="AO6" s="59">
        <f t="shared" si="36"/>
        <v>210.65603079265924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5.0894117647058819</v>
      </c>
      <c r="BD6" s="12">
        <f>IF('Données projet'!$A$88&gt;35,BD5+BC6-BL5,IF(A6&lt;'Données projet'!$A$88,$BA$205^A6,IF(A6='Données projet'!$A$88,'Données projet'!$B$88,BD5+BC6-BL5)))</f>
        <v>1.5757362106237753</v>
      </c>
      <c r="BE6" s="13">
        <f>BD6*VLOOKUP('Données projet'!$B$11,Paramètres!$A$1:$I$89,3,0)*VLOOKUP('Données projet'!$B$11,Paramètres!$A$1:$I$89,5,0)</f>
        <v>1.4257261233723919</v>
      </c>
      <c r="BF6" s="13">
        <f t="shared" si="37"/>
        <v>0.63046120712898079</v>
      </c>
      <c r="BG6" s="20">
        <f t="shared" si="7"/>
        <v>3.5811929339565567</v>
      </c>
      <c r="BH6" s="59">
        <f t="shared" si="8"/>
        <v>296.91452626728989</v>
      </c>
      <c r="BI6" s="59">
        <f ca="1">AVERAGE(OFFSET($BH$3,0,0,'Données projet'!$E$11+1,1))-AVERAGE(OFFSET($H$3,0,0,'Données projet'!$E$11+1,1))</f>
        <v>507.69556381324213</v>
      </c>
      <c r="BJ6" s="59">
        <f t="shared" si="38"/>
        <v>129.52638237044044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3.3603333333333336</v>
      </c>
      <c r="BY6" s="12">
        <f>IF('Données projet'!$A$114&gt;35,BY5+BX6-CG5,IF(A6&lt;'Données projet'!$A$114,$BV$205^A6,IF(A6='Données projet'!$A$114,'Données projet'!$B$114,BY5+BX6-CG5)))</f>
        <v>10.081000000000001</v>
      </c>
      <c r="BZ6" s="13">
        <f>BY6*VLOOKUP('Données projet'!$B$12,Paramètres!$A$1:$I$89,3,0)*VLOOKUP('Données projet'!$B$12,Paramètres!$A$1:$I$89,5,0)</f>
        <v>9.7503432000000014</v>
      </c>
      <c r="CA6" s="13">
        <f t="shared" si="39"/>
        <v>3.447069587609501</v>
      </c>
      <c r="CB6" s="20">
        <f t="shared" si="10"/>
        <v>22.985493938419882</v>
      </c>
      <c r="CC6" s="59">
        <f t="shared" si="11"/>
        <v>316.31882727175321</v>
      </c>
      <c r="CD6" s="59">
        <f ca="1">AVERAGE(OFFSET($CC$3,0,0,'Données projet'!$E$12+1,1))-AVERAGE(OFFSET($H$3,0,0,'Données projet'!$E$12+1,1))</f>
        <v>292.52253679467469</v>
      </c>
      <c r="CE6" s="59">
        <f t="shared" si="40"/>
        <v>155.7114133976541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1.7094017094017093</v>
      </c>
      <c r="CT6" s="12">
        <f>IF('Données projet'!$A$140&gt;35,CT5+CS6-DB5,IF(A6&lt;'Données projet'!$A$140,$CQ$205^A6,IF(A6='Données projet'!$A$140,'Données projet'!$B$140,CT5+CS6-DB5)))</f>
        <v>1.9133176534532301</v>
      </c>
      <c r="CU6" s="17">
        <f>CT6*VLOOKUP('Données projet'!$B$13,Paramètres!$A$1:$I$89,3,0)*VLOOKUP('Données projet'!$B$13,Paramètres!$A$1:$I$89,5,0)</f>
        <v>1.4923877696935195</v>
      </c>
      <c r="CV6" s="13">
        <f t="shared" si="41"/>
        <v>0.65643830959844374</v>
      </c>
      <c r="CW6" s="20">
        <f t="shared" si="13"/>
        <v>3.7425387547668367</v>
      </c>
      <c r="CX6" s="59">
        <f t="shared" si="14"/>
        <v>297.07587208810014</v>
      </c>
      <c r="CY6" s="59">
        <f ca="1">AVERAGE(OFFSET($CX$3,0,0,'Données projet'!$E$13+1,1))-AVERAGE(OFFSET($H$3,0,0,'Données projet'!$E$13+1,1))</f>
        <v>100.54865094989304</v>
      </c>
      <c r="CZ6" s="59">
        <f t="shared" si="42"/>
        <v>99.95654161405389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4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3.4944000000000006</v>
      </c>
      <c r="D7" s="11">
        <f t="shared" si="32"/>
        <v>1.392118192547003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37.720491310889152</v>
      </c>
      <c r="H7" s="67">
        <f t="shared" si="1"/>
        <v>301.84401918535269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11.245555555555555</v>
      </c>
      <c r="N7" s="13">
        <f>IF('Données projet'!$A$36&gt;35,N6+M7-V6,IF(A7&lt;'Données projet'!$A$36,$K$205^A7,IF(A7='Données projet'!$A$36,'Données projet'!$B$36,N6+M7-V6)))</f>
        <v>3.2546235313211751</v>
      </c>
      <c r="O7" s="13">
        <f>N7*VLOOKUP('Données projet'!$B$9,Paramètres!$A$1:$I$89,3,0)*VLOOKUP('Données projet'!$B$9,Paramètres!$A$1:$I$89,5,0)</f>
        <v>1.8193345540085368</v>
      </c>
      <c r="P7" s="13">
        <f t="shared" si="33"/>
        <v>0.78200730496965443</v>
      </c>
      <c r="Q7" s="20">
        <f t="shared" si="2"/>
        <v>4.5306704043870161</v>
      </c>
      <c r="R7" s="59">
        <f t="shared" si="0"/>
        <v>297.86400373772034</v>
      </c>
      <c r="S7" s="59">
        <f ca="1">AVERAGE(OFFSET($R$3,0,0,'Données projet'!$E$9+1,1))-AVERAGE(OFFSET($H$3,0,0,'Données projet'!$E$9+1,1))</f>
        <v>324.69474275039357</v>
      </c>
      <c r="T7" s="59">
        <f t="shared" si="34"/>
        <v>437.68177084535927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7.2723529411764707</v>
      </c>
      <c r="AI7" s="13">
        <f>IF('Données projet'!$A$62&gt;35,AI6+AH7-AQ6,IF(A7&lt;'Données projet'!$A$62,$AF$205^A7,IF(A7='Données projet'!$A$62,'Données projet'!$B$62,AI6+AH7-AQ6)))</f>
        <v>3.1064505151662831</v>
      </c>
      <c r="AJ7" s="13">
        <f>AI7*VLOOKUP('Données projet'!$B$10,Paramètres!$A$1:$I$89,3,0)*VLOOKUP('Données projet'!$B$10,Paramètres!$A$1:$I$89,5,0)</f>
        <v>1.8576574080694375</v>
      </c>
      <c r="AK7" s="13">
        <f t="shared" si="35"/>
        <v>0.7965445858815392</v>
      </c>
      <c r="AL7" s="20">
        <f t="shared" si="4"/>
        <v>4.6227351394646172</v>
      </c>
      <c r="AM7" s="59">
        <f t="shared" si="5"/>
        <v>297.95606847279794</v>
      </c>
      <c r="AN7" s="59">
        <f ca="1">AVERAGE(OFFSET($AM$3,0,0,'Données projet'!$E$10+1,1))-AVERAGE(OFFSET($H$3,0,0,'Données projet'!$E$10+1,1))</f>
        <v>214.93913810439858</v>
      </c>
      <c r="AO7" s="59">
        <f t="shared" si="36"/>
        <v>210.65603079265924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5.0894117647058819</v>
      </c>
      <c r="BD7" s="12">
        <f>IF('Données projet'!$A$88&gt;35,BD6+BC7-BL6,IF(A7&lt;'Données projet'!$A$88,$BA$205^A7,IF(A7='Données projet'!$A$88,'Données projet'!$B$88,BD6+BC7-BL6)))</f>
        <v>1.833628513255958</v>
      </c>
      <c r="BE7" s="13">
        <f>BD7*VLOOKUP('Données projet'!$B$11,Paramètres!$A$1:$I$89,3,0)*VLOOKUP('Données projet'!$B$11,Paramètres!$A$1:$I$89,5,0)</f>
        <v>1.6590670787939907</v>
      </c>
      <c r="BF7" s="13">
        <f t="shared" si="37"/>
        <v>0.72081505241185662</v>
      </c>
      <c r="BG7" s="20">
        <f t="shared" si="7"/>
        <v>4.1449613785168511</v>
      </c>
      <c r="BH7" s="59">
        <f t="shared" si="8"/>
        <v>297.47829471185014</v>
      </c>
      <c r="BI7" s="59">
        <f ca="1">AVERAGE(OFFSET($BH$3,0,0,'Données projet'!$E$11+1,1))-AVERAGE(OFFSET($H$3,0,0,'Données projet'!$E$11+1,1))</f>
        <v>507.69556381324213</v>
      </c>
      <c r="BJ7" s="59">
        <f t="shared" si="38"/>
        <v>129.52638237044044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3.3603333333333336</v>
      </c>
      <c r="BY7" s="12">
        <f>IF('Données projet'!$A$114&gt;35,BY6+BX7-CG6,IF(A7&lt;'Données projet'!$A$114,$BV$205^A7,IF(A7='Données projet'!$A$114,'Données projet'!$B$114,BY6+BX7-CG6)))</f>
        <v>13.441333333333334</v>
      </c>
      <c r="BZ7" s="13">
        <f>BY7*VLOOKUP('Données projet'!$B$12,Paramètres!$A$1:$I$89,3,0)*VLOOKUP('Données projet'!$B$12,Paramètres!$A$1:$I$89,5,0)</f>
        <v>13.000457600000001</v>
      </c>
      <c r="CA7" s="13">
        <f t="shared" si="39"/>
        <v>4.4447354657404903</v>
      </c>
      <c r="CB7" s="20">
        <f t="shared" si="10"/>
        <v>30.383711256164688</v>
      </c>
      <c r="CC7" s="59">
        <f t="shared" si="11"/>
        <v>323.71704458949802</v>
      </c>
      <c r="CD7" s="59">
        <f ca="1">AVERAGE(OFFSET($CC$3,0,0,'Données projet'!$E$12+1,1))-AVERAGE(OFFSET($H$3,0,0,'Données projet'!$E$12+1,1))</f>
        <v>292.52253679467469</v>
      </c>
      <c r="CE7" s="59">
        <f t="shared" si="40"/>
        <v>155.7114133976541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1.7094017094017093</v>
      </c>
      <c r="CT7" s="12">
        <f>IF('Données projet'!$A$140&gt;35,CT6+CS7-DB6,IF(A7&lt;'Données projet'!$A$140,$CQ$205^A7,IF(A7='Données projet'!$A$140,'Données projet'!$B$140,CT6+CS7-DB6)))</f>
        <v>2.3752870707905585</v>
      </c>
      <c r="CU7" s="17">
        <f>CT7*VLOOKUP('Données projet'!$B$13,Paramètres!$A$1:$I$89,3,0)*VLOOKUP('Données projet'!$B$13,Paramètres!$A$1:$I$89,5,0)</f>
        <v>1.8527239152166357</v>
      </c>
      <c r="CV7" s="13">
        <f t="shared" si="41"/>
        <v>0.79467510139808173</v>
      </c>
      <c r="CW7" s="20">
        <f t="shared" si="13"/>
        <v>4.6108866206039663</v>
      </c>
      <c r="CX7" s="59">
        <f t="shared" si="14"/>
        <v>297.94421995393731</v>
      </c>
      <c r="CY7" s="59">
        <f ca="1">AVERAGE(OFFSET($CX$3,0,0,'Données projet'!$E$13+1,1))-AVERAGE(OFFSET($H$3,0,0,'Données projet'!$E$13+1,1))</f>
        <v>100.54865094989304</v>
      </c>
      <c r="CZ7" s="59">
        <f t="shared" si="42"/>
        <v>99.95654161405389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4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4.3680000000000003</v>
      </c>
      <c r="D8" s="11">
        <f t="shared" si="32"/>
        <v>1.6955312417477204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46.806206076649083</v>
      </c>
      <c r="H8" s="67">
        <f t="shared" si="1"/>
        <v>303.89398357937728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11.245555555555555</v>
      </c>
      <c r="N8" s="13">
        <f>IF('Données projet'!$A$36&gt;35,N7+M8-V7,IF(A8&lt;'Données projet'!$A$36,$K$205^A8,IF(A8='Données projet'!$A$36,'Données projet'!$B$36,N7+M8-V7)))</f>
        <v>4.3714543764238725</v>
      </c>
      <c r="O8" s="13">
        <f>N8*VLOOKUP('Données projet'!$B$9,Paramètres!$A$1:$I$89,3,0)*VLOOKUP('Données projet'!$B$9,Paramètres!$A$1:$I$89,5,0)</f>
        <v>2.443642996420945</v>
      </c>
      <c r="P8" s="13">
        <f t="shared" si="33"/>
        <v>1.0148976055246552</v>
      </c>
      <c r="Q8" s="20">
        <f t="shared" si="2"/>
        <v>6.0236248817219193</v>
      </c>
      <c r="R8" s="59">
        <f t="shared" si="0"/>
        <v>299.35695821505522</v>
      </c>
      <c r="S8" s="59">
        <f ca="1">AVERAGE(OFFSET($R$3,0,0,'Données projet'!$E$9+1,1))-AVERAGE(OFFSET($H$3,0,0,'Données projet'!$E$9+1,1))</f>
        <v>324.69474275039357</v>
      </c>
      <c r="T8" s="59">
        <f t="shared" si="34"/>
        <v>437.68177084535927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7.2723529411764707</v>
      </c>
      <c r="AI8" s="13">
        <f>IF('Données projet'!$A$62&gt;35,AI7+AH8-AQ7,IF(A8&lt;'Données projet'!$A$62,$AF$205^A8,IF(A8='Données projet'!$A$62,'Données projet'!$B$62,AI7+AH8-AQ7)))</f>
        <v>4.1241129373989613</v>
      </c>
      <c r="AJ8" s="13">
        <f>AI8*VLOOKUP('Données projet'!$B$10,Paramètres!$A$1:$I$89,3,0)*VLOOKUP('Données projet'!$B$10,Paramètres!$A$1:$I$89,5,0)</f>
        <v>2.4662195365645792</v>
      </c>
      <c r="AK8" s="13">
        <f t="shared" si="35"/>
        <v>1.0231782622078491</v>
      </c>
      <c r="AL8" s="20">
        <f t="shared" si="4"/>
        <v>6.0773678328619782</v>
      </c>
      <c r="AM8" s="59">
        <f t="shared" si="5"/>
        <v>299.41070116619528</v>
      </c>
      <c r="AN8" s="59">
        <f ca="1">AVERAGE(OFFSET($AM$3,0,0,'Données projet'!$E$10+1,1))-AVERAGE(OFFSET($H$3,0,0,'Données projet'!$E$10+1,1))</f>
        <v>214.93913810439858</v>
      </c>
      <c r="AO8" s="59">
        <f t="shared" si="36"/>
        <v>210.65603079265924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5.0894117647058819</v>
      </c>
      <c r="BD8" s="12">
        <f>IF('Données projet'!$A$88&gt;35,BD7+BC8-BL7,IF(A8&lt;'Données projet'!$A$88,$BA$205^A8,IF(A8='Données projet'!$A$88,'Données projet'!$B$88,BD7+BC8-BL7)))</f>
        <v>2.1337286672458249</v>
      </c>
      <c r="BE8" s="13">
        <f>BD8*VLOOKUP('Données projet'!$B$11,Paramètres!$A$1:$I$89,3,0)*VLOOKUP('Données projet'!$B$11,Paramètres!$A$1:$I$89,5,0)</f>
        <v>1.9305976981240223</v>
      </c>
      <c r="BF8" s="13">
        <f t="shared" si="37"/>
        <v>0.82411785833670215</v>
      </c>
      <c r="BG8" s="20">
        <f t="shared" si="7"/>
        <v>4.7977962608357618</v>
      </c>
      <c r="BH8" s="59">
        <f t="shared" si="8"/>
        <v>298.13112959416907</v>
      </c>
      <c r="BI8" s="59">
        <f ca="1">AVERAGE(OFFSET($BH$3,0,0,'Données projet'!$E$11+1,1))-AVERAGE(OFFSET($H$3,0,0,'Données projet'!$E$11+1,1))</f>
        <v>507.69556381324213</v>
      </c>
      <c r="BJ8" s="59">
        <f t="shared" si="38"/>
        <v>129.52638237044044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3.3603333333333336</v>
      </c>
      <c r="BY8" s="12">
        <f>IF('Données projet'!$A$114&gt;35,BY7+BX8-CG7,IF(A8&lt;'Données projet'!$A$114,$BV$205^A8,IF(A8='Données projet'!$A$114,'Données projet'!$B$114,BY7+BX8-CG7)))</f>
        <v>16.801666666666669</v>
      </c>
      <c r="BZ8" s="13">
        <f>BY8*VLOOKUP('Données projet'!$B$12,Paramètres!$A$1:$I$89,3,0)*VLOOKUP('Données projet'!$B$12,Paramètres!$A$1:$I$89,5,0)</f>
        <v>16.250572000000002</v>
      </c>
      <c r="CA8" s="13">
        <f t="shared" si="39"/>
        <v>5.4134683993167183</v>
      </c>
      <c r="CB8" s="20">
        <f t="shared" si="10"/>
        <v>37.731537028809953</v>
      </c>
      <c r="CC8" s="59">
        <f t="shared" si="11"/>
        <v>331.06487036214327</v>
      </c>
      <c r="CD8" s="59">
        <f ca="1">AVERAGE(OFFSET($CC$3,0,0,'Données projet'!$E$12+1,1))-AVERAGE(OFFSET($H$3,0,0,'Données projet'!$E$12+1,1))</f>
        <v>292.52253679467469</v>
      </c>
      <c r="CE8" s="59">
        <f t="shared" si="40"/>
        <v>155.7114133976541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1.7094017094017093</v>
      </c>
      <c r="CT8" s="12">
        <f>IF('Données projet'!$A$140&gt;35,CT7+CS8-DB7,IF(A8&lt;'Données projet'!$A$140,$CQ$205^A8,IF(A8='Données projet'!$A$140,'Données projet'!$B$140,CT7+CS8-DB7)))</f>
        <v>2.9487987310846742</v>
      </c>
      <c r="CU8" s="17">
        <f>CT8*VLOOKUP('Données projet'!$B$13,Paramètres!$A$1:$I$89,3,0)*VLOOKUP('Données projet'!$B$13,Paramètres!$A$1:$I$89,5,0)</f>
        <v>2.300063010246046</v>
      </c>
      <c r="CV8" s="13">
        <f t="shared" si="41"/>
        <v>0.96202264180522579</v>
      </c>
      <c r="CW8" s="20">
        <f t="shared" si="13"/>
        <v>5.6814658439892973</v>
      </c>
      <c r="CX8" s="59">
        <f t="shared" si="14"/>
        <v>299.01479917732263</v>
      </c>
      <c r="CY8" s="59">
        <f ca="1">AVERAGE(OFFSET($CX$3,0,0,'Données projet'!$E$13+1,1))-AVERAGE(OFFSET($H$3,0,0,'Données projet'!$E$13+1,1))</f>
        <v>100.54865094989304</v>
      </c>
      <c r="CZ8" s="59">
        <f t="shared" si="42"/>
        <v>99.95654161405389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4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5.2416</v>
      </c>
      <c r="D9" s="11">
        <f t="shared" si="32"/>
        <v>1.9919129059043814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55.83764348417418</v>
      </c>
      <c r="H9" s="67">
        <f t="shared" si="1"/>
        <v>305.93170164445013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11.245555555555555</v>
      </c>
      <c r="N9" s="13">
        <f>IF('Données projet'!$A$36&gt;35,N8+M9-V8,IF(A9&lt;'Données projet'!$A$36,$K$205^A9,IF(A9='Données projet'!$A$36,'Données projet'!$B$36,N8+M9-V8)))</f>
        <v>5.8715280527078697</v>
      </c>
      <c r="O9" s="13">
        <f>N9*VLOOKUP('Données projet'!$B$9,Paramètres!$A$1:$I$89,3,0)*VLOOKUP('Données projet'!$B$9,Paramètres!$A$1:$I$89,5,0)</f>
        <v>3.2821841814636992</v>
      </c>
      <c r="P9" s="13">
        <f t="shared" si="33"/>
        <v>1.317145176463087</v>
      </c>
      <c r="Q9" s="20">
        <f t="shared" si="2"/>
        <v>8.010498631722486</v>
      </c>
      <c r="R9" s="59">
        <f t="shared" si="0"/>
        <v>301.34383196505581</v>
      </c>
      <c r="S9" s="59">
        <f ca="1">AVERAGE(OFFSET($R$3,0,0,'Données projet'!$E$9+1,1))-AVERAGE(OFFSET($H$3,0,0,'Données projet'!$E$9+1,1))</f>
        <v>324.69474275039357</v>
      </c>
      <c r="T9" s="59">
        <f t="shared" si="34"/>
        <v>437.68177084535927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7.2723529411764707</v>
      </c>
      <c r="AI9" s="13">
        <f>IF('Données projet'!$A$62&gt;35,AI8+AH9-AQ8,IF(A9&lt;'Données projet'!$A$62,$AF$205^A9,IF(A9='Données projet'!$A$62,'Données projet'!$B$62,AI8+AH9-AQ8)))</f>
        <v>5.4751580420752548</v>
      </c>
      <c r="AJ9" s="13">
        <f>AI9*VLOOKUP('Données projet'!$B$10,Paramètres!$A$1:$I$89,3,0)*VLOOKUP('Données projet'!$B$10,Paramètres!$A$1:$I$89,5,0)</f>
        <v>3.2741445091610024</v>
      </c>
      <c r="AK9" s="13">
        <f t="shared" si="35"/>
        <v>1.3142939827983047</v>
      </c>
      <c r="AL9" s="20">
        <f t="shared" si="4"/>
        <v>7.9915303734957925</v>
      </c>
      <c r="AM9" s="59">
        <f t="shared" si="5"/>
        <v>301.32486370682909</v>
      </c>
      <c r="AN9" s="59">
        <f ca="1">AVERAGE(OFFSET($AM$3,0,0,'Données projet'!$E$10+1,1))-AVERAGE(OFFSET($H$3,0,0,'Données projet'!$E$10+1,1))</f>
        <v>214.93913810439858</v>
      </c>
      <c r="AO9" s="59">
        <f t="shared" si="36"/>
        <v>210.65603079265924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5.0894117647058819</v>
      </c>
      <c r="BD9" s="12">
        <f>IF('Données projet'!$A$88&gt;35,BD8+BC9-BL8,IF(A9&lt;'Données projet'!$A$88,$BA$205^A9,IF(A9='Données projet'!$A$88,'Données projet'!$B$88,BD8+BC9-BL8)))</f>
        <v>2.482944605470975</v>
      </c>
      <c r="BE9" s="13">
        <f>BD9*VLOOKUP('Données projet'!$B$11,Paramètres!$A$1:$I$89,3,0)*VLOOKUP('Données projet'!$B$11,Paramètres!$A$1:$I$89,5,0)</f>
        <v>2.246568279030138</v>
      </c>
      <c r="BF9" s="13">
        <f t="shared" si="37"/>
        <v>0.94222539076696599</v>
      </c>
      <c r="BG9" s="20">
        <f t="shared" si="7"/>
        <v>5.5538156415632898</v>
      </c>
      <c r="BH9" s="59">
        <f t="shared" si="8"/>
        <v>298.8871489748966</v>
      </c>
      <c r="BI9" s="59">
        <f ca="1">AVERAGE(OFFSET($BH$3,0,0,'Données projet'!$E$11+1,1))-AVERAGE(OFFSET($H$3,0,0,'Données projet'!$E$11+1,1))</f>
        <v>507.69556381324213</v>
      </c>
      <c r="BJ9" s="59">
        <f t="shared" si="38"/>
        <v>129.52638237044044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3.3603333333333336</v>
      </c>
      <c r="BY9" s="12">
        <f>IF('Données projet'!$A$114&gt;35,BY8+BX9-CG8,IF(A9&lt;'Données projet'!$A$114,$BV$205^A9,IF(A9='Données projet'!$A$114,'Données projet'!$B$114,BY8+BX9-CG8)))</f>
        <v>20.162000000000003</v>
      </c>
      <c r="BZ9" s="13">
        <f>BY9*VLOOKUP('Données projet'!$B$12,Paramètres!$A$1:$I$89,3,0)*VLOOKUP('Données projet'!$B$12,Paramètres!$A$1:$I$89,5,0)</f>
        <v>19.500686400000003</v>
      </c>
      <c r="CA9" s="13">
        <f t="shared" si="39"/>
        <v>6.3597516252130122</v>
      </c>
      <c r="CB9" s="20">
        <f t="shared" si="10"/>
        <v>45.040262893912661</v>
      </c>
      <c r="CC9" s="59">
        <f t="shared" si="11"/>
        <v>338.37359622724597</v>
      </c>
      <c r="CD9" s="59">
        <f ca="1">AVERAGE(OFFSET($CC$3,0,0,'Données projet'!$E$12+1,1))-AVERAGE(OFFSET($H$3,0,0,'Données projet'!$E$12+1,1))</f>
        <v>292.52253679467469</v>
      </c>
      <c r="CE9" s="59">
        <f t="shared" si="40"/>
        <v>155.7114133976541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1.7094017094017093</v>
      </c>
      <c r="CT9" s="12">
        <f>IF('Données projet'!$A$140&gt;35,CT8+CS9-DB8,IF(A9&lt;'Données projet'!$A$140,$CQ$205^A9,IF(A9='Données projet'!$A$140,'Données projet'!$B$140,CT8+CS9-DB8)))</f>
        <v>3.6607844430157748</v>
      </c>
      <c r="CU9" s="17">
        <f>CT9*VLOOKUP('Données projet'!$B$13,Paramètres!$A$1:$I$89,3,0)*VLOOKUP('Données projet'!$B$13,Paramètres!$A$1:$I$89,5,0)</f>
        <v>2.8554118655523042</v>
      </c>
      <c r="CV9" s="13">
        <f t="shared" si="41"/>
        <v>1.1646112502048747</v>
      </c>
      <c r="CW9" s="20">
        <f t="shared" si="13"/>
        <v>7.0015402599437531</v>
      </c>
      <c r="CX9" s="59">
        <f t="shared" si="14"/>
        <v>300.33487359327705</v>
      </c>
      <c r="CY9" s="59">
        <f ca="1">AVERAGE(OFFSET($CX$3,0,0,'Données projet'!$E$13+1,1))-AVERAGE(OFFSET($H$3,0,0,'Données projet'!$E$13+1,1))</f>
        <v>100.54865094989304</v>
      </c>
      <c r="CZ9" s="59">
        <f t="shared" si="42"/>
        <v>99.95654161405389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4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6.1151999999999997</v>
      </c>
      <c r="D10" s="11">
        <f t="shared" si="32"/>
        <v>2.2825722273844922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64.824908421915381</v>
      </c>
      <c r="H10" s="67">
        <f t="shared" si="1"/>
        <v>307.95945329602796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11.245555555555555</v>
      </c>
      <c r="N10" s="13">
        <f>IF('Données projet'!$A$36&gt;35,N9+M10-V9,IF(A10&lt;'Données projet'!$A$36,$K$205^A10,IF(A10='Données projet'!$A$36,'Données projet'!$B$36,N9+M10-V9)))</f>
        <v>7.8863551360995965</v>
      </c>
      <c r="O10" s="13">
        <f>N10*VLOOKUP('Données projet'!$B$9,Paramètres!$A$1:$I$89,3,0)*VLOOKUP('Données projet'!$B$9,Paramètres!$A$1:$I$89,5,0)</f>
        <v>4.4084725210796742</v>
      </c>
      <c r="P10" s="13">
        <f t="shared" si="33"/>
        <v>1.7094053690107271</v>
      </c>
      <c r="Q10" s="20">
        <f t="shared" si="2"/>
        <v>10.655303991907449</v>
      </c>
      <c r="R10" s="59">
        <f t="shared" si="0"/>
        <v>303.98863732524075</v>
      </c>
      <c r="S10" s="59">
        <f ca="1">AVERAGE(OFFSET($R$3,0,0,'Données projet'!$E$9+1,1))-AVERAGE(OFFSET($H$3,0,0,'Données projet'!$E$9+1,1))</f>
        <v>324.69474275039357</v>
      </c>
      <c r="T10" s="59">
        <f t="shared" si="34"/>
        <v>437.68177084535927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7.2723529411764707</v>
      </c>
      <c r="AI10" s="13">
        <f>IF('Données projet'!$A$62&gt;35,AI9+AH10-AQ9,IF(A10&lt;'Données projet'!$A$62,$AF$205^A10,IF(A10='Données projet'!$A$62,'Données projet'!$B$62,AI9+AH10-AQ9)))</f>
        <v>7.2688008405045679</v>
      </c>
      <c r="AJ10" s="13">
        <f>AI10*VLOOKUP('Données projet'!$B$10,Paramètres!$A$1:$I$89,3,0)*VLOOKUP('Données projet'!$B$10,Paramètres!$A$1:$I$89,5,0)</f>
        <v>4.3467429026217319</v>
      </c>
      <c r="AK10" s="13">
        <f t="shared" si="35"/>
        <v>1.6882382445190491</v>
      </c>
      <c r="AL10" s="20">
        <f t="shared" si="4"/>
        <v>10.510925497936862</v>
      </c>
      <c r="AM10" s="59">
        <f t="shared" si="5"/>
        <v>303.84425883127017</v>
      </c>
      <c r="AN10" s="59">
        <f ca="1">AVERAGE(OFFSET($AM$3,0,0,'Données projet'!$E$10+1,1))-AVERAGE(OFFSET($H$3,0,0,'Données projet'!$E$10+1,1))</f>
        <v>214.93913810439858</v>
      </c>
      <c r="AO10" s="59">
        <f t="shared" si="36"/>
        <v>210.65603079265924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5.0894117647058819</v>
      </c>
      <c r="BD10" s="12">
        <f>IF('Données projet'!$A$88&gt;35,BD9+BC10-BL9,IF(A10&lt;'Données projet'!$A$88,$BA$205^A10,IF(A10='Données projet'!$A$88,'Données projet'!$B$88,BD9+BC10-BL9)))</f>
        <v>2.8893148451696504</v>
      </c>
      <c r="BE10" s="13">
        <f>BD10*VLOOKUP('Données projet'!$B$11,Paramètres!$A$1:$I$89,3,0)*VLOOKUP('Données projet'!$B$11,Paramètres!$A$1:$I$89,5,0)</f>
        <v>2.6142520719094997</v>
      </c>
      <c r="BF10" s="13">
        <f t="shared" si="37"/>
        <v>1.0772593725826609</v>
      </c>
      <c r="BG10" s="20">
        <f t="shared" si="7"/>
        <v>6.4293824324905131</v>
      </c>
      <c r="BH10" s="59">
        <f t="shared" si="8"/>
        <v>299.76271576582383</v>
      </c>
      <c r="BI10" s="59">
        <f ca="1">AVERAGE(OFFSET($BH$3,0,0,'Données projet'!$E$11+1,1))-AVERAGE(OFFSET($H$3,0,0,'Données projet'!$E$11+1,1))</f>
        <v>507.69556381324213</v>
      </c>
      <c r="BJ10" s="59">
        <f t="shared" si="38"/>
        <v>129.52638237044044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3.3603333333333336</v>
      </c>
      <c r="BY10" s="12">
        <f>IF('Données projet'!$A$114&gt;35,BY9+BX10-CG9,IF(A10&lt;'Données projet'!$A$114,$BV$205^A10,IF(A10='Données projet'!$A$114,'Données projet'!$B$114,BY9+BX10-CG9)))</f>
        <v>23.522333333333336</v>
      </c>
      <c r="BZ10" s="13">
        <f>BY10*VLOOKUP('Données projet'!$B$12,Paramètres!$A$1:$I$89,3,0)*VLOOKUP('Données projet'!$B$12,Paramètres!$A$1:$I$89,5,0)</f>
        <v>22.750800800000004</v>
      </c>
      <c r="CA10" s="13">
        <f t="shared" si="39"/>
        <v>7.2877646355645735</v>
      </c>
      <c r="CB10" s="20">
        <f t="shared" si="10"/>
        <v>52.317168133608305</v>
      </c>
      <c r="CC10" s="59">
        <f t="shared" si="11"/>
        <v>345.65050146694159</v>
      </c>
      <c r="CD10" s="59">
        <f ca="1">AVERAGE(OFFSET($CC$3,0,0,'Données projet'!$E$12+1,1))-AVERAGE(OFFSET($H$3,0,0,'Données projet'!$E$12+1,1))</f>
        <v>292.52253679467469</v>
      </c>
      <c r="CE10" s="59">
        <f t="shared" si="40"/>
        <v>155.7114133976541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1.7094017094017093</v>
      </c>
      <c r="CT10" s="12">
        <f>IF('Données projet'!$A$140&gt;35,CT9+CS10-DB9,IF(A10&lt;'Données projet'!$A$140,$CQ$205^A10,IF(A10='Données projet'!$A$140,'Données projet'!$B$140,CT9+CS10-DB9)))</f>
        <v>4.544678684562788</v>
      </c>
      <c r="CU10" s="17">
        <f>CT10*VLOOKUP('Données projet'!$B$13,Paramètres!$A$1:$I$89,3,0)*VLOOKUP('Données projet'!$B$13,Paramètres!$A$1:$I$89,5,0)</f>
        <v>3.5448493739589746</v>
      </c>
      <c r="CV10" s="13">
        <f t="shared" si="41"/>
        <v>1.4098622061104944</v>
      </c>
      <c r="CW10" s="20">
        <f t="shared" si="13"/>
        <v>8.6294560019543258</v>
      </c>
      <c r="CX10" s="59">
        <f t="shared" si="14"/>
        <v>301.96278933528765</v>
      </c>
      <c r="CY10" s="59">
        <f ca="1">AVERAGE(OFFSET($CX$3,0,0,'Données projet'!$E$13+1,1))-AVERAGE(OFFSET($H$3,0,0,'Données projet'!$E$13+1,1))</f>
        <v>100.54865094989304</v>
      </c>
      <c r="CZ10" s="59">
        <f t="shared" si="42"/>
        <v>99.95654161405389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4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6.9887999999999995</v>
      </c>
      <c r="D11" s="11">
        <f t="shared" si="32"/>
        <v>2.5684210058779833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73.775039343619525</v>
      </c>
      <c r="H11" s="67">
        <f t="shared" si="1"/>
        <v>309.97882658523747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11.245555555555555</v>
      </c>
      <c r="N11" s="13">
        <f>IF('Données projet'!$A$36&gt;35,N10+M11-V10,IF(A11&lt;'Données projet'!$A$36,$K$205^A11,IF(A11='Données projet'!$A$36,'Données projet'!$B$36,N10+M11-V10)))</f>
        <v>10.592574330629516</v>
      </c>
      <c r="O11" s="13">
        <f>N11*VLOOKUP('Données projet'!$B$9,Paramètres!$A$1:$I$89,3,0)*VLOOKUP('Données projet'!$B$9,Paramètres!$A$1:$I$89,5,0)</f>
        <v>5.9212490508218991</v>
      </c>
      <c r="P11" s="13">
        <f t="shared" si="33"/>
        <v>2.2184849231648776</v>
      </c>
      <c r="Q11" s="20">
        <f t="shared" si="2"/>
        <v>14.17670333802697</v>
      </c>
      <c r="R11" s="59">
        <f t="shared" si="0"/>
        <v>307.5100366713603</v>
      </c>
      <c r="S11" s="59">
        <f ca="1">AVERAGE(OFFSET($R$3,0,0,'Données projet'!$E$9+1,1))-AVERAGE(OFFSET($H$3,0,0,'Données projet'!$E$9+1,1))</f>
        <v>324.69474275039357</v>
      </c>
      <c r="T11" s="59">
        <f t="shared" si="34"/>
        <v>437.68177084535927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7.2723529411764707</v>
      </c>
      <c r="AI11" s="13">
        <f>IF('Données projet'!$A$62&gt;35,AI10+AH11-AQ10,IF(A11&lt;'Données projet'!$A$62,$AF$205^A11,IF(A11='Données projet'!$A$62,'Données projet'!$B$62,AI10+AH11-AQ10)))</f>
        <v>9.6500348031768652</v>
      </c>
      <c r="AJ11" s="13">
        <f>AI11*VLOOKUP('Données projet'!$B$10,Paramètres!$A$1:$I$89,3,0)*VLOOKUP('Données projet'!$B$10,Paramètres!$A$1:$I$89,5,0)</f>
        <v>5.770720812299766</v>
      </c>
      <c r="AK11" s="13">
        <f t="shared" si="35"/>
        <v>2.168577508198295</v>
      </c>
      <c r="AL11" s="20">
        <f t="shared" si="4"/>
        <v>13.827611241534122</v>
      </c>
      <c r="AM11" s="59">
        <f t="shared" si="5"/>
        <v>307.16094457486741</v>
      </c>
      <c r="AN11" s="59">
        <f ca="1">AVERAGE(OFFSET($AM$3,0,0,'Données projet'!$E$10+1,1))-AVERAGE(OFFSET($H$3,0,0,'Données projet'!$E$10+1,1))</f>
        <v>214.93913810439858</v>
      </c>
      <c r="AO11" s="59">
        <f t="shared" si="36"/>
        <v>210.65603079265924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5.0894117647058819</v>
      </c>
      <c r="BD11" s="12">
        <f>IF('Données projet'!$A$88&gt;35,BD10+BC11-BL10,IF(A11&lt;'Données projet'!$A$88,$BA$205^A11,IF(A11='Données projet'!$A$88,'Données projet'!$B$88,BD10+BC11-BL10)))</f>
        <v>3.3621935246252548</v>
      </c>
      <c r="BE11" s="13">
        <f>BD11*VLOOKUP('Données projet'!$B$11,Paramètres!$A$1:$I$89,3,0)*VLOOKUP('Données projet'!$B$11,Paramètres!$A$1:$I$89,5,0)</f>
        <v>3.0421127010809306</v>
      </c>
      <c r="BF11" s="13">
        <f t="shared" si="37"/>
        <v>1.2316455990137962</v>
      </c>
      <c r="BG11" s="20">
        <f t="shared" si="7"/>
        <v>7.4434623726649827</v>
      </c>
      <c r="BH11" s="59">
        <f t="shared" si="8"/>
        <v>300.77679570599832</v>
      </c>
      <c r="BI11" s="59">
        <f ca="1">AVERAGE(OFFSET($BH$3,0,0,'Données projet'!$E$11+1,1))-AVERAGE(OFFSET($H$3,0,0,'Données projet'!$E$11+1,1))</f>
        <v>507.69556381324213</v>
      </c>
      <c r="BJ11" s="59">
        <f t="shared" si="38"/>
        <v>129.52638237044044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3.3603333333333336</v>
      </c>
      <c r="BY11" s="12">
        <f>IF('Données projet'!$A$114&gt;35,BY10+BX11-CG10,IF(A11&lt;'Données projet'!$A$114,$BV$205^A11,IF(A11='Données projet'!$A$114,'Données projet'!$B$114,BY10+BX11-CG10)))</f>
        <v>26.882666666666669</v>
      </c>
      <c r="BZ11" s="13">
        <f>BY11*VLOOKUP('Données projet'!$B$12,Paramètres!$A$1:$I$89,3,0)*VLOOKUP('Données projet'!$B$12,Paramètres!$A$1:$I$89,5,0)</f>
        <v>26.000915200000001</v>
      </c>
      <c r="CA11" s="13">
        <f t="shared" si="39"/>
        <v>8.2004186116498072</v>
      </c>
      <c r="CB11" s="20">
        <f t="shared" si="10"/>
        <v>59.567323055290082</v>
      </c>
      <c r="CC11" s="59">
        <f t="shared" si="11"/>
        <v>352.90065638862342</v>
      </c>
      <c r="CD11" s="59">
        <f ca="1">AVERAGE(OFFSET($CC$3,0,0,'Données projet'!$E$12+1,1))-AVERAGE(OFFSET($H$3,0,0,'Données projet'!$E$12+1,1))</f>
        <v>292.52253679467469</v>
      </c>
      <c r="CE11" s="59">
        <f t="shared" si="40"/>
        <v>155.7114133976541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1.7094017094017093</v>
      </c>
      <c r="CT11" s="12">
        <f>IF('Données projet'!$A$140&gt;35,CT10+CS11-DB10,IF(A11&lt;'Données projet'!$A$140,$CQ$205^A11,IF(A11='Données projet'!$A$140,'Données projet'!$B$140,CT10+CS11-DB10)))</f>
        <v>5.6419886686647915</v>
      </c>
      <c r="CU11" s="17">
        <f>CT11*VLOOKUP('Données projet'!$B$13,Paramètres!$A$1:$I$89,3,0)*VLOOKUP('Données projet'!$B$13,Paramètres!$A$1:$I$89,5,0)</f>
        <v>4.4007511615585377</v>
      </c>
      <c r="CV11" s="13">
        <f t="shared" si="41"/>
        <v>1.7067596074390303</v>
      </c>
      <c r="CW11" s="20">
        <f t="shared" si="13"/>
        <v>10.637247922670763</v>
      </c>
      <c r="CX11" s="59">
        <f t="shared" si="14"/>
        <v>303.9705812560041</v>
      </c>
      <c r="CY11" s="59">
        <f ca="1">AVERAGE(OFFSET($CX$3,0,0,'Données projet'!$E$13+1,1))-AVERAGE(OFFSET($H$3,0,0,'Données projet'!$E$13+1,1))</f>
        <v>100.54865094989304</v>
      </c>
      <c r="CZ11" s="59">
        <f t="shared" si="42"/>
        <v>99.95654161405389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4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7.8623999999999992</v>
      </c>
      <c r="D12" s="11">
        <f t="shared" si="32"/>
        <v>2.8501294257559762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82.693209602326831</v>
      </c>
      <c r="H12" s="67">
        <f t="shared" si="1"/>
        <v>311.99098874985827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11.245555555555555</v>
      </c>
      <c r="N12" s="13">
        <f>IF('Données projet'!$A$36&gt;35,N11+M12-V11,IF(A12&lt;'Données projet'!$A$36,$K$205^A12,IF(A12='Données projet'!$A$36,'Données projet'!$B$36,N11+M12-V11)))</f>
        <v>14.227438279606069</v>
      </c>
      <c r="O12" s="13">
        <f>N12*VLOOKUP('Données projet'!$B$9,Paramètres!$A$1:$I$89,3,0)*VLOOKUP('Données projet'!$B$9,Paramètres!$A$1:$I$89,5,0)</f>
        <v>7.953137998299793</v>
      </c>
      <c r="P12" s="13">
        <f t="shared" si="33"/>
        <v>2.8791739183305358</v>
      </c>
      <c r="Q12" s="20">
        <f t="shared" si="2"/>
        <v>18.866276588131154</v>
      </c>
      <c r="R12" s="59">
        <f t="shared" si="0"/>
        <v>312.19960992146446</v>
      </c>
      <c r="S12" s="59">
        <f ca="1">AVERAGE(OFFSET($R$3,0,0,'Données projet'!$E$9+1,1))-AVERAGE(OFFSET($H$3,0,0,'Données projet'!$E$9+1,1))</f>
        <v>324.69474275039357</v>
      </c>
      <c r="T12" s="59">
        <f t="shared" si="34"/>
        <v>437.68177084535927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7.2723529411764707</v>
      </c>
      <c r="AI12" s="13">
        <f>IF('Données projet'!$A$62&gt;35,AI11+AH12-AQ11,IF(A12&lt;'Données projet'!$A$62,$AF$205^A12,IF(A12='Données projet'!$A$62,'Données projet'!$B$62,AI11+AH12-AQ11)))</f>
        <v>12.811352758986937</v>
      </c>
      <c r="AJ12" s="13">
        <f>AI12*VLOOKUP('Données projet'!$B$10,Paramètres!$A$1:$I$89,3,0)*VLOOKUP('Données projet'!$B$10,Paramètres!$A$1:$I$89,5,0)</f>
        <v>7.6611889498741892</v>
      </c>
      <c r="AK12" s="13">
        <f t="shared" si="35"/>
        <v>2.7855833880858762</v>
      </c>
      <c r="AL12" s="20">
        <f t="shared" si="4"/>
        <v>18.194795155280449</v>
      </c>
      <c r="AM12" s="59">
        <f t="shared" si="5"/>
        <v>311.52812848861379</v>
      </c>
      <c r="AN12" s="59">
        <f ca="1">AVERAGE(OFFSET($AM$3,0,0,'Données projet'!$E$10+1,1))-AVERAGE(OFFSET($H$3,0,0,'Données projet'!$E$10+1,1))</f>
        <v>214.93913810439858</v>
      </c>
      <c r="AO12" s="59">
        <f t="shared" si="36"/>
        <v>210.65603079265924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5.0894117647058819</v>
      </c>
      <c r="BD12" s="12">
        <f>IF('Données projet'!$A$88&gt;35,BD11+BC12-BL11,IF(A12&lt;'Données projet'!$A$88,$BA$205^A12,IF(A12='Données projet'!$A$88,'Données projet'!$B$88,BD11+BC12-BL11)))</f>
        <v>3.9124657238135789</v>
      </c>
      <c r="BE12" s="13">
        <f>BD12*VLOOKUP('Données projet'!$B$11,Paramètres!$A$1:$I$89,3,0)*VLOOKUP('Données projet'!$B$11,Paramètres!$A$1:$I$89,5,0)</f>
        <v>3.5399989869065265</v>
      </c>
      <c r="BF12" s="13">
        <f t="shared" si="37"/>
        <v>1.4081575154303458</v>
      </c>
      <c r="BG12" s="20">
        <f t="shared" si="7"/>
        <v>8.6180392415700524</v>
      </c>
      <c r="BH12" s="59">
        <f t="shared" si="8"/>
        <v>301.95137257490336</v>
      </c>
      <c r="BI12" s="59">
        <f ca="1">AVERAGE(OFFSET($BH$3,0,0,'Données projet'!$E$11+1,1))-AVERAGE(OFFSET($H$3,0,0,'Données projet'!$E$11+1,1))</f>
        <v>507.69556381324213</v>
      </c>
      <c r="BJ12" s="59">
        <f t="shared" si="38"/>
        <v>129.52638237044044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3.3603333333333336</v>
      </c>
      <c r="BY12" s="12">
        <f>IF('Données projet'!$A$114&gt;35,BY11+BX12-CG11,IF(A12&lt;'Données projet'!$A$114,$BV$205^A12,IF(A12='Données projet'!$A$114,'Données projet'!$B$114,BY11+BX12-CG11)))</f>
        <v>30.243000000000002</v>
      </c>
      <c r="BZ12" s="13">
        <f>BY12*VLOOKUP('Données projet'!$B$12,Paramètres!$A$1:$I$89,3,0)*VLOOKUP('Données projet'!$B$12,Paramètres!$A$1:$I$89,5,0)</f>
        <v>29.251029600000003</v>
      </c>
      <c r="CA12" s="13">
        <f t="shared" si="39"/>
        <v>9.0998533087415616</v>
      </c>
      <c r="CB12" s="20">
        <f t="shared" si="10"/>
        <v>66.794454399391569</v>
      </c>
      <c r="CC12" s="59">
        <f t="shared" si="11"/>
        <v>360.12778773272487</v>
      </c>
      <c r="CD12" s="59">
        <f ca="1">AVERAGE(OFFSET($CC$3,0,0,'Données projet'!$E$12+1,1))-AVERAGE(OFFSET($H$3,0,0,'Données projet'!$E$12+1,1))</f>
        <v>292.52253679467469</v>
      </c>
      <c r="CE12" s="59">
        <f t="shared" si="40"/>
        <v>155.7114133976541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1.7094017094017093</v>
      </c>
      <c r="CT12" s="12">
        <f>IF('Données projet'!$A$140&gt;35,CT11+CS12-DB11,IF(A12&lt;'Données projet'!$A$140,$CQ$205^A12,IF(A12='Données projet'!$A$140,'Données projet'!$B$140,CT11+CS12-DB11)))</f>
        <v>7.0042435003090322</v>
      </c>
      <c r="CU12" s="17">
        <f>CT12*VLOOKUP('Données projet'!$B$13,Paramètres!$A$1:$I$89,3,0)*VLOOKUP('Données projet'!$B$13,Paramètres!$A$1:$I$89,5,0)</f>
        <v>5.4633099302410457</v>
      </c>
      <c r="CV12" s="13">
        <f t="shared" si="41"/>
        <v>2.0661794783632437</v>
      </c>
      <c r="CW12" s="20">
        <f t="shared" si="13"/>
        <v>13.113860719985803</v>
      </c>
      <c r="CX12" s="59">
        <f t="shared" si="14"/>
        <v>306.44719405331909</v>
      </c>
      <c r="CY12" s="59">
        <f ca="1">AVERAGE(OFFSET($CX$3,0,0,'Données projet'!$E$13+1,1))-AVERAGE(OFFSET($H$3,0,0,'Données projet'!$E$13+1,1))</f>
        <v>100.54865094989304</v>
      </c>
      <c r="CZ12" s="59">
        <f t="shared" si="42"/>
        <v>99.95654161405389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4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8.7359999999999989</v>
      </c>
      <c r="D13" s="11">
        <f t="shared" si="32"/>
        <v>3.1282100045396772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91.583375473639606</v>
      </c>
      <c r="H13" s="67">
        <f t="shared" si="1"/>
        <v>313.99683242457326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11.245555555555555</v>
      </c>
      <c r="N13" s="13">
        <f>IF('Données projet'!$A$36&gt;35,N12+M13-V12,IF(A13&lt;'Données projet'!$A$36,$K$205^A13,IF(A13='Données projet'!$A$36,'Données projet'!$B$36,N12+M13-V12)))</f>
        <v>19.109613365155429</v>
      </c>
      <c r="O13" s="13">
        <f>N13*VLOOKUP('Données projet'!$B$9,Paramètres!$A$1:$I$89,3,0)*VLOOKUP('Données projet'!$B$9,Paramètres!$A$1:$I$89,5,0)</f>
        <v>10.682273871121886</v>
      </c>
      <c r="P13" s="13">
        <f t="shared" si="33"/>
        <v>3.7366232988272285</v>
      </c>
      <c r="Q13" s="20">
        <f t="shared" si="2"/>
        <v>25.112912570994709</v>
      </c>
      <c r="R13" s="59">
        <f t="shared" si="0"/>
        <v>318.44624590432801</v>
      </c>
      <c r="S13" s="59">
        <f ca="1">AVERAGE(OFFSET($R$3,0,0,'Données projet'!$E$9+1,1))-AVERAGE(OFFSET($H$3,0,0,'Données projet'!$E$9+1,1))</f>
        <v>324.69474275039357</v>
      </c>
      <c r="T13" s="59">
        <f t="shared" si="34"/>
        <v>437.68177084535927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7.2723529411764707</v>
      </c>
      <c r="AI13" s="13">
        <f>IF('Données projet'!$A$62&gt;35,AI12+AH13-AQ12,IF(A13&lt;'Données projet'!$A$62,$AF$205^A13,IF(A13='Données projet'!$A$62,'Données projet'!$B$62,AI12+AH13-AQ12)))</f>
        <v>17.008307520421493</v>
      </c>
      <c r="AJ13" s="13">
        <f>AI13*VLOOKUP('Données projet'!$B$10,Paramètres!$A$1:$I$89,3,0)*VLOOKUP('Données projet'!$B$10,Paramètres!$A$1:$I$89,5,0)</f>
        <v>10.170967897212053</v>
      </c>
      <c r="AK13" s="13">
        <f t="shared" si="35"/>
        <v>3.5781404089295137</v>
      </c>
      <c r="AL13" s="20">
        <f t="shared" si="4"/>
        <v>23.946363633196558</v>
      </c>
      <c r="AM13" s="59">
        <f t="shared" si="5"/>
        <v>317.27969696652985</v>
      </c>
      <c r="AN13" s="59">
        <f ca="1">AVERAGE(OFFSET($AM$3,0,0,'Données projet'!$E$10+1,1))-AVERAGE(OFFSET($H$3,0,0,'Données projet'!$E$10+1,1))</f>
        <v>214.93913810439858</v>
      </c>
      <c r="AO13" s="59">
        <f t="shared" si="36"/>
        <v>210.65603079265924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5.0894117647058819</v>
      </c>
      <c r="BD13" s="12">
        <f>IF('Données projet'!$A$88&gt;35,BD12+BC13-BL12,IF(A13&lt;'Données projet'!$A$88,$BA$205^A13,IF(A13='Données projet'!$A$88,'Données projet'!$B$88,BD12+BC13-BL12)))</f>
        <v>4.5527980254266449</v>
      </c>
      <c r="BE13" s="13">
        <f>BD13*VLOOKUP('Données projet'!$B$11,Paramètres!$A$1:$I$89,3,0)*VLOOKUP('Données projet'!$B$11,Paramètres!$A$1:$I$89,5,0)</f>
        <v>4.1193716534060281</v>
      </c>
      <c r="BF13" s="13">
        <f t="shared" si="37"/>
        <v>1.6099660404346177</v>
      </c>
      <c r="BG13" s="20">
        <f t="shared" si="7"/>
        <v>9.9785964834391248</v>
      </c>
      <c r="BH13" s="59">
        <f t="shared" si="8"/>
        <v>303.31192981677242</v>
      </c>
      <c r="BI13" s="59">
        <f ca="1">AVERAGE(OFFSET($BH$3,0,0,'Données projet'!$E$11+1,1))-AVERAGE(OFFSET($H$3,0,0,'Données projet'!$E$11+1,1))</f>
        <v>507.69556381324213</v>
      </c>
      <c r="BJ13" s="59">
        <f t="shared" si="38"/>
        <v>129.52638237044044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3.3603333333333336</v>
      </c>
      <c r="BY13" s="12">
        <f>IF('Données projet'!$A$114&gt;35,BY12+BX13-CG12,IF(A13&lt;'Données projet'!$A$114,$BV$205^A13,IF(A13='Données projet'!$A$114,'Données projet'!$B$114,BY12+BX13-CG12)))</f>
        <v>33.603333333333339</v>
      </c>
      <c r="BZ13" s="13">
        <f>BY13*VLOOKUP('Données projet'!$B$12,Paramètres!$A$1:$I$89,3,0)*VLOOKUP('Données projet'!$B$12,Paramètres!$A$1:$I$89,5,0)</f>
        <v>32.501144000000004</v>
      </c>
      <c r="CA13" s="13">
        <f t="shared" si="39"/>
        <v>9.9877050856026894</v>
      </c>
      <c r="CB13" s="20">
        <f t="shared" si="10"/>
        <v>74.001412157424696</v>
      </c>
      <c r="CC13" s="59">
        <f t="shared" si="11"/>
        <v>367.334745490758</v>
      </c>
      <c r="CD13" s="59">
        <f ca="1">AVERAGE(OFFSET($CC$3,0,0,'Données projet'!$E$12+1,1))-AVERAGE(OFFSET($H$3,0,0,'Données projet'!$E$12+1,1))</f>
        <v>292.52253679467469</v>
      </c>
      <c r="CE13" s="59">
        <f t="shared" si="40"/>
        <v>155.7114133976541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1.7094017094017093</v>
      </c>
      <c r="CT13" s="12">
        <f>IF('Données projet'!$A$140&gt;35,CT12+CS13-DB12,IF(A13&lt;'Données projet'!$A$140,$CQ$205^A13,IF(A13='Données projet'!$A$140,'Données projet'!$B$140,CT12+CS13-DB12)))</f>
        <v>8.6954139564465862</v>
      </c>
      <c r="CU13" s="17">
        <f>CT13*VLOOKUP('Données projet'!$B$13,Paramètres!$A$1:$I$89,3,0)*VLOOKUP('Données projet'!$B$13,Paramètres!$A$1:$I$89,5,0)</f>
        <v>6.7824228860283373</v>
      </c>
      <c r="CV13" s="13">
        <f t="shared" si="41"/>
        <v>2.5012881827073041</v>
      </c>
      <c r="CW13" s="20">
        <f t="shared" si="13"/>
        <v>16.169130111381239</v>
      </c>
      <c r="CX13" s="59">
        <f t="shared" si="14"/>
        <v>309.50246344471458</v>
      </c>
      <c r="CY13" s="59">
        <f ca="1">AVERAGE(OFFSET($CX$3,0,0,'Données projet'!$E$13+1,1))-AVERAGE(OFFSET($H$3,0,0,'Données projet'!$E$13+1,1))</f>
        <v>100.54865094989304</v>
      </c>
      <c r="CZ13" s="59">
        <f t="shared" si="42"/>
        <v>99.95654161405389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4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9.6095999999999986</v>
      </c>
      <c r="D14" s="11">
        <f t="shared" si="32"/>
        <v>3.4030668246422189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100.44865619022063</v>
      </c>
      <c r="H14" s="67">
        <f t="shared" si="1"/>
        <v>315.99706138625186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11.245555555555555</v>
      </c>
      <c r="N14" s="13">
        <f>IF('Données projet'!$A$36&gt;35,N13+M14-V13,IF(A14&lt;'Données projet'!$A$36,$K$205^A14,IF(A14='Données projet'!$A$36,'Données projet'!$B$36,N13+M14-V13)))</f>
        <v>25.667117002305357</v>
      </c>
      <c r="O14" s="13">
        <f>N14*VLOOKUP('Données projet'!$B$9,Paramètres!$A$1:$I$89,3,0)*VLOOKUP('Données projet'!$B$9,Paramètres!$A$1:$I$89,5,0)</f>
        <v>14.347918404288695</v>
      </c>
      <c r="P14" s="13">
        <f t="shared" si="33"/>
        <v>4.8494304524106076</v>
      </c>
      <c r="Q14" s="20">
        <f t="shared" si="2"/>
        <v>33.435382592084615</v>
      </c>
      <c r="R14" s="59">
        <f t="shared" si="0"/>
        <v>326.76871592541795</v>
      </c>
      <c r="S14" s="59">
        <f ca="1">AVERAGE(OFFSET($R$3,0,0,'Données projet'!$E$9+1,1))-AVERAGE(OFFSET($H$3,0,0,'Données projet'!$E$9+1,1))</f>
        <v>324.69474275039357</v>
      </c>
      <c r="T14" s="59">
        <f t="shared" si="34"/>
        <v>437.68177084535927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7.2723529411764707</v>
      </c>
      <c r="AI14" s="13">
        <f>IF('Données projet'!$A$62&gt;35,AI13+AH14-AQ13,IF(A14&lt;'Données projet'!$A$62,$AF$205^A14,IF(A14='Données projet'!$A$62,'Données projet'!$B$62,AI13+AH14-AQ13)))</f>
        <v>22.580170115626522</v>
      </c>
      <c r="AJ14" s="13">
        <f>AI14*VLOOKUP('Données projet'!$B$10,Paramètres!$A$1:$I$89,3,0)*VLOOKUP('Données projet'!$B$10,Paramètres!$A$1:$I$89,5,0)</f>
        <v>13.502941729144661</v>
      </c>
      <c r="AK14" s="13">
        <f t="shared" si="35"/>
        <v>4.5961965600361916</v>
      </c>
      <c r="AL14" s="20">
        <f t="shared" si="4"/>
        <v>31.522665853656651</v>
      </c>
      <c r="AM14" s="59">
        <f t="shared" si="5"/>
        <v>324.85599918698995</v>
      </c>
      <c r="AN14" s="59">
        <f ca="1">AVERAGE(OFFSET($AM$3,0,0,'Données projet'!$E$10+1,1))-AVERAGE(OFFSET($H$3,0,0,'Données projet'!$E$10+1,1))</f>
        <v>214.93913810439858</v>
      </c>
      <c r="AO14" s="59">
        <f t="shared" si="36"/>
        <v>210.65603079265924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5.0894117647058819</v>
      </c>
      <c r="BD14" s="12">
        <f>IF('Données projet'!$A$88&gt;35,BD13+BC14-BL13,IF(A14&lt;'Données projet'!$A$88,$BA$205^A14,IF(A14='Données projet'!$A$88,'Données projet'!$B$88,BD13+BC14-BL13)))</f>
        <v>5.2979300838767944</v>
      </c>
      <c r="BE14" s="13">
        <f>BD14*VLOOKUP('Données projet'!$B$11,Paramètres!$A$1:$I$89,3,0)*VLOOKUP('Données projet'!$B$11,Paramètres!$A$1:$I$89,5,0)</f>
        <v>4.7935671398917234</v>
      </c>
      <c r="BF14" s="13">
        <f t="shared" si="37"/>
        <v>1.8406965292945834</v>
      </c>
      <c r="BG14" s="20">
        <f t="shared" si="7"/>
        <v>11.554675890499484</v>
      </c>
      <c r="BH14" s="59">
        <f t="shared" si="8"/>
        <v>304.8880092238328</v>
      </c>
      <c r="BI14" s="59">
        <f ca="1">AVERAGE(OFFSET($BH$3,0,0,'Données projet'!$E$11+1,1))-AVERAGE(OFFSET($H$3,0,0,'Données projet'!$E$11+1,1))</f>
        <v>507.69556381324213</v>
      </c>
      <c r="BJ14" s="59">
        <f t="shared" si="38"/>
        <v>129.52638237044044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3.3603333333333336</v>
      </c>
      <c r="BY14" s="12">
        <f>IF('Données projet'!$A$114&gt;35,BY13+BX14-CG13,IF(A14&lt;'Données projet'!$A$114,$BV$205^A14,IF(A14='Données projet'!$A$114,'Données projet'!$B$114,BY13+BX14-CG13)))</f>
        <v>36.963666666666676</v>
      </c>
      <c r="BZ14" s="13">
        <f>BY14*VLOOKUP('Données projet'!$B$12,Paramètres!$A$1:$I$89,3,0)*VLOOKUP('Données projet'!$B$12,Paramètres!$A$1:$I$89,5,0)</f>
        <v>35.751258400000005</v>
      </c>
      <c r="CA14" s="13">
        <f t="shared" si="39"/>
        <v>10.865264090901857</v>
      </c>
      <c r="CB14" s="20">
        <f t="shared" si="10"/>
        <v>81.190443338320719</v>
      </c>
      <c r="CC14" s="59">
        <f t="shared" si="11"/>
        <v>374.52377667165405</v>
      </c>
      <c r="CD14" s="59">
        <f ca="1">AVERAGE(OFFSET($CC$3,0,0,'Données projet'!$E$12+1,1))-AVERAGE(OFFSET($H$3,0,0,'Données projet'!$E$12+1,1))</f>
        <v>292.52253679467469</v>
      </c>
      <c r="CE14" s="59">
        <f t="shared" si="40"/>
        <v>155.7114133976541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1.7094017094017093</v>
      </c>
      <c r="CT14" s="12">
        <f>IF('Données projet'!$A$140&gt;35,CT13+CS14-DB13,IF(A14&lt;'Données projet'!$A$140,$CQ$205^A14,IF(A14='Données projet'!$A$140,'Données projet'!$B$140,CT13+CS14-DB13)))</f>
        <v>10.794916520339433</v>
      </c>
      <c r="CU14" s="17">
        <f>CT14*VLOOKUP('Données projet'!$B$13,Paramètres!$A$1:$I$89,3,0)*VLOOKUP('Données projet'!$B$13,Paramètres!$A$1:$I$89,5,0)</f>
        <v>8.4200348858647569</v>
      </c>
      <c r="CV14" s="13">
        <f t="shared" si="41"/>
        <v>3.0280247376705862</v>
      </c>
      <c r="CW14" s="20">
        <f t="shared" si="13"/>
        <v>19.938703844324056</v>
      </c>
      <c r="CX14" s="59">
        <f t="shared" si="14"/>
        <v>313.27203717765735</v>
      </c>
      <c r="CY14" s="59">
        <f ca="1">AVERAGE(OFFSET($CX$3,0,0,'Données projet'!$E$13+1,1))-AVERAGE(OFFSET($H$3,0,0,'Données projet'!$E$13+1,1))</f>
        <v>100.54865094989304</v>
      </c>
      <c r="CZ14" s="59">
        <f t="shared" si="42"/>
        <v>99.95654161405389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4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10.483199999999998</v>
      </c>
      <c r="D15" s="11">
        <f t="shared" si="32"/>
        <v>3.6750262849765409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109.29157132262593</v>
      </c>
      <c r="H15" s="67">
        <f t="shared" si="1"/>
        <v>317.99224411300077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11.245555555555555</v>
      </c>
      <c r="N15" s="13">
        <f>IF('Données projet'!$A$36&gt;35,N14+M15-V14,IF(A15&lt;'Données projet'!$A$36,$K$205^A15,IF(A15='Données projet'!$A$36,'Données projet'!$B$36,N14+M15-V14)))</f>
        <v>34.474841673735469</v>
      </c>
      <c r="O15" s="13">
        <f>N15*VLOOKUP('Données projet'!$B$9,Paramètres!$A$1:$I$89,3,0)*VLOOKUP('Données projet'!$B$9,Paramètres!$A$1:$I$89,5,0)</f>
        <v>19.271436495618129</v>
      </c>
      <c r="P15" s="13">
        <f t="shared" si="33"/>
        <v>6.293643707715562</v>
      </c>
      <c r="Q15" s="20">
        <f t="shared" si="2"/>
        <v>44.525848020806173</v>
      </c>
      <c r="R15" s="59">
        <f t="shared" si="0"/>
        <v>337.85918135413948</v>
      </c>
      <c r="S15" s="59">
        <f ca="1">AVERAGE(OFFSET($R$3,0,0,'Données projet'!$E$9+1,1))-AVERAGE(OFFSET($H$3,0,0,'Données projet'!$E$9+1,1))</f>
        <v>324.69474275039357</v>
      </c>
      <c r="T15" s="59">
        <f t="shared" si="34"/>
        <v>437.68177084535927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7.2723529411764707</v>
      </c>
      <c r="AI15" s="13">
        <f>IF('Données projet'!$A$62&gt;35,AI14+AH15-AQ14,IF(A15&lt;'Données projet'!$A$62,$AF$205^A15,IF(A15='Données projet'!$A$62,'Données projet'!$B$62,AI14+AH15-AQ14)))</f>
        <v>29.977355585701336</v>
      </c>
      <c r="AJ15" s="13">
        <f>AI15*VLOOKUP('Données projet'!$B$10,Paramètres!$A$1:$I$89,3,0)*VLOOKUP('Données projet'!$B$10,Paramètres!$A$1:$I$89,5,0)</f>
        <v>17.9264586402494</v>
      </c>
      <c r="AK15" s="13">
        <f t="shared" si="35"/>
        <v>5.9039110834693549</v>
      </c>
      <c r="AL15" s="20">
        <f t="shared" si="4"/>
        <v>41.504560602143492</v>
      </c>
      <c r="AM15" s="59">
        <f t="shared" si="5"/>
        <v>334.83789393547681</v>
      </c>
      <c r="AN15" s="59">
        <f ca="1">AVERAGE(OFFSET($AM$3,0,0,'Données projet'!$E$10+1,1))-AVERAGE(OFFSET($H$3,0,0,'Données projet'!$E$10+1,1))</f>
        <v>214.93913810439858</v>
      </c>
      <c r="AO15" s="59">
        <f t="shared" si="36"/>
        <v>210.65603079265924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5.0894117647058819</v>
      </c>
      <c r="BD15" s="12">
        <f>IF('Données projet'!$A$88&gt;35,BD14+BC15-BL14,IF(A15&lt;'Données projet'!$A$88,$BA$205^A15,IF(A15='Données projet'!$A$88,'Données projet'!$B$88,BD14+BC15-BL14)))</f>
        <v>6.1650139138374147</v>
      </c>
      <c r="BE15" s="13">
        <f>BD15*VLOOKUP('Données projet'!$B$11,Paramètres!$A$1:$I$89,3,0)*VLOOKUP('Données projet'!$B$11,Paramètres!$A$1:$I$89,5,0)</f>
        <v>5.5781045892400929</v>
      </c>
      <c r="BF15" s="13">
        <f t="shared" si="37"/>
        <v>2.1044939010281696</v>
      </c>
      <c r="BG15" s="20">
        <f t="shared" si="7"/>
        <v>13.38052570388389</v>
      </c>
      <c r="BH15" s="59">
        <f t="shared" si="8"/>
        <v>306.71385903721722</v>
      </c>
      <c r="BI15" s="59">
        <f ca="1">AVERAGE(OFFSET($BH$3,0,0,'Données projet'!$E$11+1,1))-AVERAGE(OFFSET($H$3,0,0,'Données projet'!$E$11+1,1))</f>
        <v>507.69556381324213</v>
      </c>
      <c r="BJ15" s="59">
        <f t="shared" si="38"/>
        <v>129.52638237044044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3.3603333333333336</v>
      </c>
      <c r="BY15" s="12">
        <f>IF('Données projet'!$A$114&gt;35,BY14+BX15-CG14,IF(A15&lt;'Données projet'!$A$114,$BV$205^A15,IF(A15='Données projet'!$A$114,'Données projet'!$B$114,BY14+BX15-CG14)))</f>
        <v>40.324000000000012</v>
      </c>
      <c r="BZ15" s="13">
        <f>BY15*VLOOKUP('Données projet'!$B$12,Paramètres!$A$1:$I$89,3,0)*VLOOKUP('Données projet'!$B$12,Paramètres!$A$1:$I$89,5,0)</f>
        <v>39.001372800000013</v>
      </c>
      <c r="CA15" s="13">
        <f t="shared" si="39"/>
        <v>11.733572446516416</v>
      </c>
      <c r="CB15" s="20">
        <f t="shared" si="10"/>
        <v>88.363362971016116</v>
      </c>
      <c r="CC15" s="59">
        <f t="shared" si="11"/>
        <v>381.69669630434942</v>
      </c>
      <c r="CD15" s="59">
        <f ca="1">AVERAGE(OFFSET($CC$3,0,0,'Données projet'!$E$12+1,1))-AVERAGE(OFFSET($H$3,0,0,'Données projet'!$E$12+1,1))</f>
        <v>292.52253679467469</v>
      </c>
      <c r="CE15" s="59">
        <f t="shared" si="40"/>
        <v>155.7114133976541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1.7094017094017093</v>
      </c>
      <c r="CT15" s="12">
        <f>IF('Données projet'!$A$140&gt;35,CT14+CS15-DB14,IF(A15&lt;'Données projet'!$A$140,$CQ$205^A15,IF(A15='Données projet'!$A$140,'Données projet'!$B$140,CT14+CS15-DB14)))</f>
        <v>13.401342738226315</v>
      </c>
      <c r="CU15" s="17">
        <f>CT15*VLOOKUP('Données projet'!$B$13,Paramètres!$A$1:$I$89,3,0)*VLOOKUP('Données projet'!$B$13,Paramètres!$A$1:$I$89,5,0)</f>
        <v>10.453047335816526</v>
      </c>
      <c r="CV15" s="13">
        <f t="shared" si="41"/>
        <v>3.6656846961236176</v>
      </c>
      <c r="CW15" s="20">
        <f t="shared" si="13"/>
        <v>24.590124955629083</v>
      </c>
      <c r="CX15" s="59">
        <f t="shared" si="14"/>
        <v>317.92345828896242</v>
      </c>
      <c r="CY15" s="59">
        <f ca="1">AVERAGE(OFFSET($CX$3,0,0,'Données projet'!$E$13+1,1))-AVERAGE(OFFSET($H$3,0,0,'Données projet'!$E$13+1,1))</f>
        <v>100.54865094989304</v>
      </c>
      <c r="CZ15" s="59">
        <f t="shared" si="42"/>
        <v>99.95654161405389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4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11.356799999999998</v>
      </c>
      <c r="D16" s="11">
        <f t="shared" si="32"/>
        <v>3.9443572825295607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118.11419656689485</v>
      </c>
      <c r="H16" s="67">
        <f t="shared" si="1"/>
        <v>319.98284893373898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11.245555555555555</v>
      </c>
      <c r="N16" s="13">
        <f>IF('Données projet'!$A$36&gt;35,N15+M16-V15,IF(A16&lt;'Données projet'!$A$36,$K$205^A16,IF(A16='Données projet'!$A$36,'Données projet'!$B$36,N15+M16-V15)))</f>
        <v>46.304955415225571</v>
      </c>
      <c r="O16" s="13">
        <f>N16*VLOOKUP('Données projet'!$B$9,Paramètres!$A$1:$I$89,3,0)*VLOOKUP('Données projet'!$B$9,Paramètres!$A$1:$I$89,5,0)</f>
        <v>25.884470077111093</v>
      </c>
      <c r="P16" s="13">
        <f t="shared" si="33"/>
        <v>8.1679594146933123</v>
      </c>
      <c r="Q16" s="20">
        <f t="shared" si="2"/>
        <v>59.307981364892662</v>
      </c>
      <c r="R16" s="59">
        <f t="shared" si="0"/>
        <v>352.64131469822598</v>
      </c>
      <c r="S16" s="59">
        <f ca="1">AVERAGE(OFFSET($R$3,0,0,'Données projet'!$E$9+1,1))-AVERAGE(OFFSET($H$3,0,0,'Données projet'!$E$9+1,1))</f>
        <v>324.69474275039357</v>
      </c>
      <c r="T16" s="59">
        <f t="shared" si="34"/>
        <v>437.68177084535927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7.2723529411764707</v>
      </c>
      <c r="AI16" s="13">
        <f>IF('Données projet'!$A$62&gt;35,AI15+AH16-AQ15,IF(A16&lt;'Données projet'!$A$62,$AF$205^A16,IF(A16='Données projet'!$A$62,'Données projet'!$B$62,AI15+AH16-AQ15)))</f>
        <v>39.797833378131948</v>
      </c>
      <c r="AJ16" s="13">
        <f>AI16*VLOOKUP('Données projet'!$B$10,Paramètres!$A$1:$I$89,3,0)*VLOOKUP('Données projet'!$B$10,Paramètres!$A$1:$I$89,5,0)</f>
        <v>23.799104360122907</v>
      </c>
      <c r="AK16" s="13">
        <f t="shared" si="35"/>
        <v>7.583697874147882</v>
      </c>
      <c r="AL16" s="20">
        <f t="shared" si="4"/>
        <v>54.658380558021626</v>
      </c>
      <c r="AM16" s="59">
        <f t="shared" si="5"/>
        <v>347.99171389135495</v>
      </c>
      <c r="AN16" s="59">
        <f ca="1">AVERAGE(OFFSET($AM$3,0,0,'Données projet'!$E$10+1,1))-AVERAGE(OFFSET($H$3,0,0,'Données projet'!$E$10+1,1))</f>
        <v>214.93913810439858</v>
      </c>
      <c r="AO16" s="59">
        <f t="shared" si="36"/>
        <v>210.65603079265924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5.0894117647058819</v>
      </c>
      <c r="BD16" s="12">
        <f>IF('Données projet'!$A$88&gt;35,BD15+BC16-BL15,IF(A16&lt;'Données projet'!$A$88,$BA$205^A16,IF(A16='Données projet'!$A$88,'Données projet'!$B$88,BD15+BC16-BL15)))</f>
        <v>7.1740087083211872</v>
      </c>
      <c r="BE16" s="13">
        <f>BD16*VLOOKUP('Données projet'!$B$11,Paramètres!$A$1:$I$89,3,0)*VLOOKUP('Données projet'!$B$11,Paramètres!$A$1:$I$89,5,0)</f>
        <v>6.4910430792890104</v>
      </c>
      <c r="BF16" s="13">
        <f t="shared" si="37"/>
        <v>2.4060970991030577</v>
      </c>
      <c r="BG16" s="20">
        <f t="shared" si="7"/>
        <v>15.495852477366185</v>
      </c>
      <c r="BH16" s="59">
        <f t="shared" si="8"/>
        <v>308.82918581069953</v>
      </c>
      <c r="BI16" s="59">
        <f ca="1">AVERAGE(OFFSET($BH$3,0,0,'Données projet'!$E$11+1,1))-AVERAGE(OFFSET($H$3,0,0,'Données projet'!$E$11+1,1))</f>
        <v>507.69556381324213</v>
      </c>
      <c r="BJ16" s="59">
        <f t="shared" si="38"/>
        <v>129.52638237044044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3.3603333333333336</v>
      </c>
      <c r="BY16" s="12">
        <f>IF('Données projet'!$A$114&gt;35,BY15+BX16-CG15,IF(A16&lt;'Données projet'!$A$114,$BV$205^A16,IF(A16='Données projet'!$A$114,'Données projet'!$B$114,BY15+BX16-CG15)))</f>
        <v>43.684333333333349</v>
      </c>
      <c r="BZ16" s="13">
        <f>BY16*VLOOKUP('Données projet'!$B$12,Paramètres!$A$1:$I$89,3,0)*VLOOKUP('Données projet'!$B$12,Paramètres!$A$1:$I$89,5,0)</f>
        <v>42.251487200000021</v>
      </c>
      <c r="CA16" s="13">
        <f t="shared" si="39"/>
        <v>12.593488682979761</v>
      </c>
      <c r="CB16" s="20">
        <f t="shared" si="10"/>
        <v>95.521666329523114</v>
      </c>
      <c r="CC16" s="59">
        <f t="shared" si="11"/>
        <v>388.85499966285641</v>
      </c>
      <c r="CD16" s="59">
        <f ca="1">AVERAGE(OFFSET($CC$3,0,0,'Données projet'!$E$12+1,1))-AVERAGE(OFFSET($H$3,0,0,'Données projet'!$E$12+1,1))</f>
        <v>292.52253679467469</v>
      </c>
      <c r="CE16" s="59">
        <f t="shared" si="40"/>
        <v>155.7114133976541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1.7094017094017093</v>
      </c>
      <c r="CT16" s="12">
        <f>IF('Données projet'!$A$140&gt;35,CT15+CS16-DB15,IF(A16&lt;'Données projet'!$A$140,$CQ$205^A16,IF(A16='Données projet'!$A$140,'Données projet'!$B$140,CT15+CS16-DB15)))</f>
        <v>16.637089026952847</v>
      </c>
      <c r="CU16" s="17">
        <f>CT16*VLOOKUP('Données projet'!$B$13,Paramètres!$A$1:$I$89,3,0)*VLOOKUP('Données projet'!$B$13,Paramètres!$A$1:$I$89,5,0)</f>
        <v>12.976929441023222</v>
      </c>
      <c r="CV16" s="13">
        <f t="shared" si="41"/>
        <v>4.4376269864069782</v>
      </c>
      <c r="CW16" s="20">
        <f t="shared" si="13"/>
        <v>30.33035244444093</v>
      </c>
      <c r="CX16" s="59">
        <f t="shared" si="14"/>
        <v>323.66368577777422</v>
      </c>
      <c r="CY16" s="59">
        <f ca="1">AVERAGE(OFFSET($CX$3,0,0,'Données projet'!$E$13+1,1))-AVERAGE(OFFSET($H$3,0,0,'Données projet'!$E$13+1,1))</f>
        <v>100.54865094989304</v>
      </c>
      <c r="CZ16" s="59">
        <f t="shared" si="42"/>
        <v>99.95654161405389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4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12.230399999999998</v>
      </c>
      <c r="D17" s="11">
        <f t="shared" si="32"/>
        <v>4.2112849955088034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126.91827014076971</v>
      </c>
      <c r="H17" s="67">
        <f t="shared" si="1"/>
        <v>321.96926803384446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11.245555555555555</v>
      </c>
      <c r="N17" s="13">
        <f>IF('Données projet'!$A$36&gt;35,N16+M17-V16,IF(A17&lt;'Données projet'!$A$36,$K$205^A17,IF(A17='Données projet'!$A$36,'Données projet'!$B$36,N16+M17-V16)))</f>
        <v>62.194597332684488</v>
      </c>
      <c r="O17" s="13">
        <f>N17*VLOOKUP('Données projet'!$B$9,Paramètres!$A$1:$I$89,3,0)*VLOOKUP('Données projet'!$B$9,Paramètres!$A$1:$I$89,5,0)</f>
        <v>34.766779908970626</v>
      </c>
      <c r="P17" s="13">
        <f t="shared" si="33"/>
        <v>10.600466772259221</v>
      </c>
      <c r="Q17" s="20">
        <f t="shared" si="2"/>
        <v>79.014621303141979</v>
      </c>
      <c r="R17" s="59">
        <f t="shared" si="0"/>
        <v>372.34795463647527</v>
      </c>
      <c r="S17" s="59">
        <f ca="1">AVERAGE(OFFSET($R$3,0,0,'Données projet'!$E$9+1,1))-AVERAGE(OFFSET($H$3,0,0,'Données projet'!$E$9+1,1))</f>
        <v>324.69474275039357</v>
      </c>
      <c r="T17" s="59">
        <f t="shared" si="34"/>
        <v>437.68177084535927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7.2723529411764707</v>
      </c>
      <c r="AI17" s="13">
        <f>IF('Données projet'!$A$62&gt;35,AI16+AH17-AQ16,IF(A17&lt;'Données projet'!$A$62,$AF$205^A17,IF(A17='Données projet'!$A$62,'Données projet'!$B$62,AI16+AH17-AQ16)))</f>
        <v>52.835465658919915</v>
      </c>
      <c r="AJ17" s="13">
        <f>AI17*VLOOKUP('Données projet'!$B$10,Paramètres!$A$1:$I$89,3,0)*VLOOKUP('Données projet'!$B$10,Paramètres!$A$1:$I$89,5,0)</f>
        <v>31.595608464034111</v>
      </c>
      <c r="AK17" s="13">
        <f t="shared" si="35"/>
        <v>9.7414193122567614</v>
      </c>
      <c r="AL17" s="20">
        <f t="shared" si="4"/>
        <v>71.995323377039924</v>
      </c>
      <c r="AM17" s="59">
        <f t="shared" si="5"/>
        <v>365.32865671037325</v>
      </c>
      <c r="AN17" s="59">
        <f ca="1">AVERAGE(OFFSET($AM$3,0,0,'Données projet'!$E$10+1,1))-AVERAGE(OFFSET($H$3,0,0,'Données projet'!$E$10+1,1))</f>
        <v>214.93913810439858</v>
      </c>
      <c r="AO17" s="59">
        <f t="shared" si="36"/>
        <v>210.65603079265924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5.0894117647058819</v>
      </c>
      <c r="BD17" s="12">
        <f>IF('Données projet'!$A$88&gt;35,BD16+BC17-BL16,IF(A17&lt;'Données projet'!$A$88,$BA$205^A17,IF(A17='Données projet'!$A$88,'Données projet'!$B$88,BD16+BC17-BL16)))</f>
        <v>8.3481402745177196</v>
      </c>
      <c r="BE17" s="13">
        <f>BD17*VLOOKUP('Données projet'!$B$11,Paramètres!$A$1:$I$89,3,0)*VLOOKUP('Données projet'!$B$11,Paramètres!$A$1:$I$89,5,0)</f>
        <v>7.553397320383632</v>
      </c>
      <c r="BF17" s="13">
        <f t="shared" si="37"/>
        <v>2.7509242233886888</v>
      </c>
      <c r="BG17" s="20">
        <f t="shared" si="7"/>
        <v>17.946693355403458</v>
      </c>
      <c r="BH17" s="59">
        <f t="shared" si="8"/>
        <v>311.28002668873677</v>
      </c>
      <c r="BI17" s="59">
        <f ca="1">AVERAGE(OFFSET($BH$3,0,0,'Données projet'!$E$11+1,1))-AVERAGE(OFFSET($H$3,0,0,'Données projet'!$E$11+1,1))</f>
        <v>507.69556381324213</v>
      </c>
      <c r="BJ17" s="59">
        <f t="shared" si="38"/>
        <v>129.52638237044044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3.3603333333333336</v>
      </c>
      <c r="BY17" s="12">
        <f>IF('Données projet'!$A$114&gt;35,BY16+BX17-CG16,IF(A17&lt;'Données projet'!$A$114,$BV$205^A17,IF(A17='Données projet'!$A$114,'Données projet'!$B$114,BY16+BX17-CG16)))</f>
        <v>47.044666666666686</v>
      </c>
      <c r="BZ17" s="13">
        <f>BY17*VLOOKUP('Données projet'!$B$12,Paramètres!$A$1:$I$89,3,0)*VLOOKUP('Données projet'!$B$12,Paramètres!$A$1:$I$89,5,0)</f>
        <v>45.501601600000022</v>
      </c>
      <c r="CA17" s="13">
        <f t="shared" si="39"/>
        <v>13.445731746118797</v>
      </c>
      <c r="CB17" s="20">
        <f t="shared" si="10"/>
        <v>102.6666055778236</v>
      </c>
      <c r="CC17" s="59">
        <f t="shared" si="11"/>
        <v>395.9999389111569</v>
      </c>
      <c r="CD17" s="59">
        <f ca="1">AVERAGE(OFFSET($CC$3,0,0,'Données projet'!$E$12+1,1))-AVERAGE(OFFSET($H$3,0,0,'Données projet'!$E$12+1,1))</f>
        <v>292.52253679467469</v>
      </c>
      <c r="CE17" s="59">
        <f t="shared" si="40"/>
        <v>155.7114133976541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1.7094017094017093</v>
      </c>
      <c r="CT17" s="12">
        <f>IF('Données projet'!$A$140&gt;35,CT16+CS17-DB16,IF(A17&lt;'Données projet'!$A$140,$CQ$205^A17,IF(A17='Données projet'!$A$140,'Données projet'!$B$140,CT16+CS17-DB16)))</f>
        <v>20.65410434591935</v>
      </c>
      <c r="CU17" s="17">
        <f>CT17*VLOOKUP('Données projet'!$B$13,Paramètres!$A$1:$I$89,3,0)*VLOOKUP('Données projet'!$B$13,Paramètres!$A$1:$I$89,5,0)</f>
        <v>16.110201389817092</v>
      </c>
      <c r="CV17" s="13">
        <f t="shared" si="41"/>
        <v>5.3721296027756829</v>
      </c>
      <c r="CW17" s="20">
        <f t="shared" si="13"/>
        <v>37.415059812099081</v>
      </c>
      <c r="CX17" s="59">
        <f t="shared" si="14"/>
        <v>330.74839314543237</v>
      </c>
      <c r="CY17" s="59">
        <f ca="1">AVERAGE(OFFSET($CX$3,0,0,'Données projet'!$E$13+1,1))-AVERAGE(OFFSET($H$3,0,0,'Données projet'!$E$13+1,1))</f>
        <v>100.54865094989304</v>
      </c>
      <c r="CZ17" s="59">
        <f t="shared" si="42"/>
        <v>99.95654161405389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4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18" s="11">
        <f t="shared" si="32"/>
        <v>4.4760006109979766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135.70526787437032</v>
      </c>
      <c r="H18" s="67">
        <f t="shared" si="1"/>
        <v>323.95183439748814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11.245555555555555</v>
      </c>
      <c r="N18" s="13">
        <f>IF('Données projet'!$A$36&gt;35,N17+M18-V17,IF(A18&lt;'Données projet'!$A$36,$K$205^A18,IF(A18='Données projet'!$A$36,'Données projet'!$B$36,N17+M18-V17)))</f>
        <v>83.536802976876828</v>
      </c>
      <c r="O18" s="13">
        <f>N18*VLOOKUP('Données projet'!$B$9,Paramètres!$A$1:$I$89,3,0)*VLOOKUP('Données projet'!$B$9,Paramètres!$A$1:$I$89,5,0)</f>
        <v>46.697072864074151</v>
      </c>
      <c r="P18" s="13">
        <f t="shared" si="33"/>
        <v>13.757401339143543</v>
      </c>
      <c r="Q18" s="20">
        <f t="shared" si="2"/>
        <v>105.29154257060414</v>
      </c>
      <c r="R18" s="59">
        <f t="shared" si="0"/>
        <v>398.62487590393744</v>
      </c>
      <c r="S18" s="59">
        <f ca="1">AVERAGE(OFFSET($R$3,0,0,'Données projet'!$E$9+1,1))-AVERAGE(OFFSET($H$3,0,0,'Données projet'!$E$9+1,1))</f>
        <v>324.69474275039357</v>
      </c>
      <c r="T18" s="59">
        <f t="shared" si="34"/>
        <v>437.68177084535927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7.2723529411764707</v>
      </c>
      <c r="AI18" s="13">
        <f>IF('Données projet'!$A$62&gt;35,AI17+AH18-AQ17,IF(A18&lt;'Données projet'!$A$62,$AF$205^A18,IF(A18='Données projet'!$A$62,'Données projet'!$B$62,AI17+AH18-AQ17)))</f>
        <v>70.144181088230326</v>
      </c>
      <c r="AJ18" s="13">
        <f>AI18*VLOOKUP('Données projet'!$B$10,Paramètres!$A$1:$I$89,3,0)*VLOOKUP('Données projet'!$B$10,Paramètres!$A$1:$I$89,5,0)</f>
        <v>41.946220290761737</v>
      </c>
      <c r="AK18" s="13">
        <f t="shared" si="35"/>
        <v>12.51305785014169</v>
      </c>
      <c r="AL18" s="20">
        <f t="shared" si="4"/>
        <v>94.849909428740133</v>
      </c>
      <c r="AM18" s="59">
        <f t="shared" si="5"/>
        <v>388.18324276207346</v>
      </c>
      <c r="AN18" s="59">
        <f ca="1">AVERAGE(OFFSET($AM$3,0,0,'Données projet'!$E$10+1,1))-AVERAGE(OFFSET($H$3,0,0,'Données projet'!$E$10+1,1))</f>
        <v>214.93913810439858</v>
      </c>
      <c r="AO18" s="59">
        <f t="shared" si="36"/>
        <v>210.65603079265924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5.0894117647058819</v>
      </c>
      <c r="BD18" s="12">
        <f>IF('Données projet'!$A$88&gt;35,BD17+BC18-BL17,IF(A18&lt;'Données projet'!$A$88,$BA$205^A18,IF(A18='Données projet'!$A$88,'Données projet'!$B$88,BD17+BC18-BL17)))</f>
        <v>9.7144356630330186</v>
      </c>
      <c r="BE18" s="13">
        <f>BD18*VLOOKUP('Données projet'!$B$11,Paramètres!$A$1:$I$89,3,0)*VLOOKUP('Données projet'!$B$11,Paramètres!$A$1:$I$89,5,0)</f>
        <v>8.7896213879122751</v>
      </c>
      <c r="BF18" s="13">
        <f t="shared" si="37"/>
        <v>3.1451698626990985</v>
      </c>
      <c r="BG18" s="20">
        <f t="shared" si="7"/>
        <v>20.786428094814809</v>
      </c>
      <c r="BH18" s="59">
        <f t="shared" si="8"/>
        <v>314.11976142814814</v>
      </c>
      <c r="BI18" s="59">
        <f ca="1">AVERAGE(OFFSET($BH$3,0,0,'Données projet'!$E$11+1,1))-AVERAGE(OFFSET($H$3,0,0,'Données projet'!$E$11+1,1))</f>
        <v>507.69556381324213</v>
      </c>
      <c r="BJ18" s="59">
        <f t="shared" si="38"/>
        <v>129.52638237044044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3.3603333333333336</v>
      </c>
      <c r="BY18" s="12">
        <f>IF('Données projet'!$A$114&gt;35,BY17+BX18-CG17,IF(A18&lt;'Données projet'!$A$114,$BV$205^A18,IF(A18='Données projet'!$A$114,'Données projet'!$B$114,BY17+BX18-CG17)))</f>
        <v>50.405000000000022</v>
      </c>
      <c r="BZ18" s="13">
        <f>BY18*VLOOKUP('Données projet'!$B$12,Paramètres!$A$1:$I$89,3,0)*VLOOKUP('Données projet'!$B$12,Paramètres!$A$1:$I$89,5,0)</f>
        <v>48.751716000000023</v>
      </c>
      <c r="CA18" s="13">
        <f t="shared" si="39"/>
        <v>14.290912055376443</v>
      </c>
      <c r="CB18" s="20">
        <f t="shared" si="10"/>
        <v>109.79924386311403</v>
      </c>
      <c r="CC18" s="59">
        <f t="shared" si="11"/>
        <v>403.13257719644736</v>
      </c>
      <c r="CD18" s="59">
        <f ca="1">AVERAGE(OFFSET($CC$3,0,0,'Données projet'!$E$12+1,1))-AVERAGE(OFFSET($H$3,0,0,'Données projet'!$E$12+1,1))</f>
        <v>292.52253679467469</v>
      </c>
      <c r="CE18" s="59">
        <f t="shared" si="40"/>
        <v>155.7114133976541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>
        <f>VLOOKUP(A18,'Données projet'!$A$139:$I$159,2,0)</f>
        <v>25.641025641025639</v>
      </c>
      <c r="CR18" s="12">
        <f>VLOOKUP(A18,'Données projet'!$A$139:$I$159,9,0)</f>
        <v>1.7094017094017093</v>
      </c>
      <c r="CS18" s="12">
        <f t="array" ref="CS18">INDEX(CR:CR,MIN(IF(ISNUMBER(CR18:CR214),ROW(CR18:CR214),"")))</f>
        <v>1.7094017094017093</v>
      </c>
      <c r="CT18" s="12">
        <f>IF('Données projet'!$A$140&gt;35,CT17+CS18-DB17,IF(A18&lt;'Données projet'!$A$140,$CQ$205^A18,IF(A18='Données projet'!$A$140,'Données projet'!$B$140,CT17+CS18-DB17)))</f>
        <v>25.641025641025639</v>
      </c>
      <c r="CU18" s="17">
        <f>CT18*VLOOKUP('Données projet'!$B$13,Paramètres!$A$1:$I$89,3,0)*VLOOKUP('Données projet'!$B$13,Paramètres!$A$1:$I$89,5,0)</f>
        <v>20</v>
      </c>
      <c r="CV18" s="13">
        <f t="shared" si="41"/>
        <v>6.5034254923678825</v>
      </c>
      <c r="CW18" s="20">
        <f t="shared" si="13"/>
        <v>46.160132732540724</v>
      </c>
      <c r="CX18" s="59">
        <f t="shared" si="14"/>
        <v>339.49346606587403</v>
      </c>
      <c r="CY18" s="59">
        <f ca="1">AVERAGE(OFFSET($CX$3,0,0,'Données projet'!$E$13+1,1))-AVERAGE(OFFSET($H$3,0,0,'Données projet'!$E$13+1,1))</f>
        <v>100.54865094989304</v>
      </c>
      <c r="CZ18" s="59">
        <f t="shared" si="42"/>
        <v>99.95654161405389</v>
      </c>
      <c r="DA18" s="15">
        <f>IF(ISNA(VLOOKUP(A18,'Données projet'!$A$139:$I$159,3,0)),0,VLOOKUP(A18,'Données projet'!$A$139:$I$159,3,0))</f>
        <v>1</v>
      </c>
      <c r="DB18" s="15">
        <f>IF(ISNA(VLOOKUP(A18,'Données projet'!$A$139:$I$159,4,0)),0,VLOOKUP(A18,'Données projet'!$A$139:$I$159,4,0))</f>
        <v>1.9230769230769229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0.1075</v>
      </c>
      <c r="DE18" s="16">
        <f>IF(ISNA(VLOOKUP(A18,'Données projet'!$A$139:$I$159,7,0)),0%,VLOOKUP(A18,'Données projet'!$A$139:$I$159,7,0))</f>
        <v>0.25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0.17755523258082798</v>
      </c>
      <c r="DH18" s="21">
        <f>EXP(-LN(2)/2)*DH17+(1-EXP(-LN(2)/2))/(LN(2)/2)*DB18*DE18*VLOOKUP('Données projet'!$B$13,Paramètres!$A$1:$I$89,3,0)*0.475*44/12</f>
        <v>0.35382259297702051</v>
      </c>
      <c r="DI18" s="22">
        <f t="shared" si="15"/>
        <v>0.53137782555784852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4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13.977599999999997</v>
      </c>
      <c r="D19" s="11">
        <f t="shared" si="32"/>
        <v>4.7386683822915021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144.47645768786421</v>
      </c>
      <c r="H19" s="67">
        <f t="shared" si="1"/>
        <v>325.93083409915766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11.245555555555555</v>
      </c>
      <c r="N19" s="13">
        <f>IF('Données projet'!$A$36&gt;35,N18+M19-V18,IF(A19&lt;'Données projet'!$A$36,$K$205^A19,IF(A19='Données projet'!$A$36,'Données projet'!$B$36,N18+M19-V18)))</f>
        <v>112.20263094991134</v>
      </c>
      <c r="O19" s="13">
        <f>N19*VLOOKUP('Données projet'!$B$9,Paramètres!$A$1:$I$89,3,0)*VLOOKUP('Données projet'!$B$9,Paramètres!$A$1:$I$89,5,0)</f>
        <v>62.721270701000442</v>
      </c>
      <c r="P19" s="13">
        <f t="shared" si="33"/>
        <v>17.854505435700844</v>
      </c>
      <c r="Q19" s="20">
        <f t="shared" si="2"/>
        <v>140.33614343808804</v>
      </c>
      <c r="R19" s="59">
        <f t="shared" si="0"/>
        <v>433.66947677142139</v>
      </c>
      <c r="S19" s="59">
        <f ca="1">AVERAGE(OFFSET($R$3,0,0,'Données projet'!$E$9+1,1))-AVERAGE(OFFSET($H$3,0,0,'Données projet'!$E$9+1,1))</f>
        <v>324.69474275039357</v>
      </c>
      <c r="T19" s="59">
        <f t="shared" si="34"/>
        <v>437.68177084535927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7.2723529411764707</v>
      </c>
      <c r="AI19" s="13">
        <f>IF('Données projet'!$A$62&gt;35,AI18+AH19-AQ18,IF(A19&lt;'Données projet'!$A$62,$AF$205^A19,IF(A19='Données projet'!$A$62,'Données projet'!$B$62,AI18+AH19-AQ18)))</f>
        <v>93.123171702524758</v>
      </c>
      <c r="AJ19" s="13">
        <f>AI19*VLOOKUP('Données projet'!$B$10,Paramètres!$A$1:$I$89,3,0)*VLOOKUP('Données projet'!$B$10,Paramètres!$A$1:$I$89,5,0)</f>
        <v>55.687656678109811</v>
      </c>
      <c r="AK19" s="13">
        <f t="shared" si="35"/>
        <v>16.073285805897523</v>
      </c>
      <c r="AL19" s="20">
        <f t="shared" si="4"/>
        <v>124.98364149297942</v>
      </c>
      <c r="AM19" s="59">
        <f t="shared" si="5"/>
        <v>418.31697482631273</v>
      </c>
      <c r="AN19" s="59">
        <f ca="1">AVERAGE(OFFSET($AM$3,0,0,'Données projet'!$E$10+1,1))-AVERAGE(OFFSET($H$3,0,0,'Données projet'!$E$10+1,1))</f>
        <v>214.93913810439858</v>
      </c>
      <c r="AO19" s="59">
        <f t="shared" si="36"/>
        <v>210.65603079265924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5.0894117647058819</v>
      </c>
      <c r="BD19" s="12">
        <f>IF('Données projet'!$A$88&gt;35,BD18+BC19-BL18,IF(A19&lt;'Données projet'!$A$88,$BA$205^A19,IF(A19='Données projet'!$A$88,'Données projet'!$B$88,BD18+BC19-BL18)))</f>
        <v>11.304345297031993</v>
      </c>
      <c r="BE19" s="13">
        <f>BD19*VLOOKUP('Données projet'!$B$11,Paramètres!$A$1:$I$89,3,0)*VLOOKUP('Données projet'!$B$11,Paramètres!$A$1:$I$89,5,0)</f>
        <v>10.228171624754548</v>
      </c>
      <c r="BF19" s="13">
        <f t="shared" si="37"/>
        <v>3.5959163764406497</v>
      </c>
      <c r="BG19" s="20">
        <f t="shared" si="7"/>
        <v>24.076953268748301</v>
      </c>
      <c r="BH19" s="59">
        <f t="shared" si="8"/>
        <v>317.41028660208161</v>
      </c>
      <c r="BI19" s="59">
        <f ca="1">AVERAGE(OFFSET($BH$3,0,0,'Données projet'!$E$11+1,1))-AVERAGE(OFFSET($H$3,0,0,'Données projet'!$E$11+1,1))</f>
        <v>507.69556381324213</v>
      </c>
      <c r="BJ19" s="59">
        <f t="shared" si="38"/>
        <v>129.52638237044044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3.3603333333333336</v>
      </c>
      <c r="BY19" s="12">
        <f>IF('Données projet'!$A$114&gt;35,BY18+BX19-CG18,IF(A19&lt;'Données projet'!$A$114,$BV$205^A19,IF(A19='Données projet'!$A$114,'Données projet'!$B$114,BY18+BX19-CG18)))</f>
        <v>53.765333333333359</v>
      </c>
      <c r="BZ19" s="13">
        <f>BY19*VLOOKUP('Données projet'!$B$12,Paramètres!$A$1:$I$89,3,0)*VLOOKUP('Données projet'!$B$12,Paramètres!$A$1:$I$89,5,0)</f>
        <v>52.001830400000031</v>
      </c>
      <c r="CA19" s="13">
        <f t="shared" si="39"/>
        <v>15.129554036370385</v>
      </c>
      <c r="CB19" s="20">
        <f t="shared" si="10"/>
        <v>116.92049456001179</v>
      </c>
      <c r="CC19" s="59">
        <f t="shared" si="11"/>
        <v>410.25382789334509</v>
      </c>
      <c r="CD19" s="59">
        <f ca="1">AVERAGE(OFFSET($CC$3,0,0,'Données projet'!$E$12+1,1))-AVERAGE(OFFSET($H$3,0,0,'Données projet'!$E$12+1,1))</f>
        <v>292.52253679467469</v>
      </c>
      <c r="CE19" s="59">
        <f t="shared" si="40"/>
        <v>155.7114133976541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6.1538461538461533</v>
      </c>
      <c r="CT19" s="12">
        <f>IF('Données projet'!$A$140&gt;35,CT18+CS19-DB18,IF(A19&lt;'Données projet'!$A$140,$CQ$205^A19,IF(A19='Données projet'!$A$140,'Données projet'!$B$140,CT18+CS19-DB18)))</f>
        <v>29.871794871794869</v>
      </c>
      <c r="CU19" s="17">
        <f>CT19*VLOOKUP('Données projet'!$B$13,Paramètres!$A$1:$I$89,3,0)*VLOOKUP('Données projet'!$B$13,Paramètres!$A$1:$I$89,5,0)</f>
        <v>23.299999999999997</v>
      </c>
      <c r="CV19" s="13">
        <f t="shared" si="41"/>
        <v>7.4429955046030809</v>
      </c>
      <c r="CW19" s="20">
        <f t="shared" si="13"/>
        <v>53.544050503850364</v>
      </c>
      <c r="CX19" s="59">
        <f t="shared" si="14"/>
        <v>346.87738383718369</v>
      </c>
      <c r="CY19" s="59">
        <f ca="1">AVERAGE(OFFSET($CX$3,0,0,'Données projet'!$E$13+1,1))-AVERAGE(OFFSET($H$3,0,0,'Données projet'!$E$13+1,1))</f>
        <v>100.54865094989304</v>
      </c>
      <c r="CZ19" s="59">
        <f t="shared" si="42"/>
        <v>99.95654161405389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0.17269997540868137</v>
      </c>
      <c r="DH19" s="21">
        <f>EXP(-LN(2)/2)*DH18+(1-EXP(-LN(2)/2))/(LN(2)/2)*DB19*DE19*VLOOKUP('Données projet'!$B$13,Paramètres!$A$1:$I$89,3,0)*0.475*44/12</f>
        <v>0.25019035483105895</v>
      </c>
      <c r="DI19" s="22">
        <f t="shared" si="15"/>
        <v>0.42289033023974032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4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14.851199999999997</v>
      </c>
      <c r="D20" s="11">
        <f t="shared" si="32"/>
        <v>4.9994308705687178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153.23294005351292</v>
      </c>
      <c r="H20" s="67">
        <f t="shared" si="1"/>
        <v>327.90651543290716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11.245555555555555</v>
      </c>
      <c r="N20" s="13">
        <f>IF('Données projet'!$A$36&gt;35,N19+M20-V19,IF(A20&lt;'Données projet'!$A$36,$K$205^A20,IF(A20='Données projet'!$A$36,'Données projet'!$B$36,N19+M20-V19)))</f>
        <v>150.70519751117101</v>
      </c>
      <c r="O20" s="13">
        <f>N20*VLOOKUP('Données projet'!$B$9,Paramètres!$A$1:$I$89,3,0)*VLOOKUP('Données projet'!$B$9,Paramètres!$A$1:$I$89,5,0)</f>
        <v>84.244205408744605</v>
      </c>
      <c r="P20" s="13">
        <f t="shared" si="33"/>
        <v>23.171771797224942</v>
      </c>
      <c r="Q20" s="20">
        <f t="shared" si="2"/>
        <v>187.08282696706362</v>
      </c>
      <c r="R20" s="59">
        <f t="shared" si="0"/>
        <v>480.41616030039694</v>
      </c>
      <c r="S20" s="59">
        <f ca="1">AVERAGE(OFFSET($R$3,0,0,'Données projet'!$E$9+1,1))-AVERAGE(OFFSET($H$3,0,0,'Données projet'!$E$9+1,1))</f>
        <v>324.69474275039357</v>
      </c>
      <c r="T20" s="59">
        <f t="shared" si="34"/>
        <v>437.68177084535927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>
        <f>VLOOKUP(A20,'Données projet'!$A$61:$I$81,2,0)</f>
        <v>123.63</v>
      </c>
      <c r="AG20" s="12">
        <f>VLOOKUP(A20,'Données projet'!$A$61:$I$81,9,0)</f>
        <v>7.2723529411764707</v>
      </c>
      <c r="AH20" s="12">
        <f t="array" ref="AH20">INDEX(AG:AG,MIN(IF(ISNUMBER(AG20:AG216),ROW(AG20:AG216),"")))</f>
        <v>7.2723529411764707</v>
      </c>
      <c r="AI20" s="13">
        <f>IF('Données projet'!$A$62&gt;35,AI19+AH20-AQ19,IF(A20&lt;'Données projet'!$A$62,$AF$205^A20,IF(A20='Données projet'!$A$62,'Données projet'!$B$62,AI19+AH20-AQ19)))</f>
        <v>123.63</v>
      </c>
      <c r="AJ20" s="13">
        <f>AI20*VLOOKUP('Données projet'!$B$10,Paramètres!$A$1:$I$89,3,0)*VLOOKUP('Données projet'!$B$10,Paramètres!$A$1:$I$89,5,0)</f>
        <v>73.93074</v>
      </c>
      <c r="AK20" s="13">
        <f t="shared" si="35"/>
        <v>20.646473443351134</v>
      </c>
      <c r="AL20" s="20">
        <f t="shared" si="4"/>
        <v>164.72198008050322</v>
      </c>
      <c r="AM20" s="59">
        <f t="shared" si="5"/>
        <v>458.05531341383653</v>
      </c>
      <c r="AN20" s="59">
        <f ca="1">AVERAGE(OFFSET($AM$3,0,0,'Données projet'!$E$10+1,1))-AVERAGE(OFFSET($H$3,0,0,'Données projet'!$E$10+1,1))</f>
        <v>214.93913810439858</v>
      </c>
      <c r="AO20" s="59">
        <f t="shared" si="36"/>
        <v>210.65603079265924</v>
      </c>
      <c r="AP20" s="15">
        <f>IF(ISNA(VLOOKUP(A20,'Données projet'!$A$61:$I$81,3,0)),0,VLOOKUP(A20,'Données projet'!$A$61:$I$81,3,0))</f>
        <v>1</v>
      </c>
      <c r="AQ20" s="15">
        <f>IF(ISNA(VLOOKUP(A20,'Données projet'!$A$61:$I$81,4,0)),0,VLOOKUP(A20,'Données projet'!$A$61:$I$81,4,0))</f>
        <v>41.179999999999993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0.22500000000000001</v>
      </c>
      <c r="AT20" s="16">
        <f>IF(ISNA(VLOOKUP(A20,'Données projet'!$A$61:$I$81,7,0)),0%,VLOOKUP(A20,'Données projet'!$A$61:$I$81,7,0))</f>
        <v>0.5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7.3212467235098906</v>
      </c>
      <c r="AW20" s="21">
        <f>EXP(-LN(2)/2)*AW19+(1-EXP(-LN(2)/2))/(LN(2)/2)*AQ20*AT20*VLOOKUP('Données projet'!$B$10,Paramètres!$A$1:$I$89,3,0)*0.475*44/12</f>
        <v>13.940972477629819</v>
      </c>
      <c r="AX20" s="21">
        <f t="shared" si="6"/>
        <v>21.262219201139708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5.0894117647058819</v>
      </c>
      <c r="BD20" s="12">
        <f>IF('Données projet'!$A$88&gt;35,BD19+BC20-BL19,IF(A20&lt;'Données projet'!$A$88,$BA$205^A20,IF(A20='Données projet'!$A$88,'Données projet'!$B$88,BD19+BC20-BL19)))</f>
        <v>13.154466921924275</v>
      </c>
      <c r="BE20" s="13">
        <f>BD20*VLOOKUP('Données projet'!$B$11,Paramètres!$A$1:$I$89,3,0)*VLOOKUP('Données projet'!$B$11,Paramètres!$A$1:$I$89,5,0)</f>
        <v>11.902161670957083</v>
      </c>
      <c r="BF20" s="13">
        <f t="shared" si="37"/>
        <v>4.1112611244651047</v>
      </c>
      <c r="BG20" s="20">
        <f t="shared" si="7"/>
        <v>27.890044702026973</v>
      </c>
      <c r="BH20" s="59">
        <f t="shared" si="8"/>
        <v>321.22337803536027</v>
      </c>
      <c r="BI20" s="59">
        <f ca="1">AVERAGE(OFFSET($BH$3,0,0,'Données projet'!$E$11+1,1))-AVERAGE(OFFSET($H$3,0,0,'Données projet'!$E$11+1,1))</f>
        <v>507.69556381324213</v>
      </c>
      <c r="BJ20" s="59">
        <f t="shared" si="38"/>
        <v>129.52638237044044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3.3603333333333336</v>
      </c>
      <c r="BY20" s="12">
        <f>IF('Données projet'!$A$114&gt;35,BY19+BX20-CG19,IF(A20&lt;'Données projet'!$A$114,$BV$205^A20,IF(A20='Données projet'!$A$114,'Données projet'!$B$114,BY19+BX20-CG19)))</f>
        <v>57.125666666666696</v>
      </c>
      <c r="BZ20" s="13">
        <f>BY20*VLOOKUP('Données projet'!$B$12,Paramètres!$A$1:$I$89,3,0)*VLOOKUP('Données projet'!$B$12,Paramètres!$A$1:$I$89,5,0)</f>
        <v>55.251944800000032</v>
      </c>
      <c r="CA20" s="13">
        <f t="shared" si="39"/>
        <v>15.962112856437207</v>
      </c>
      <c r="CB20" s="20">
        <f t="shared" si="10"/>
        <v>124.03115041829483</v>
      </c>
      <c r="CC20" s="59">
        <f t="shared" si="11"/>
        <v>417.36448375162814</v>
      </c>
      <c r="CD20" s="59">
        <f ca="1">AVERAGE(OFFSET($CC$3,0,0,'Données projet'!$E$12+1,1))-AVERAGE(OFFSET($H$3,0,0,'Données projet'!$E$12+1,1))</f>
        <v>292.52253679467469</v>
      </c>
      <c r="CE20" s="59">
        <f t="shared" si="40"/>
        <v>155.7114133976541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6.1538461538461533</v>
      </c>
      <c r="CT20" s="12">
        <f>IF('Données projet'!$A$140&gt;35,CT19+CS20-DB19,IF(A20&lt;'Données projet'!$A$140,$CQ$205^A20,IF(A20='Données projet'!$A$140,'Données projet'!$B$140,CT19+CS20-DB19)))</f>
        <v>36.025641025641022</v>
      </c>
      <c r="CU20" s="17">
        <f>CT20*VLOOKUP('Données projet'!$B$13,Paramètres!$A$1:$I$89,3,0)*VLOOKUP('Données projet'!$B$13,Paramètres!$A$1:$I$89,5,0)</f>
        <v>28.099999999999998</v>
      </c>
      <c r="CV20" s="13">
        <f t="shared" si="41"/>
        <v>8.7827186210663637</v>
      </c>
      <c r="CW20" s="20">
        <f t="shared" si="13"/>
        <v>64.237401598357238</v>
      </c>
      <c r="CX20" s="59">
        <f t="shared" si="14"/>
        <v>357.57073493169054</v>
      </c>
      <c r="CY20" s="59">
        <f ca="1">AVERAGE(OFFSET($CX$3,0,0,'Données projet'!$E$13+1,1))-AVERAGE(OFFSET($H$3,0,0,'Données projet'!$E$13+1,1))</f>
        <v>100.54865094989304</v>
      </c>
      <c r="CZ20" s="59">
        <f t="shared" si="42"/>
        <v>99.95654161405389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0.167977485499234</v>
      </c>
      <c r="DH20" s="21">
        <f>EXP(-LN(2)/2)*DH19+(1-EXP(-LN(2)/2))/(LN(2)/2)*DB20*DE20*VLOOKUP('Données projet'!$B$13,Paramètres!$A$1:$I$89,3,0)*0.475*44/12</f>
        <v>0.17691129648851028</v>
      </c>
      <c r="DI20" s="22">
        <f t="shared" si="15"/>
        <v>0.34488878198774431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4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15.724799999999997</v>
      </c>
      <c r="D21" s="11">
        <f t="shared" si="32"/>
        <v>5.2584129176484726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161.9756786625496</v>
      </c>
      <c r="H21" s="67">
        <f t="shared" si="1"/>
        <v>329.87909583157108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202.42</v>
      </c>
      <c r="L21" s="12">
        <f>VLOOKUP(A21,'Données projet'!$A$35:$I$55,9,0)</f>
        <v>11.245555555555555</v>
      </c>
      <c r="M21" s="12">
        <f t="array" ref="M21">INDEX(L:L,MIN(IF(ISNUMBER(L21:L217),ROW(L21:L217),"")))</f>
        <v>11.245555555555555</v>
      </c>
      <c r="N21" s="13">
        <f>IF('Données projet'!$A$36&gt;35,N20+M21-V20,IF(A21&lt;'Données projet'!$A$36,$K$205^A21,IF(A21='Données projet'!$A$36,'Données projet'!$B$36,N20+M21-V20)))</f>
        <v>202.42</v>
      </c>
      <c r="O21" s="13">
        <f>N21*VLOOKUP('Données projet'!$B$9,Paramètres!$A$1:$I$89,3,0)*VLOOKUP('Données projet'!$B$9,Paramètres!$A$1:$I$89,5,0)</f>
        <v>113.15278000000001</v>
      </c>
      <c r="P21" s="13">
        <f t="shared" si="33"/>
        <v>30.072578047950454</v>
      </c>
      <c r="Q21" s="20">
        <f t="shared" si="2"/>
        <v>249.45083193351374</v>
      </c>
      <c r="R21" s="59">
        <f t="shared" si="0"/>
        <v>542.78416526684703</v>
      </c>
      <c r="S21" s="59">
        <f ca="1">AVERAGE(OFFSET($R$3,0,0,'Données projet'!$E$9+1,1))-AVERAGE(OFFSET($H$3,0,0,'Données projet'!$E$9+1,1))</f>
        <v>324.69474275039357</v>
      </c>
      <c r="T21" s="59">
        <f t="shared" si="34"/>
        <v>437.68177084535927</v>
      </c>
      <c r="U21" s="15">
        <f>IF(ISNA(VLOOKUP(A21,'Données projet'!$A$35:$I$55,3,0)),0,VLOOKUP(A21,'Données projet'!$A$35:$I$55,3,0))</f>
        <v>1</v>
      </c>
      <c r="V21" s="15">
        <f>IF(ISNA(VLOOKUP(A21,'Données projet'!$A$35:$I$55,4,0)),0,VLOOKUP(A21,'Données projet'!$A$35:$I$55,4,0))</f>
        <v>74.829999999999984</v>
      </c>
      <c r="W21" s="16">
        <f>IF(ISNA(VLOOKUP(A21,'Données projet'!$A$35:$I$55,5,0)),0%,VLOOKUP(A21,'Données projet'!$A$35:$I$55,5,0)*VLOOKUP('Données projet'!$B$9,Paramètres!$A$1:$I$89,7,0))</f>
        <v>0.13750000000000001</v>
      </c>
      <c r="X21" s="16">
        <f>IF(ISNA(VLOOKUP(A21,'Données projet'!$A$35:$I$55,6,0)),0%,VLOOKUP(A21,'Données projet'!$A$35:$I$55,6,0)*VLOOKUP('Données projet'!$B$9,Paramètres!$A$1:$I$89,7,0))</f>
        <v>0.20350000000000001</v>
      </c>
      <c r="Y21" s="16">
        <f>IF(ISNA(VLOOKUP(A21,'Données projet'!$A$35:$I$55,7,0)),0%,VLOOKUP(A21,'Données projet'!$A$35:$I$55,7,0))</f>
        <v>0.38</v>
      </c>
      <c r="Z21" s="21">
        <f>EXP(-LN(2)/35)*Z20+(1-EXP(-LN(2)/35))/(LN(2)/35)*V21*W21*VLOOKUP('Données projet'!$B$9,Paramètres!$A$1:$I$89,3,0)*0.475*44/12</f>
        <v>7.6298958139390658</v>
      </c>
      <c r="AA21" s="21">
        <f>EXP(-LN(2)/25)*AA20+(1-EXP(-LN(2)/25))/(LN(2)/25)*Calculateur!V21*Calculateur!X21*VLOOKUP('Données projet'!$B$9,Paramètres!$A$1:$I$89,3,0)*0.475*44/12</f>
        <v>11.247783930214013</v>
      </c>
      <c r="AB21" s="21">
        <f>EXP(-LN(2)/2)*AB20+(1-EXP(-LN(2)/2))/(LN(2)/2)*V21*Y21*VLOOKUP('Données projet'!$B$9,Paramètres!$A$1:$I$89,3,0)*0.475*44/12</f>
        <v>17.997272354653987</v>
      </c>
      <c r="AC21" s="22">
        <f t="shared" si="3"/>
        <v>36.874952098807064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17.793333333333333</v>
      </c>
      <c r="AI21" s="13">
        <f>IF('Données projet'!$A$62&gt;35,AI20+AH21-AQ20,IF(A21&lt;'Données projet'!$A$62,$AF$205^A21,IF(A21='Données projet'!$A$62,'Données projet'!$B$62,AI20+AH21-AQ20)))</f>
        <v>100.24333333333333</v>
      </c>
      <c r="AJ21" s="13">
        <f>AI21*VLOOKUP('Données projet'!$B$10,Paramètres!$A$1:$I$89,3,0)*VLOOKUP('Données projet'!$B$10,Paramètres!$A$1:$I$89,5,0)</f>
        <v>59.945513333333338</v>
      </c>
      <c r="AK21" s="13">
        <f t="shared" si="35"/>
        <v>17.15449234531231</v>
      </c>
      <c r="AL21" s="20">
        <f t="shared" si="4"/>
        <v>134.28250989030781</v>
      </c>
      <c r="AM21" s="59">
        <f t="shared" si="5"/>
        <v>427.61584322364115</v>
      </c>
      <c r="AN21" s="59">
        <f ca="1">AVERAGE(OFFSET($AM$3,0,0,'Données projet'!$E$10+1,1))-AVERAGE(OFFSET($H$3,0,0,'Données projet'!$E$10+1,1))</f>
        <v>214.93913810439858</v>
      </c>
      <c r="AO21" s="59">
        <f t="shared" si="36"/>
        <v>210.65603079265924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7.1210468468478805</v>
      </c>
      <c r="AW21" s="21">
        <f>EXP(-LN(2)/2)*AW20+(1-EXP(-LN(2)/2))/(LN(2)/2)*AQ21*AT21*VLOOKUP('Données projet'!$B$10,Paramètres!$A$1:$I$89,3,0)*0.475*44/12</f>
        <v>9.8577561752670704</v>
      </c>
      <c r="AX21" s="21">
        <f t="shared" si="6"/>
        <v>16.978803022114953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5.0894117647058819</v>
      </c>
      <c r="BD21" s="12">
        <f>IF('Données projet'!$A$88&gt;35,BD20+BC21-BL20,IF(A21&lt;'Données projet'!$A$88,$BA$205^A21,IF(A21='Données projet'!$A$88,'Données projet'!$B$88,BD20+BC21-BL20)))</f>
        <v>15.307388040016111</v>
      </c>
      <c r="BE21" s="13">
        <f>BD21*VLOOKUP('Données projet'!$B$11,Paramètres!$A$1:$I$89,3,0)*VLOOKUP('Données projet'!$B$11,Paramètres!$A$1:$I$89,5,0)</f>
        <v>13.850124698606576</v>
      </c>
      <c r="BF21" s="13">
        <f t="shared" si="37"/>
        <v>4.7004619307272835</v>
      </c>
      <c r="BG21" s="20">
        <f t="shared" si="7"/>
        <v>32.30893837942314</v>
      </c>
      <c r="BH21" s="59">
        <f t="shared" si="8"/>
        <v>325.64227171275644</v>
      </c>
      <c r="BI21" s="59">
        <f ca="1">AVERAGE(OFFSET($BH$3,0,0,'Données projet'!$E$11+1,1))-AVERAGE(OFFSET($H$3,0,0,'Données projet'!$E$11+1,1))</f>
        <v>507.69556381324213</v>
      </c>
      <c r="BJ21" s="59">
        <f t="shared" si="38"/>
        <v>129.52638237044044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3.3603333333333336</v>
      </c>
      <c r="BY21" s="12">
        <f>IF('Données projet'!$A$114&gt;35,BY20+BX21-CG20,IF(A21&lt;'Données projet'!$A$114,$BV$205^A21,IF(A21='Données projet'!$A$114,'Données projet'!$B$114,BY20+BX21-CG20)))</f>
        <v>60.486000000000033</v>
      </c>
      <c r="BZ21" s="13">
        <f>BY21*VLOOKUP('Données projet'!$B$12,Paramètres!$A$1:$I$89,3,0)*VLOOKUP('Données projet'!$B$12,Paramètres!$A$1:$I$89,5,0)</f>
        <v>58.502059200000033</v>
      </c>
      <c r="CA21" s="13">
        <f t="shared" si="39"/>
        <v>16.788987108787442</v>
      </c>
      <c r="CB21" s="20">
        <f t="shared" si="10"/>
        <v>131.13190565447152</v>
      </c>
      <c r="CC21" s="59">
        <f t="shared" si="11"/>
        <v>424.46523898780481</v>
      </c>
      <c r="CD21" s="59">
        <f ca="1">AVERAGE(OFFSET($CC$3,0,0,'Données projet'!$E$12+1,1))-AVERAGE(OFFSET($H$3,0,0,'Données projet'!$E$12+1,1))</f>
        <v>292.52253679467469</v>
      </c>
      <c r="CE21" s="59">
        <f t="shared" si="40"/>
        <v>155.7114133976541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6.1538461538461533</v>
      </c>
      <c r="CT21" s="12">
        <f>IF('Données projet'!$A$140&gt;35,CT20+CS21-DB20,IF(A21&lt;'Données projet'!$A$140,$CQ$205^A21,IF(A21='Données projet'!$A$140,'Données projet'!$B$140,CT20+CS21-DB20)))</f>
        <v>42.179487179487175</v>
      </c>
      <c r="CU21" s="17">
        <f>CT21*VLOOKUP('Données projet'!$B$13,Paramètres!$A$1:$I$89,3,0)*VLOOKUP('Données projet'!$B$13,Paramètres!$A$1:$I$89,5,0)</f>
        <v>32.9</v>
      </c>
      <c r="CV21" s="13">
        <f t="shared" si="41"/>
        <v>10.09593068723915</v>
      </c>
      <c r="CW21" s="20">
        <f t="shared" si="13"/>
        <v>74.884579280274849</v>
      </c>
      <c r="CX21" s="59">
        <f t="shared" si="14"/>
        <v>368.21791261360818</v>
      </c>
      <c r="CY21" s="59">
        <f ca="1">AVERAGE(OFFSET($CX$3,0,0,'Données projet'!$E$13+1,1))-AVERAGE(OFFSET($H$3,0,0,'Données projet'!$E$13+1,1))</f>
        <v>100.54865094989304</v>
      </c>
      <c r="CZ21" s="59">
        <f t="shared" si="42"/>
        <v>99.95654161405389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0.16338413232470539</v>
      </c>
      <c r="DH21" s="21">
        <f>EXP(-LN(2)/2)*DH20+(1-EXP(-LN(2)/2))/(LN(2)/2)*DB21*DE21*VLOOKUP('Données projet'!$B$13,Paramètres!$A$1:$I$89,3,0)*0.475*44/12</f>
        <v>0.12509517741552947</v>
      </c>
      <c r="DI21" s="22">
        <f t="shared" si="15"/>
        <v>0.28847930974023483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4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16.598399999999998</v>
      </c>
      <c r="D22" s="11">
        <f t="shared" si="32"/>
        <v>5.5157247105992537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170.70552408181879</v>
      </c>
      <c r="H22" s="67">
        <f t="shared" si="1"/>
        <v>331.84876720429367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26.928333333333338</v>
      </c>
      <c r="N22" s="13">
        <f>IF('Données projet'!$A$36&gt;35,N21+M22-V21,IF(A22&lt;'Données projet'!$A$36,$K$205^A22,IF(A22='Données projet'!$A$36,'Données projet'!$B$36,N21+M22-V21)))</f>
        <v>154.51833333333335</v>
      </c>
      <c r="O22" s="13">
        <f>N22*VLOOKUP('Données projet'!$B$9,Paramètres!$A$1:$I$89,3,0)*VLOOKUP('Données projet'!$B$9,Paramètres!$A$1:$I$89,5,0)</f>
        <v>86.375748333333348</v>
      </c>
      <c r="P22" s="13">
        <f t="shared" si="33"/>
        <v>23.689062822194892</v>
      </c>
      <c r="Q22" s="20">
        <f t="shared" si="2"/>
        <v>191.696212762545</v>
      </c>
      <c r="R22" s="59">
        <f t="shared" si="0"/>
        <v>485.02954609587835</v>
      </c>
      <c r="S22" s="59">
        <f ca="1">AVERAGE(OFFSET($R$3,0,0,'Données projet'!$E$9+1,1))-AVERAGE(OFFSET($H$3,0,0,'Données projet'!$E$9+1,1))</f>
        <v>324.69474275039357</v>
      </c>
      <c r="T22" s="59">
        <f t="shared" si="34"/>
        <v>437.68177084535927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7.4802782108046451</v>
      </c>
      <c r="AA22" s="21">
        <f>EXP(-LN(2)/25)*AA21+(1-EXP(-LN(2)/25))/(LN(2)/25)*Calculateur!V22*Calculateur!X22*VLOOKUP('Données projet'!$B$9,Paramètres!$A$1:$I$89,3,0)*0.475*44/12</f>
        <v>10.94021268714706</v>
      </c>
      <c r="AB22" s="21">
        <f>EXP(-LN(2)/2)*AB21+(1-EXP(-LN(2)/2))/(LN(2)/2)*V22*Y22*VLOOKUP('Données projet'!$B$9,Paramètres!$A$1:$I$89,3,0)*0.475*44/12</f>
        <v>12.725993324837019</v>
      </c>
      <c r="AC22" s="22">
        <f t="shared" si="3"/>
        <v>31.146484222788722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17.793333333333333</v>
      </c>
      <c r="AI22" s="13">
        <f>IF('Données projet'!$A$62&gt;35,AI21+AH22-AQ21,IF(A22&lt;'Données projet'!$A$62,$AF$205^A22,IF(A22='Données projet'!$A$62,'Données projet'!$B$62,AI21+AH22-AQ21)))</f>
        <v>118.03666666666666</v>
      </c>
      <c r="AJ22" s="13">
        <f>AI22*VLOOKUP('Données projet'!$B$10,Paramètres!$A$1:$I$89,3,0)*VLOOKUP('Données projet'!$B$10,Paramètres!$A$1:$I$89,5,0)</f>
        <v>70.585926666666666</v>
      </c>
      <c r="AK22" s="13">
        <f t="shared" si="35"/>
        <v>19.818893148924182</v>
      </c>
      <c r="AL22" s="20">
        <f t="shared" si="4"/>
        <v>157.45506117882073</v>
      </c>
      <c r="AM22" s="59">
        <f t="shared" si="5"/>
        <v>450.78839451215401</v>
      </c>
      <c r="AN22" s="59">
        <f ca="1">AVERAGE(OFFSET($AM$3,0,0,'Données projet'!$E$10+1,1))-AVERAGE(OFFSET($H$3,0,0,'Données projet'!$E$10+1,1))</f>
        <v>214.93913810439858</v>
      </c>
      <c r="AO22" s="59">
        <f t="shared" si="36"/>
        <v>210.65603079265924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6.9263214463412472</v>
      </c>
      <c r="AW22" s="21">
        <f>EXP(-LN(2)/2)*AW21+(1-EXP(-LN(2)/2))/(LN(2)/2)*AQ22*AT22*VLOOKUP('Données projet'!$B$10,Paramètres!$A$1:$I$89,3,0)*0.475*44/12</f>
        <v>6.9704862388149103</v>
      </c>
      <c r="AX22" s="21">
        <f t="shared" si="6"/>
        <v>13.896807685156158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5.0894117647058819</v>
      </c>
      <c r="BD22" s="12">
        <f>IF('Données projet'!$A$88&gt;35,BD21+BC22-BL21,IF(A22&lt;'Données projet'!$A$88,$BA$205^A22,IF(A22='Données projet'!$A$88,'Données projet'!$B$88,BD21+BC22-BL21)))</f>
        <v>17.812666221927888</v>
      </c>
      <c r="BE22" s="13">
        <f>BD22*VLOOKUP('Données projet'!$B$11,Paramètres!$A$1:$I$89,3,0)*VLOOKUP('Données projet'!$B$11,Paramètres!$A$1:$I$89,5,0)</f>
        <v>16.11690039760035</v>
      </c>
      <c r="BF22" s="13">
        <f t="shared" si="37"/>
        <v>5.374103393904722</v>
      </c>
      <c r="BG22" s="20">
        <f t="shared" si="7"/>
        <v>37.430164936871329</v>
      </c>
      <c r="BH22" s="59">
        <f t="shared" si="8"/>
        <v>330.76349827020465</v>
      </c>
      <c r="BI22" s="59">
        <f ca="1">AVERAGE(OFFSET($BH$3,0,0,'Données projet'!$E$11+1,1))-AVERAGE(OFFSET($H$3,0,0,'Données projet'!$E$11+1,1))</f>
        <v>507.69556381324213</v>
      </c>
      <c r="BJ22" s="59">
        <f t="shared" si="38"/>
        <v>129.52638237044044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3.3603333333333336</v>
      </c>
      <c r="BY22" s="12">
        <f>IF('Données projet'!$A$114&gt;35,BY21+BX22-CG21,IF(A22&lt;'Données projet'!$A$114,$BV$205^A22,IF(A22='Données projet'!$A$114,'Données projet'!$B$114,BY21+BX22-CG21)))</f>
        <v>63.846333333333369</v>
      </c>
      <c r="BZ22" s="13">
        <f>BY22*VLOOKUP('Données projet'!$B$12,Paramètres!$A$1:$I$89,3,0)*VLOOKUP('Données projet'!$B$12,Paramètres!$A$1:$I$89,5,0)</f>
        <v>61.752173600000035</v>
      </c>
      <c r="CA22" s="13">
        <f t="shared" si="39"/>
        <v>17.610528597149965</v>
      </c>
      <c r="CB22" s="20">
        <f t="shared" si="10"/>
        <v>138.22337299336959</v>
      </c>
      <c r="CC22" s="59">
        <f t="shared" si="11"/>
        <v>431.55670632670291</v>
      </c>
      <c r="CD22" s="59">
        <f ca="1">AVERAGE(OFFSET($CC$3,0,0,'Données projet'!$E$12+1,1))-AVERAGE(OFFSET($H$3,0,0,'Données projet'!$E$12+1,1))</f>
        <v>292.52253679467469</v>
      </c>
      <c r="CE22" s="59">
        <f t="shared" si="40"/>
        <v>155.7114133976541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6.1538461538461533</v>
      </c>
      <c r="CT22" s="12">
        <f>IF('Données projet'!$A$140&gt;35,CT21+CS22-DB21,IF(A22&lt;'Données projet'!$A$140,$CQ$205^A22,IF(A22='Données projet'!$A$140,'Données projet'!$B$140,CT21+CS22-DB21)))</f>
        <v>48.333333333333329</v>
      </c>
      <c r="CU22" s="17">
        <f>CT22*VLOOKUP('Données projet'!$B$13,Paramètres!$A$1:$I$89,3,0)*VLOOKUP('Données projet'!$B$13,Paramètres!$A$1:$I$89,5,0)</f>
        <v>37.699999999999996</v>
      </c>
      <c r="CV22" s="13">
        <f t="shared" si="41"/>
        <v>11.386946545346296</v>
      </c>
      <c r="CW22" s="20">
        <f t="shared" si="13"/>
        <v>85.493098566478125</v>
      </c>
      <c r="CX22" s="59">
        <f t="shared" si="14"/>
        <v>378.82643189981144</v>
      </c>
      <c r="CY22" s="59">
        <f ca="1">AVERAGE(OFFSET($CX$3,0,0,'Données projet'!$E$13+1,1))-AVERAGE(OFFSET($H$3,0,0,'Données projet'!$E$13+1,1))</f>
        <v>100.54865094989304</v>
      </c>
      <c r="CZ22" s="59">
        <f t="shared" si="42"/>
        <v>99.95654161405389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0.15891638463428823</v>
      </c>
      <c r="DH22" s="21">
        <f>EXP(-LN(2)/2)*DH21+(1-EXP(-LN(2)/2))/(LN(2)/2)*DB22*DE22*VLOOKUP('Données projet'!$B$13,Paramètres!$A$1:$I$89,3,0)*0.475*44/12</f>
        <v>8.8455648244255142E-2</v>
      </c>
      <c r="DI22" s="22">
        <f t="shared" si="15"/>
        <v>0.24737203287854337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4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17.471999999999998</v>
      </c>
      <c r="D23" s="11">
        <f t="shared" si="32"/>
        <v>5.7714641827626956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179.42323228799273</v>
      </c>
      <c r="H23" s="67">
        <f t="shared" si="1"/>
        <v>333.81570011831167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26.928333333333338</v>
      </c>
      <c r="N23" s="13">
        <f>IF('Données projet'!$A$36&gt;35,N22+M23-V22,IF(A23&lt;'Données projet'!$A$36,$K$205^A23,IF(A23='Données projet'!$A$36,'Données projet'!$B$36,N22+M23-V22)))</f>
        <v>181.44666666666669</v>
      </c>
      <c r="O23" s="13">
        <f>N23*VLOOKUP('Données projet'!$B$9,Paramètres!$A$1:$I$89,3,0)*VLOOKUP('Données projet'!$B$9,Paramètres!$A$1:$I$89,5,0)</f>
        <v>101.42868666666668</v>
      </c>
      <c r="P23" s="13">
        <f t="shared" si="33"/>
        <v>27.30208092704186</v>
      </c>
      <c r="Q23" s="20">
        <f t="shared" si="2"/>
        <v>224.20608689237574</v>
      </c>
      <c r="R23" s="59">
        <f t="shared" si="0"/>
        <v>517.53942022570902</v>
      </c>
      <c r="S23" s="59">
        <f ca="1">AVERAGE(OFFSET($R$3,0,0,'Données projet'!$E$9+1,1))-AVERAGE(OFFSET($H$3,0,0,'Données projet'!$E$9+1,1))</f>
        <v>324.69474275039357</v>
      </c>
      <c r="T23" s="59">
        <f t="shared" si="34"/>
        <v>437.68177084535927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7.3335945176099635</v>
      </c>
      <c r="AA23" s="21">
        <f>EXP(-LN(2)/25)*AA22+(1-EXP(-LN(2)/25))/(LN(2)/25)*Calculateur!V23*Calculateur!X23*VLOOKUP('Données projet'!$B$9,Paramètres!$A$1:$I$89,3,0)*0.475*44/12</f>
        <v>10.641051995896243</v>
      </c>
      <c r="AB23" s="21">
        <f>EXP(-LN(2)/2)*AB22+(1-EXP(-LN(2)/2))/(LN(2)/2)*V23*Y23*VLOOKUP('Données projet'!$B$9,Paramètres!$A$1:$I$89,3,0)*0.475*44/12</f>
        <v>8.9986361773269952</v>
      </c>
      <c r="AC23" s="22">
        <f t="shared" si="3"/>
        <v>26.973282690833202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17.793333333333333</v>
      </c>
      <c r="AI23" s="13">
        <f>IF('Données projet'!$A$62&gt;35,AI22+AH23-AQ22,IF(A23&lt;'Données projet'!$A$62,$AF$205^A23,IF(A23='Données projet'!$A$62,'Données projet'!$B$62,AI22+AH23-AQ22)))</f>
        <v>135.82999999999998</v>
      </c>
      <c r="AJ23" s="13">
        <f>AI23*VLOOKUP('Données projet'!$B$10,Paramètres!$A$1:$I$89,3,0)*VLOOKUP('Données projet'!$B$10,Paramètres!$A$1:$I$89,5,0)</f>
        <v>81.226339999999993</v>
      </c>
      <c r="AK23" s="13">
        <f t="shared" si="35"/>
        <v>22.43676463604092</v>
      </c>
      <c r="AL23" s="20">
        <f t="shared" si="4"/>
        <v>180.54657390777126</v>
      </c>
      <c r="AM23" s="59">
        <f t="shared" si="5"/>
        <v>473.87990724110455</v>
      </c>
      <c r="AN23" s="59">
        <f ca="1">AVERAGE(OFFSET($AM$3,0,0,'Données projet'!$E$10+1,1))-AVERAGE(OFFSET($H$3,0,0,'Données projet'!$E$10+1,1))</f>
        <v>214.93913810439858</v>
      </c>
      <c r="AO23" s="59">
        <f t="shared" si="36"/>
        <v>210.65603079265924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6.7369208221516317</v>
      </c>
      <c r="AW23" s="21">
        <f>EXP(-LN(2)/2)*AW22+(1-EXP(-LN(2)/2))/(LN(2)/2)*AQ23*AT23*VLOOKUP('Données projet'!$B$10,Paramètres!$A$1:$I$89,3,0)*0.475*44/12</f>
        <v>4.9288780876335361</v>
      </c>
      <c r="AX23" s="21">
        <f t="shared" si="6"/>
        <v>11.665798909785167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5.0894117647058819</v>
      </c>
      <c r="BD23" s="12">
        <f>IF('Données projet'!$A$88&gt;35,BD22+BC23-BL22,IF(A23&lt;'Données projet'!$A$88,$BA$205^A23,IF(A23='Données projet'!$A$88,'Données projet'!$B$88,BD22+BC23-BL22)))</f>
        <v>20.727969860328756</v>
      </c>
      <c r="BE23" s="13">
        <f>BD23*VLOOKUP('Données projet'!$B$11,Paramètres!$A$1:$I$89,3,0)*VLOOKUP('Données projet'!$B$11,Paramètres!$A$1:$I$89,5,0)</f>
        <v>18.754667129625457</v>
      </c>
      <c r="BF23" s="13">
        <f t="shared" si="37"/>
        <v>6.1442870326384318</v>
      </c>
      <c r="BG23" s="20">
        <f t="shared" si="7"/>
        <v>43.365678499276271</v>
      </c>
      <c r="BH23" s="59">
        <f t="shared" si="8"/>
        <v>336.69901183260959</v>
      </c>
      <c r="BI23" s="59">
        <f ca="1">AVERAGE(OFFSET($BH$3,0,0,'Données projet'!$E$11+1,1))-AVERAGE(OFFSET($H$3,0,0,'Données projet'!$E$11+1,1))</f>
        <v>507.69556381324213</v>
      </c>
      <c r="BJ23" s="59">
        <f t="shared" si="38"/>
        <v>129.52638237044044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3.3603333333333336</v>
      </c>
      <c r="BY23" s="12">
        <f>IF('Données projet'!$A$114&gt;35,BY22+BX23-CG22,IF(A23&lt;'Données projet'!$A$114,$BV$205^A23,IF(A23='Données projet'!$A$114,'Données projet'!$B$114,BY22+BX23-CG22)))</f>
        <v>67.206666666666706</v>
      </c>
      <c r="BZ23" s="13">
        <f>BY23*VLOOKUP('Données projet'!$B$12,Paramètres!$A$1:$I$89,3,0)*VLOOKUP('Données projet'!$B$12,Paramètres!$A$1:$I$89,5,0)</f>
        <v>65.002288000000036</v>
      </c>
      <c r="CA23" s="13">
        <f t="shared" si="39"/>
        <v>18.427050001726204</v>
      </c>
      <c r="CB23" s="20">
        <f t="shared" si="10"/>
        <v>145.30609701967319</v>
      </c>
      <c r="CC23" s="59">
        <f t="shared" si="11"/>
        <v>438.6394303530065</v>
      </c>
      <c r="CD23" s="59">
        <f ca="1">AVERAGE(OFFSET($CC$3,0,0,'Données projet'!$E$12+1,1))-AVERAGE(OFFSET($H$3,0,0,'Données projet'!$E$12+1,1))</f>
        <v>292.52253679467469</v>
      </c>
      <c r="CE23" s="59">
        <f t="shared" si="40"/>
        <v>155.7114133976541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>
        <f>VLOOKUP(A23,'Données projet'!$A$139:$I$159,2,0)</f>
        <v>54.487179487179482</v>
      </c>
      <c r="CR23" s="12">
        <f>VLOOKUP(A23,'Données projet'!$A$139:$I$159,9,0)</f>
        <v>6.1538461538461533</v>
      </c>
      <c r="CS23" s="12">
        <f t="array" ref="CS23">INDEX(CR:CR,MIN(IF(ISNUMBER(CR23:CR219),ROW(CR23:CR219),"")))</f>
        <v>6.1538461538461533</v>
      </c>
      <c r="CT23" s="12">
        <f>IF('Données projet'!$A$140&gt;35,CT22+CS23-DB22,IF(A23&lt;'Données projet'!$A$140,$CQ$205^A23,IF(A23='Données projet'!$A$140,'Données projet'!$B$140,CT22+CS23-DB22)))</f>
        <v>54.487179487179482</v>
      </c>
      <c r="CU23" s="17">
        <f>CT23*VLOOKUP('Données projet'!$B$13,Paramètres!$A$1:$I$89,3,0)*VLOOKUP('Données projet'!$B$13,Paramètres!$A$1:$I$89,5,0)</f>
        <v>42.5</v>
      </c>
      <c r="CV23" s="13">
        <f t="shared" si="41"/>
        <v>12.658916157662103</v>
      </c>
      <c r="CW23" s="20">
        <f t="shared" si="13"/>
        <v>96.068445641261476</v>
      </c>
      <c r="CX23" s="59">
        <f t="shared" si="14"/>
        <v>389.40177897459478</v>
      </c>
      <c r="CY23" s="59">
        <f ca="1">AVERAGE(OFFSET($CX$3,0,0,'Données projet'!$E$13+1,1))-AVERAGE(OFFSET($H$3,0,0,'Données projet'!$E$13+1,1))</f>
        <v>100.54865094989304</v>
      </c>
      <c r="CZ23" s="59">
        <f t="shared" si="42"/>
        <v>99.95654161405389</v>
      </c>
      <c r="DA23" s="15">
        <f>IF(ISNA(VLOOKUP(A23,'Données projet'!$A$139:$I$159,3,0)),0,VLOOKUP(A23,'Données projet'!$A$139:$I$159,3,0))</f>
        <v>2</v>
      </c>
      <c r="DB23" s="15">
        <f>IF(ISNA(VLOOKUP(A23,'Données projet'!$A$139:$I$159,4,0)),0,VLOOKUP(A23,'Données projet'!$A$139:$I$159,4,0))</f>
        <v>16.025641025641026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0.1075</v>
      </c>
      <c r="DE23" s="16">
        <f>IF(ISNA(VLOOKUP(A23,'Données projet'!$A$139:$I$159,7,0)),0%,VLOOKUP(A23,'Données projet'!$A$139:$I$159,7,0))</f>
        <v>0.25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1.6341977459129808</v>
      </c>
      <c r="DH23" s="21">
        <f>EXP(-LN(2)/2)*DH22+(1-EXP(-LN(2)/2))/(LN(2)/2)*DB23*DE23*VLOOKUP('Données projet'!$B$13,Paramètres!$A$1:$I$89,3,0)*0.475*44/12</f>
        <v>3.0110691968496028</v>
      </c>
      <c r="DI23" s="22">
        <f t="shared" si="15"/>
        <v>4.6452669427625839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4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18.345599999999997</v>
      </c>
      <c r="D24" s="11">
        <f t="shared" si="32"/>
        <v>6.0257189209257707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188.12947938960238</v>
      </c>
      <c r="H24" s="67">
        <f t="shared" si="1"/>
        <v>335.78004712061238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26.928333333333338</v>
      </c>
      <c r="N24" s="13">
        <f>IF('Données projet'!$A$36&gt;35,N23+M24-V23,IF(A24&lt;'Données projet'!$A$36,$K$205^A24,IF(A24='Données projet'!$A$36,'Données projet'!$B$36,N23+M24-V23)))</f>
        <v>208.37500000000003</v>
      </c>
      <c r="O24" s="13">
        <f>N24*VLOOKUP('Données projet'!$B$9,Paramètres!$A$1:$I$89,3,0)*VLOOKUP('Données projet'!$B$9,Paramètres!$A$1:$I$89,5,0)</f>
        <v>116.48162500000001</v>
      </c>
      <c r="P24" s="13">
        <f t="shared" si="33"/>
        <v>30.852980296833646</v>
      </c>
      <c r="Q24" s="20">
        <f t="shared" si="2"/>
        <v>256.60777089198524</v>
      </c>
      <c r="R24" s="59">
        <f t="shared" si="0"/>
        <v>549.94110422531855</v>
      </c>
      <c r="S24" s="59">
        <f ca="1">AVERAGE(OFFSET($R$3,0,0,'Données projet'!$E$9+1,1))-AVERAGE(OFFSET($H$3,0,0,'Données projet'!$E$9+1,1))</f>
        <v>324.69474275039357</v>
      </c>
      <c r="T24" s="59">
        <f t="shared" si="34"/>
        <v>437.68177084535927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7.1897872021706108</v>
      </c>
      <c r="AA24" s="21">
        <f>EXP(-LN(2)/25)*AA23+(1-EXP(-LN(2)/25))/(LN(2)/25)*Calculateur!V24*Calculateur!X24*VLOOKUP('Données projet'!$B$9,Paramètres!$A$1:$I$89,3,0)*0.475*44/12</f>
        <v>10.350071869479857</v>
      </c>
      <c r="AB24" s="21">
        <f>EXP(-LN(2)/2)*AB23+(1-EXP(-LN(2)/2))/(LN(2)/2)*V24*Y24*VLOOKUP('Données projet'!$B$9,Paramètres!$A$1:$I$89,3,0)*0.475*44/12</f>
        <v>6.3629966624185101</v>
      </c>
      <c r="AC24" s="22">
        <f t="shared" si="3"/>
        <v>23.902855734068979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17.793333333333333</v>
      </c>
      <c r="AI24" s="13">
        <f>IF('Données projet'!$A$62&gt;35,AI23+AH24-AQ23,IF(A24&lt;'Données projet'!$A$62,$AF$205^A24,IF(A24='Données projet'!$A$62,'Données projet'!$B$62,AI23+AH24-AQ23)))</f>
        <v>153.62333333333331</v>
      </c>
      <c r="AJ24" s="13">
        <f>AI24*VLOOKUP('Données projet'!$B$10,Paramètres!$A$1:$I$89,3,0)*VLOOKUP('Données projet'!$B$10,Paramètres!$A$1:$I$89,5,0)</f>
        <v>91.866753333333321</v>
      </c>
      <c r="AK24" s="13">
        <f t="shared" si="35"/>
        <v>25.014901610216608</v>
      </c>
      <c r="AL24" s="20">
        <f t="shared" si="4"/>
        <v>203.56888236001612</v>
      </c>
      <c r="AM24" s="59">
        <f t="shared" si="5"/>
        <v>496.90221569334943</v>
      </c>
      <c r="AN24" s="59">
        <f ca="1">AVERAGE(OFFSET($AM$3,0,0,'Données projet'!$E$10+1,1))-AVERAGE(OFFSET($H$3,0,0,'Données projet'!$E$10+1,1))</f>
        <v>214.93913810439858</v>
      </c>
      <c r="AO24" s="59">
        <f t="shared" si="36"/>
        <v>210.65603079265924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6.5526993679906269</v>
      </c>
      <c r="AW24" s="21">
        <f>EXP(-LN(2)/2)*AW23+(1-EXP(-LN(2)/2))/(LN(2)/2)*AQ24*AT24*VLOOKUP('Données projet'!$B$10,Paramètres!$A$1:$I$89,3,0)*0.475*44/12</f>
        <v>3.485243119407456</v>
      </c>
      <c r="AX24" s="21">
        <f t="shared" si="6"/>
        <v>10.037942487398084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5.0894117647058819</v>
      </c>
      <c r="BD24" s="12">
        <f>IF('Données projet'!$A$88&gt;35,BD23+BC24-BL23,IF(A24&lt;'Données projet'!$A$88,$BA$205^A24,IF(A24='Données projet'!$A$88,'Données projet'!$B$88,BD23+BC24-BL23)))</f>
        <v>24.120405624722682</v>
      </c>
      <c r="BE24" s="13">
        <f>BD24*VLOOKUP('Données projet'!$B$11,Paramètres!$A$1:$I$89,3,0)*VLOOKUP('Données projet'!$B$11,Paramètres!$A$1:$I$89,5,0)</f>
        <v>21.824143009249081</v>
      </c>
      <c r="BF24" s="13">
        <f t="shared" si="37"/>
        <v>7.0248486812269384</v>
      </c>
      <c r="BG24" s="20">
        <f t="shared" si="7"/>
        <v>50.245327194245732</v>
      </c>
      <c r="BH24" s="59">
        <f t="shared" si="8"/>
        <v>343.57866052757902</v>
      </c>
      <c r="BI24" s="59">
        <f ca="1">AVERAGE(OFFSET($BH$3,0,0,'Données projet'!$E$11+1,1))-AVERAGE(OFFSET($H$3,0,0,'Données projet'!$E$11+1,1))</f>
        <v>507.69556381324213</v>
      </c>
      <c r="BJ24" s="59">
        <f t="shared" si="38"/>
        <v>129.52638237044044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3.3603333333333336</v>
      </c>
      <c r="BY24" s="12">
        <f>IF('Données projet'!$A$114&gt;35,BY23+BX24-CG23,IF(A24&lt;'Données projet'!$A$114,$BV$205^A24,IF(A24='Données projet'!$A$114,'Données projet'!$B$114,BY23+BX24-CG23)))</f>
        <v>70.567000000000036</v>
      </c>
      <c r="BZ24" s="13">
        <f>BY24*VLOOKUP('Données projet'!$B$12,Paramètres!$A$1:$I$89,3,0)*VLOOKUP('Données projet'!$B$12,Paramètres!$A$1:$I$89,5,0)</f>
        <v>68.252402400000037</v>
      </c>
      <c r="CA24" s="13">
        <f t="shared" si="39"/>
        <v>19.238830968382739</v>
      </c>
      <c r="CB24" s="20">
        <f t="shared" si="10"/>
        <v>152.38056478326666</v>
      </c>
      <c r="CC24" s="59">
        <f t="shared" si="11"/>
        <v>445.71389811659998</v>
      </c>
      <c r="CD24" s="59">
        <f ca="1">AVERAGE(OFFSET($CC$3,0,0,'Données projet'!$E$12+1,1))-AVERAGE(OFFSET($H$3,0,0,'Données projet'!$E$12+1,1))</f>
        <v>292.52253679467469</v>
      </c>
      <c r="CE24" s="59">
        <f t="shared" si="40"/>
        <v>155.7114133976541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6.7948717948717956</v>
      </c>
      <c r="CT24" s="12">
        <f>IF('Données projet'!$A$140&gt;35,CT23+CS24-DB23,IF(A24&lt;'Données projet'!$A$140,$CQ$205^A24,IF(A24='Données projet'!$A$140,'Données projet'!$B$140,CT23+CS24-DB23)))</f>
        <v>45.256410256410248</v>
      </c>
      <c r="CU24" s="17">
        <f>CT24*VLOOKUP('Données projet'!$B$13,Paramètres!$A$1:$I$89,3,0)*VLOOKUP('Données projet'!$B$13,Paramètres!$A$1:$I$89,5,0)</f>
        <v>35.299999999999997</v>
      </c>
      <c r="CV24" s="13">
        <f t="shared" si="41"/>
        <v>10.743994925779599</v>
      </c>
      <c r="CW24" s="20">
        <f t="shared" si="13"/>
        <v>80.193291162399461</v>
      </c>
      <c r="CX24" s="59">
        <f t="shared" si="14"/>
        <v>373.52662449573279</v>
      </c>
      <c r="CY24" s="59">
        <f ca="1">AVERAGE(OFFSET($CX$3,0,0,'Données projet'!$E$13+1,1))-AVERAGE(OFFSET($H$3,0,0,'Données projet'!$E$13+1,1))</f>
        <v>100.54865094989304</v>
      </c>
      <c r="CZ24" s="59">
        <f t="shared" si="42"/>
        <v>99.95654161405389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1.5895105226122659</v>
      </c>
      <c r="DH24" s="21">
        <f>EXP(-LN(2)/2)*DH23+(1-EXP(-LN(2)/2))/(LN(2)/2)*DB24*DE24*VLOOKUP('Données projet'!$B$13,Paramètres!$A$1:$I$89,3,0)*0.475*44/12</f>
        <v>2.1291474477142858</v>
      </c>
      <c r="DI24" s="22">
        <f t="shared" si="15"/>
        <v>3.7186579703265519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4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19.219199999999997</v>
      </c>
      <c r="D25" s="11">
        <f t="shared" si="32"/>
        <v>6.2785676989293835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196.82487346541976</v>
      </c>
      <c r="H25" s="67">
        <f t="shared" si="1"/>
        <v>337.74194540896866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26.928333333333338</v>
      </c>
      <c r="N25" s="13">
        <f>IF('Données projet'!$A$36&gt;35,N24+M25-V24,IF(A25&lt;'Données projet'!$A$36,$K$205^A25,IF(A25='Données projet'!$A$36,'Données projet'!$B$36,N24+M25-V24)))</f>
        <v>235.30333333333337</v>
      </c>
      <c r="O25" s="13">
        <f>N25*VLOOKUP('Données projet'!$B$9,Paramètres!$A$1:$I$89,3,0)*VLOOKUP('Données projet'!$B$9,Paramètres!$A$1:$I$89,5,0)</f>
        <v>131.53456333333335</v>
      </c>
      <c r="P25" s="13">
        <f t="shared" si="33"/>
        <v>34.350709316889393</v>
      </c>
      <c r="Q25" s="20">
        <f t="shared" si="2"/>
        <v>288.91684986580464</v>
      </c>
      <c r="R25" s="59">
        <f t="shared" si="0"/>
        <v>582.25018319913795</v>
      </c>
      <c r="S25" s="59">
        <f ca="1">AVERAGE(OFFSET($R$3,0,0,'Données projet'!$E$9+1,1))-AVERAGE(OFFSET($H$3,0,0,'Données projet'!$E$9+1,1))</f>
        <v>324.69474275039357</v>
      </c>
      <c r="T25" s="59">
        <f t="shared" si="34"/>
        <v>437.68177084535927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7.0487998604732223</v>
      </c>
      <c r="AA25" s="21">
        <f>EXP(-LN(2)/25)*AA24+(1-EXP(-LN(2)/25))/(LN(2)/25)*Calculateur!V25*Calculateur!X25*VLOOKUP('Données projet'!$B$9,Paramètres!$A$1:$I$89,3,0)*0.475*44/12</f>
        <v>10.067048609922306</v>
      </c>
      <c r="AB25" s="21">
        <f>EXP(-LN(2)/2)*AB24+(1-EXP(-LN(2)/2))/(LN(2)/2)*V25*Y25*VLOOKUP('Données projet'!$B$9,Paramètres!$A$1:$I$89,3,0)*0.475*44/12</f>
        <v>4.4993180886634976</v>
      </c>
      <c r="AC25" s="22">
        <f t="shared" si="3"/>
        <v>21.615166559059023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17.793333333333333</v>
      </c>
      <c r="AI25" s="13">
        <f>IF('Données projet'!$A$62&gt;35,AI24+AH25-AQ24,IF(A25&lt;'Données projet'!$A$62,$AF$205^A25,IF(A25='Données projet'!$A$62,'Données projet'!$B$62,AI24+AH25-AQ24)))</f>
        <v>171.41666666666663</v>
      </c>
      <c r="AJ25" s="13">
        <f>AI25*VLOOKUP('Données projet'!$B$10,Paramètres!$A$1:$I$89,3,0)*VLOOKUP('Données projet'!$B$10,Paramètres!$A$1:$I$89,5,0)</f>
        <v>102.50716666666666</v>
      </c>
      <c r="AK25" s="13">
        <f t="shared" si="35"/>
        <v>27.558431899391174</v>
      </c>
      <c r="AL25" s="20">
        <f t="shared" si="4"/>
        <v>226.53091750255075</v>
      </c>
      <c r="AM25" s="59">
        <f t="shared" si="5"/>
        <v>519.86425083588404</v>
      </c>
      <c r="AN25" s="59">
        <f ca="1">AVERAGE(OFFSET($AM$3,0,0,'Données projet'!$E$10+1,1))-AVERAGE(OFFSET($H$3,0,0,'Données projet'!$E$10+1,1))</f>
        <v>214.93913810439858</v>
      </c>
      <c r="AO25" s="59">
        <f t="shared" si="36"/>
        <v>210.65603079265924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6.3735154591814398</v>
      </c>
      <c r="AW25" s="21">
        <f>EXP(-LN(2)/2)*AW24+(1-EXP(-LN(2)/2))/(LN(2)/2)*AQ25*AT25*VLOOKUP('Données projet'!$B$10,Paramètres!$A$1:$I$89,3,0)*0.475*44/12</f>
        <v>2.4644390438167685</v>
      </c>
      <c r="AX25" s="21">
        <f t="shared" si="6"/>
        <v>8.8379545029982083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5.0894117647058819</v>
      </c>
      <c r="BD25" s="12">
        <f>IF('Données projet'!$A$88&gt;35,BD24+BC25-BL24,IF(A25&lt;'Données projet'!$A$88,$BA$205^A25,IF(A25='Données projet'!$A$88,'Données projet'!$B$88,BD24+BC25-BL24)))</f>
        <v>28.068063173646774</v>
      </c>
      <c r="BE25" s="13">
        <f>BD25*VLOOKUP('Données projet'!$B$11,Paramètres!$A$1:$I$89,3,0)*VLOOKUP('Données projet'!$B$11,Paramètres!$A$1:$I$89,5,0)</f>
        <v>25.395983559515599</v>
      </c>
      <c r="BF25" s="13">
        <f t="shared" si="37"/>
        <v>8.0316070411419194</v>
      </c>
      <c r="BG25" s="20">
        <f t="shared" si="7"/>
        <v>58.219720296145177</v>
      </c>
      <c r="BH25" s="59">
        <f t="shared" si="8"/>
        <v>351.55305362947848</v>
      </c>
      <c r="BI25" s="59">
        <f ca="1">AVERAGE(OFFSET($BH$3,0,0,'Données projet'!$E$11+1,1))-AVERAGE(OFFSET($H$3,0,0,'Données projet'!$E$11+1,1))</f>
        <v>507.69556381324213</v>
      </c>
      <c r="BJ25" s="59">
        <f t="shared" si="38"/>
        <v>129.52638237044044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3.3603333333333336</v>
      </c>
      <c r="BY25" s="12">
        <f>IF('Données projet'!$A$114&gt;35,BY24+BX25-CG24,IF(A25&lt;'Données projet'!$A$114,$BV$205^A25,IF(A25='Données projet'!$A$114,'Données projet'!$B$114,BY24+BX25-CG24)))</f>
        <v>73.927333333333365</v>
      </c>
      <c r="BZ25" s="13">
        <f>BY25*VLOOKUP('Données projet'!$B$12,Paramètres!$A$1:$I$89,3,0)*VLOOKUP('Données projet'!$B$12,Paramètres!$A$1:$I$89,5,0)</f>
        <v>71.502516800000038</v>
      </c>
      <c r="CA25" s="13">
        <f t="shared" si="39"/>
        <v>20.046123005135481</v>
      </c>
      <c r="CB25" s="20">
        <f t="shared" si="10"/>
        <v>159.44721432727769</v>
      </c>
      <c r="CC25" s="59">
        <f t="shared" si="11"/>
        <v>452.78054766061098</v>
      </c>
      <c r="CD25" s="59">
        <f ca="1">AVERAGE(OFFSET($CC$3,0,0,'Données projet'!$E$12+1,1))-AVERAGE(OFFSET($H$3,0,0,'Données projet'!$E$12+1,1))</f>
        <v>292.52253679467469</v>
      </c>
      <c r="CE25" s="59">
        <f t="shared" si="40"/>
        <v>155.7114133976541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6.7948717948717956</v>
      </c>
      <c r="CT25" s="12">
        <f>IF('Données projet'!$A$140&gt;35,CT24+CS25-DB24,IF(A25&lt;'Données projet'!$A$140,$CQ$205^A25,IF(A25='Données projet'!$A$140,'Données projet'!$B$140,CT24+CS25-DB24)))</f>
        <v>52.051282051282044</v>
      </c>
      <c r="CU25" s="17">
        <f>CT25*VLOOKUP('Données projet'!$B$13,Paramètres!$A$1:$I$89,3,0)*VLOOKUP('Données projet'!$B$13,Paramètres!$A$1:$I$89,5,0)</f>
        <v>40.599999999999994</v>
      </c>
      <c r="CV25" s="13">
        <f t="shared" si="41"/>
        <v>12.15753890842374</v>
      </c>
      <c r="CW25" s="20">
        <f t="shared" si="13"/>
        <v>91.886046932171325</v>
      </c>
      <c r="CX25" s="59">
        <f t="shared" si="14"/>
        <v>385.21938026550464</v>
      </c>
      <c r="CY25" s="59">
        <f ca="1">AVERAGE(OFFSET($CX$3,0,0,'Données projet'!$E$13+1,1))-AVERAGE(OFFSET($H$3,0,0,'Données projet'!$E$13+1,1))</f>
        <v>100.54865094989304</v>
      </c>
      <c r="CZ25" s="59">
        <f t="shared" si="42"/>
        <v>99.95654161405389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1.546045273782708</v>
      </c>
      <c r="DH25" s="21">
        <f>EXP(-LN(2)/2)*DH24+(1-EXP(-LN(2)/2))/(LN(2)/2)*DB25*DE25*VLOOKUP('Données projet'!$B$13,Paramètres!$A$1:$I$89,3,0)*0.475*44/12</f>
        <v>1.5055345984248016</v>
      </c>
      <c r="DI25" s="22">
        <f t="shared" si="15"/>
        <v>3.0515798722075096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4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20.092799999999997</v>
      </c>
      <c r="D26" s="11">
        <f t="shared" si="32"/>
        <v>6.5300817245569407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205.50996418956231</v>
      </c>
      <c r="H26" s="67">
        <f t="shared" si="1"/>
        <v>339.70151900360332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26.928333333333338</v>
      </c>
      <c r="N26" s="13">
        <f>IF('Données projet'!$A$36&gt;35,N25+M26-V25,IF(A26&lt;'Données projet'!$A$36,$K$205^A26,IF(A26='Données projet'!$A$36,'Données projet'!$B$36,N25+M26-V25)))</f>
        <v>262.23166666666668</v>
      </c>
      <c r="O26" s="13">
        <f>N26*VLOOKUP('Données projet'!$B$9,Paramètres!$A$1:$I$89,3,0)*VLOOKUP('Données projet'!$B$9,Paramètres!$A$1:$I$89,5,0)</f>
        <v>146.58750166666667</v>
      </c>
      <c r="P26" s="13">
        <f t="shared" si="33"/>
        <v>37.802047526651918</v>
      </c>
      <c r="Q26" s="20">
        <f t="shared" si="2"/>
        <v>321.14513151169655</v>
      </c>
      <c r="R26" s="59">
        <f t="shared" si="0"/>
        <v>614.47846484502986</v>
      </c>
      <c r="S26" s="59">
        <f ca="1">AVERAGE(OFFSET($R$3,0,0,'Données projet'!$E$9+1,1))-AVERAGE(OFFSET($H$3,0,0,'Données projet'!$E$9+1,1))</f>
        <v>324.69474275039357</v>
      </c>
      <c r="T26" s="59">
        <f t="shared" si="34"/>
        <v>437.68177084535927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6.9105771945527321</v>
      </c>
      <c r="AA26" s="21">
        <f>EXP(-LN(2)/25)*AA25+(1-EXP(-LN(2)/25))/(LN(2)/25)*Calculateur!V26*Calculateur!X26*VLOOKUP('Données projet'!$B$9,Paramètres!$A$1:$I$89,3,0)*0.475*44/12</f>
        <v>9.7917646362809023</v>
      </c>
      <c r="AB26" s="21">
        <f>EXP(-LN(2)/2)*AB25+(1-EXP(-LN(2)/2))/(LN(2)/2)*V26*Y26*VLOOKUP('Données projet'!$B$9,Paramètres!$A$1:$I$89,3,0)*0.475*44/12</f>
        <v>3.1814983312092551</v>
      </c>
      <c r="AC26" s="22">
        <f t="shared" si="3"/>
        <v>19.88384016204289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>
        <f>VLOOKUP(A26,'Données projet'!$A$61:$I$81,2,0)</f>
        <v>189.21</v>
      </c>
      <c r="AG26" s="12">
        <f>VLOOKUP(A26,'Données projet'!$A$61:$I$81,9,0)</f>
        <v>17.793333333333333</v>
      </c>
      <c r="AH26" s="12">
        <f t="array" ref="AH26">INDEX(AG:AG,MIN(IF(ISNUMBER(AG26:AG222),ROW(AG26:AG222),"")))</f>
        <v>17.793333333333333</v>
      </c>
      <c r="AI26" s="13">
        <f>IF('Données projet'!$A$62&gt;35,AI25+AH26-AQ25,IF(A26&lt;'Données projet'!$A$62,$AF$205^A26,IF(A26='Données projet'!$A$62,'Données projet'!$B$62,AI25+AH26-AQ25)))</f>
        <v>189.20999999999995</v>
      </c>
      <c r="AJ26" s="13">
        <f>AI26*VLOOKUP('Données projet'!$B$10,Paramètres!$A$1:$I$89,3,0)*VLOOKUP('Données projet'!$B$10,Paramètres!$A$1:$I$89,5,0)</f>
        <v>113.14757999999998</v>
      </c>
      <c r="AK26" s="13">
        <f t="shared" si="35"/>
        <v>30.071356907423628</v>
      </c>
      <c r="AL26" s="20">
        <f t="shared" si="4"/>
        <v>249.43964844709606</v>
      </c>
      <c r="AM26" s="59">
        <f t="shared" si="5"/>
        <v>542.7729817804294</v>
      </c>
      <c r="AN26" s="59">
        <f ca="1">AVERAGE(OFFSET($AM$3,0,0,'Données projet'!$E$10+1,1))-AVERAGE(OFFSET($H$3,0,0,'Données projet'!$E$10+1,1))</f>
        <v>214.93913810439858</v>
      </c>
      <c r="AO26" s="59">
        <f t="shared" si="36"/>
        <v>210.65603079265924</v>
      </c>
      <c r="AP26" s="15">
        <f>IF(ISNA(VLOOKUP(A26,'Données projet'!$A$61:$I$81,3,0)),0,VLOOKUP(A26,'Données projet'!$A$61:$I$81,3,0))</f>
        <v>2</v>
      </c>
      <c r="AQ26" s="15">
        <f>IF(ISNA(VLOOKUP(A26,'Données projet'!$A$61:$I$81,4,0)),0,VLOOKUP(A26,'Données projet'!$A$61:$I$81,4,0))</f>
        <v>58.370000000000005</v>
      </c>
      <c r="AR26" s="16">
        <f>IF(ISNA(VLOOKUP(A26,'Données projet'!$A$61:$I$81,5,0)),0%,VLOOKUP(A26,'Données projet'!$A$61:$I$81,5,0)*VLOOKUP('Données projet'!$B$10,Paramètres!$A$1:$I$89,7,0))</f>
        <v>0.1125</v>
      </c>
      <c r="AS26" s="16">
        <f>IF(ISNA(VLOOKUP(A26,'Données projet'!$A$61:$I$81,6,0)),0%,VLOOKUP(A26,'Données projet'!$A$61:$I$81,6,0)*VLOOKUP('Données projet'!$B$10,Paramètres!$A$1:$I$89,7,0))</f>
        <v>0.16650000000000001</v>
      </c>
      <c r="AT26" s="16">
        <f>IF(ISNA(VLOOKUP(A26,'Données projet'!$A$61:$I$81,7,0)),0%,VLOOKUP(A26,'Données projet'!$A$61:$I$81,7,0))</f>
        <v>0.38</v>
      </c>
      <c r="AU26" s="21">
        <f>EXP(-LN(2)/35)*AU25+(1-EXP(-LN(2)/35))/(LN(2)/35)*AQ26*AR26*VLOOKUP('Données projet'!$B$10,Paramètres!$A$1:$I$89,3,0)*0.475*44/12</f>
        <v>5.2092086876860018</v>
      </c>
      <c r="AV26" s="21">
        <f>EXP(-LN(2)/25)*AV25+(1-EXP(-LN(2)/25))/(LN(2)/25)*Calculateur!AQ26*Calculateur!AS26*VLOOKUP('Données projet'!$B$10,Paramètres!$A$1:$I$89,3,0)*0.475*44/12</f>
        <v>13.878504455144835</v>
      </c>
      <c r="AW26" s="21">
        <f>EXP(-LN(2)/2)*AW25+(1-EXP(-LN(2)/2))/(LN(2)/2)*AQ26*AT26*VLOOKUP('Données projet'!$B$10,Paramètres!$A$1:$I$89,3,0)*0.475*44/12</f>
        <v>16.760549395416017</v>
      </c>
      <c r="AX26" s="21">
        <f t="shared" si="6"/>
        <v>35.848262538246857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5.0894117647058819</v>
      </c>
      <c r="BD26" s="12">
        <f>IF('Données projet'!$A$88&gt;35,BD25+BC26-BL25,IF(A26&lt;'Données projet'!$A$88,$BA$205^A26,IF(A26='Données projet'!$A$88,'Données projet'!$B$88,BD25+BC26-BL25)))</f>
        <v>32.66181268163826</v>
      </c>
      <c r="BE26" s="13">
        <f>BD26*VLOOKUP('Données projet'!$B$11,Paramètres!$A$1:$I$89,3,0)*VLOOKUP('Données projet'!$B$11,Paramètres!$A$1:$I$89,5,0)</f>
        <v>29.552408114346299</v>
      </c>
      <c r="BF26" s="13">
        <f t="shared" si="37"/>
        <v>9.1826478534273477</v>
      </c>
      <c r="BG26" s="20">
        <f t="shared" si="7"/>
        <v>67.463555810539106</v>
      </c>
      <c r="BH26" s="59">
        <f t="shared" si="8"/>
        <v>360.79688914387242</v>
      </c>
      <c r="BI26" s="59">
        <f ca="1">AVERAGE(OFFSET($BH$3,0,0,'Données projet'!$E$11+1,1))-AVERAGE(OFFSET($H$3,0,0,'Données projet'!$E$11+1,1))</f>
        <v>507.69556381324213</v>
      </c>
      <c r="BJ26" s="59">
        <f t="shared" si="38"/>
        <v>129.52638237044044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3.3603333333333336</v>
      </c>
      <c r="BY26" s="12">
        <f>IF('Données projet'!$A$114&gt;35,BY25+BX26-CG25,IF(A26&lt;'Données projet'!$A$114,$BV$205^A26,IF(A26='Données projet'!$A$114,'Données projet'!$B$114,BY25+BX26-CG25)))</f>
        <v>77.287666666666695</v>
      </c>
      <c r="BZ26" s="13">
        <f>BY26*VLOOKUP('Données projet'!$B$12,Paramètres!$A$1:$I$89,3,0)*VLOOKUP('Données projet'!$B$12,Paramètres!$A$1:$I$89,5,0)</f>
        <v>74.752631200000025</v>
      </c>
      <c r="CA26" s="13">
        <f t="shared" si="39"/>
        <v>20.84915346319784</v>
      </c>
      <c r="CB26" s="20">
        <f t="shared" si="10"/>
        <v>166.50644162173626</v>
      </c>
      <c r="CC26" s="59">
        <f t="shared" si="11"/>
        <v>459.83977495506957</v>
      </c>
      <c r="CD26" s="59">
        <f ca="1">AVERAGE(OFFSET($CC$3,0,0,'Données projet'!$E$12+1,1))-AVERAGE(OFFSET($H$3,0,0,'Données projet'!$E$12+1,1))</f>
        <v>292.52253679467469</v>
      </c>
      <c r="CE26" s="59">
        <f t="shared" si="40"/>
        <v>155.7114133976541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6.7948717948717956</v>
      </c>
      <c r="CT26" s="12">
        <f>IF('Données projet'!$A$140&gt;35,CT25+CS26-DB25,IF(A26&lt;'Données projet'!$A$140,$CQ$205^A26,IF(A26='Données projet'!$A$140,'Données projet'!$B$140,CT25+CS26-DB25)))</f>
        <v>58.84615384615384</v>
      </c>
      <c r="CU26" s="17">
        <f>CT26*VLOOKUP('Données projet'!$B$13,Paramètres!$A$1:$I$89,3,0)*VLOOKUP('Données projet'!$B$13,Paramètres!$A$1:$I$89,5,0)</f>
        <v>45.9</v>
      </c>
      <c r="CV26" s="13">
        <f t="shared" si="41"/>
        <v>13.549702311318182</v>
      </c>
      <c r="CW26" s="20">
        <f t="shared" si="13"/>
        <v>103.54156485887916</v>
      </c>
      <c r="CX26" s="59">
        <f t="shared" si="14"/>
        <v>396.87489819221247</v>
      </c>
      <c r="CY26" s="59">
        <f ca="1">AVERAGE(OFFSET($CX$3,0,0,'Données projet'!$E$13+1,1))-AVERAGE(OFFSET($H$3,0,0,'Données projet'!$E$13+1,1))</f>
        <v>100.54865094989304</v>
      </c>
      <c r="CZ26" s="59">
        <f t="shared" si="42"/>
        <v>99.95654161405389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1.5037685844681323</v>
      </c>
      <c r="DH26" s="21">
        <f>EXP(-LN(2)/2)*DH25+(1-EXP(-LN(2)/2))/(LN(2)/2)*DB26*DE26*VLOOKUP('Données projet'!$B$13,Paramètres!$A$1:$I$89,3,0)*0.475*44/12</f>
        <v>1.0645737238571429</v>
      </c>
      <c r="DI26" s="22">
        <f t="shared" si="15"/>
        <v>2.568342308325275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4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20.966399999999997</v>
      </c>
      <c r="D27" s="11">
        <f t="shared" si="32"/>
        <v>6.7803256634538833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214.18525073543344</v>
      </c>
      <c r="H27" s="67">
        <f t="shared" si="1"/>
        <v>341.65888053051549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289.16000000000003</v>
      </c>
      <c r="L27" s="12">
        <f>VLOOKUP(A27,'Données projet'!$A$35:$I$55,9,0)</f>
        <v>26.928333333333338</v>
      </c>
      <c r="M27" s="12">
        <f t="array" ref="M27">INDEX(L:L,MIN(IF(ISNUMBER(L27:L223),ROW(L27:L223),"")))</f>
        <v>26.928333333333338</v>
      </c>
      <c r="N27" s="13">
        <f>IF('Données projet'!$A$36&gt;35,N26+M27-V26,IF(A27&lt;'Données projet'!$A$36,$K$205^A27,IF(A27='Données projet'!$A$36,'Données projet'!$B$36,N26+M27-V26)))</f>
        <v>289.16000000000003</v>
      </c>
      <c r="O27" s="13">
        <f>N27*VLOOKUP('Données projet'!$B$9,Paramètres!$A$1:$I$89,3,0)*VLOOKUP('Données projet'!$B$9,Paramètres!$A$1:$I$89,5,0)</f>
        <v>161.64044000000001</v>
      </c>
      <c r="P27" s="13">
        <f t="shared" si="33"/>
        <v>41.212301279363686</v>
      </c>
      <c r="Q27" s="20">
        <f t="shared" si="2"/>
        <v>353.30185772822512</v>
      </c>
      <c r="R27" s="59">
        <f t="shared" si="0"/>
        <v>646.63519106155843</v>
      </c>
      <c r="S27" s="59">
        <f ca="1">AVERAGE(OFFSET($R$3,0,0,'Données projet'!$E$9+1,1))-AVERAGE(OFFSET($H$3,0,0,'Données projet'!$E$9+1,1))</f>
        <v>324.69474275039357</v>
      </c>
      <c r="T27" s="59">
        <f t="shared" si="34"/>
        <v>437.68177084535927</v>
      </c>
      <c r="U27" s="15">
        <f>IF(ISNA(VLOOKUP(A27,'Données projet'!$A$35:$I$55,3,0)),0,VLOOKUP(A27,'Données projet'!$A$35:$I$55,3,0))</f>
        <v>2</v>
      </c>
      <c r="V27" s="15">
        <f>IF(ISNA(VLOOKUP(A27,'Données projet'!$A$35:$I$55,4,0)),0,VLOOKUP(A27,'Données projet'!$A$35:$I$55,4,0))</f>
        <v>51.400000000000034</v>
      </c>
      <c r="W27" s="16">
        <f>IF(ISNA(VLOOKUP(A27,'Données projet'!$A$35:$I$55,5,0)),0%,VLOOKUP(A27,'Données projet'!$A$35:$I$55,5,0)*VLOOKUP('Données projet'!$B$9,Paramètres!$A$1:$I$89,7,0))</f>
        <v>0.13750000000000001</v>
      </c>
      <c r="X27" s="16">
        <f>IF(ISNA(VLOOKUP(A27,'Données projet'!$A$35:$I$55,6,0)),0%,VLOOKUP(A27,'Données projet'!$A$35:$I$55,6,0)*VLOOKUP('Données projet'!$B$9,Paramètres!$A$1:$I$89,7,0))</f>
        <v>0.20350000000000001</v>
      </c>
      <c r="Y27" s="16">
        <f>IF(ISNA(VLOOKUP(A27,'Données projet'!$A$35:$I$55,7,0)),0%,VLOOKUP(A27,'Données projet'!$A$35:$I$55,7,0))</f>
        <v>0.38</v>
      </c>
      <c r="Z27" s="21">
        <f>EXP(-LN(2)/35)*Z26+(1-EXP(-LN(2)/35))/(LN(2)/35)*V27*W27*VLOOKUP('Données projet'!$B$9,Paramètres!$A$1:$I$89,3,0)*0.475*44/12</f>
        <v>12.01596629825324</v>
      </c>
      <c r="AA27" s="21">
        <f>EXP(-LN(2)/25)*AA26+(1-EXP(-LN(2)/25))/(LN(2)/25)*Calculateur!V27*Calculateur!X27*VLOOKUP('Données projet'!$B$9,Paramètres!$A$1:$I$89,3,0)*0.475*44/12</f>
        <v>17.250001822827645</v>
      </c>
      <c r="AB27" s="21">
        <f>EXP(-LN(2)/2)*AB26+(1-EXP(-LN(2)/2))/(LN(2)/2)*V27*Y27*VLOOKUP('Données projet'!$B$9,Paramètres!$A$1:$I$89,3,0)*0.475*44/12</f>
        <v>14.611810574857151</v>
      </c>
      <c r="AC27" s="22">
        <f t="shared" si="3"/>
        <v>43.877778695938034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18.678333333333331</v>
      </c>
      <c r="AI27" s="13">
        <f>IF('Données projet'!$A$62&gt;35,AI26+AH27-AQ26,IF(A27&lt;'Données projet'!$A$62,$AF$205^A27,IF(A27='Données projet'!$A$62,'Données projet'!$B$62,AI26+AH27-AQ26)))</f>
        <v>149.51833333333329</v>
      </c>
      <c r="AJ27" s="13">
        <f>AI27*VLOOKUP('Données projet'!$B$10,Paramètres!$A$1:$I$89,3,0)*VLOOKUP('Données projet'!$B$10,Paramètres!$A$1:$I$89,5,0)</f>
        <v>89.411963333333304</v>
      </c>
      <c r="AK27" s="13">
        <f t="shared" si="35"/>
        <v>24.423350649115033</v>
      </c>
      <c r="AL27" s="20">
        <f t="shared" si="4"/>
        <v>198.2631718527642</v>
      </c>
      <c r="AM27" s="59">
        <f t="shared" si="5"/>
        <v>491.59650518609749</v>
      </c>
      <c r="AN27" s="59">
        <f ca="1">AVERAGE(OFFSET($AM$3,0,0,'Données projet'!$E$10+1,1))-AVERAGE(OFFSET($H$3,0,0,'Données projet'!$E$10+1,1))</f>
        <v>214.93913810439858</v>
      </c>
      <c r="AO27" s="59">
        <f t="shared" si="36"/>
        <v>210.65603079265924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5.1070592826240464</v>
      </c>
      <c r="AV27" s="21">
        <f>EXP(-LN(2)/25)*AV26+(1-EXP(-LN(2)/25))/(LN(2)/25)*Calculateur!AQ27*Calculateur!AS27*VLOOKUP('Données projet'!$B$10,Paramètres!$A$1:$I$89,3,0)*0.475*44/12</f>
        <v>13.498996020980069</v>
      </c>
      <c r="AW27" s="21">
        <f>EXP(-LN(2)/2)*AW26+(1-EXP(-LN(2)/2))/(LN(2)/2)*AQ27*AT27*VLOOKUP('Données projet'!$B$10,Paramètres!$A$1:$I$89,3,0)*0.475*44/12</f>
        <v>11.851498133910756</v>
      </c>
      <c r="AX27" s="21">
        <f t="shared" si="6"/>
        <v>30.457553437514871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5.0894117647058819</v>
      </c>
      <c r="BD27" s="12">
        <f>IF('Données projet'!$A$88&gt;35,BD26+BC27-BL26,IF(A27&lt;'Données projet'!$A$88,$BA$205^A27,IF(A27='Données projet'!$A$88,'Données projet'!$B$88,BD26+BC27-BL26)))</f>
        <v>38.007396557808917</v>
      </c>
      <c r="BE27" s="13">
        <f>BD27*VLOOKUP('Données projet'!$B$11,Paramètres!$A$1:$I$89,3,0)*VLOOKUP('Données projet'!$B$11,Paramètres!$A$1:$I$89,5,0)</f>
        <v>34.389092405505508</v>
      </c>
      <c r="BF27" s="13">
        <f t="shared" si="37"/>
        <v>10.498648796949267</v>
      </c>
      <c r="BG27" s="20">
        <f t="shared" si="7"/>
        <v>78.179482594275399</v>
      </c>
      <c r="BH27" s="59">
        <f t="shared" si="8"/>
        <v>371.5128159276087</v>
      </c>
      <c r="BI27" s="59">
        <f ca="1">AVERAGE(OFFSET($BH$3,0,0,'Données projet'!$E$11+1,1))-AVERAGE(OFFSET($H$3,0,0,'Données projet'!$E$11+1,1))</f>
        <v>507.69556381324213</v>
      </c>
      <c r="BJ27" s="59">
        <f t="shared" si="38"/>
        <v>129.52638237044044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3.3603333333333336</v>
      </c>
      <c r="BY27" s="12">
        <f>IF('Données projet'!$A$114&gt;35,BY26+BX27-CG26,IF(A27&lt;'Données projet'!$A$114,$BV$205^A27,IF(A27='Données projet'!$A$114,'Données projet'!$B$114,BY26+BX27-CG26)))</f>
        <v>80.648000000000025</v>
      </c>
      <c r="BZ27" s="13">
        <f>BY27*VLOOKUP('Données projet'!$B$12,Paramètres!$A$1:$I$89,3,0)*VLOOKUP('Données projet'!$B$12,Paramètres!$A$1:$I$89,5,0)</f>
        <v>78.002745600000026</v>
      </c>
      <c r="CA27" s="13">
        <f t="shared" si="39"/>
        <v>21.648128806136818</v>
      </c>
      <c r="CB27" s="20">
        <f t="shared" si="10"/>
        <v>173.55860625735497</v>
      </c>
      <c r="CC27" s="59">
        <f t="shared" si="11"/>
        <v>466.89193959068825</v>
      </c>
      <c r="CD27" s="59">
        <f ca="1">AVERAGE(OFFSET($CC$3,0,0,'Données projet'!$E$12+1,1))-AVERAGE(OFFSET($H$3,0,0,'Données projet'!$E$12+1,1))</f>
        <v>292.52253679467469</v>
      </c>
      <c r="CE27" s="59">
        <f t="shared" si="40"/>
        <v>155.7114133976541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6.7948717948717956</v>
      </c>
      <c r="CT27" s="12">
        <f>IF('Données projet'!$A$140&gt;35,CT26+CS27-DB26,IF(A27&lt;'Données projet'!$A$140,$CQ$205^A27,IF(A27='Données projet'!$A$140,'Données projet'!$B$140,CT26+CS27-DB26)))</f>
        <v>65.641025641025635</v>
      </c>
      <c r="CU27" s="17">
        <f>CT27*VLOOKUP('Données projet'!$B$13,Paramètres!$A$1:$I$89,3,0)*VLOOKUP('Données projet'!$B$13,Paramètres!$A$1:$I$89,5,0)</f>
        <v>51.199999999999996</v>
      </c>
      <c r="CV27" s="13">
        <f t="shared" si="41"/>
        <v>14.923235838479547</v>
      </c>
      <c r="CW27" s="20">
        <f t="shared" si="13"/>
        <v>115.16463575201853</v>
      </c>
      <c r="CX27" s="59">
        <f t="shared" si="14"/>
        <v>408.49796908535183</v>
      </c>
      <c r="CY27" s="59">
        <f ca="1">AVERAGE(OFFSET($CX$3,0,0,'Données projet'!$E$13+1,1))-AVERAGE(OFFSET($H$3,0,0,'Données projet'!$E$13+1,1))</f>
        <v>100.54865094989304</v>
      </c>
      <c r="CZ27" s="59">
        <f t="shared" si="42"/>
        <v>99.95654161405389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1.4626479534460983</v>
      </c>
      <c r="DH27" s="21">
        <f>EXP(-LN(2)/2)*DH26+(1-EXP(-LN(2)/2))/(LN(2)/2)*DB27*DE27*VLOOKUP('Données projet'!$B$13,Paramètres!$A$1:$I$89,3,0)*0.475*44/12</f>
        <v>0.75276729921240082</v>
      </c>
      <c r="DI27" s="22">
        <f t="shared" si="15"/>
        <v>2.2154152526584991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4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21.839999999999996</v>
      </c>
      <c r="D28" s="11">
        <f t="shared" si="32"/>
        <v>7.0293584875852613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222.85118832521957</v>
      </c>
      <c r="H28" s="67">
        <f t="shared" si="1"/>
        <v>343.61413269921098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28.821666666666669</v>
      </c>
      <c r="N28" s="13">
        <f>IF('Données projet'!$A$36&gt;35,N27+M28-V27,IF(A28&lt;'Données projet'!$A$36,$K$205^A28,IF(A28='Données projet'!$A$36,'Données projet'!$B$36,N27+M28-V27)))</f>
        <v>266.58166666666665</v>
      </c>
      <c r="O28" s="13">
        <f>N28*VLOOKUP('Données projet'!$B$9,Paramètres!$A$1:$I$89,3,0)*VLOOKUP('Données projet'!$B$9,Paramètres!$A$1:$I$89,5,0)</f>
        <v>149.01915166666666</v>
      </c>
      <c r="P28" s="13">
        <f t="shared" si="33"/>
        <v>38.355599280963794</v>
      </c>
      <c r="Q28" s="20">
        <f t="shared" si="2"/>
        <v>326.34435790045637</v>
      </c>
      <c r="R28" s="59">
        <f t="shared" si="0"/>
        <v>619.67769123378969</v>
      </c>
      <c r="S28" s="59">
        <f ca="1">AVERAGE(OFFSET($R$3,0,0,'Données projet'!$E$9+1,1))-AVERAGE(OFFSET($H$3,0,0,'Données projet'!$E$9+1,1))</f>
        <v>324.69474275039357</v>
      </c>
      <c r="T28" s="59">
        <f t="shared" si="34"/>
        <v>437.68177084535927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11.780340528160256</v>
      </c>
      <c r="AA28" s="21">
        <f>EXP(-LN(2)/25)*AA27+(1-EXP(-LN(2)/25))/(LN(2)/25)*Calculateur!V28*Calculateur!X28*VLOOKUP('Données projet'!$B$9,Paramètres!$A$1:$I$89,3,0)*0.475*44/12</f>
        <v>16.778299615844254</v>
      </c>
      <c r="AB28" s="21">
        <f>EXP(-LN(2)/2)*AB27+(1-EXP(-LN(2)/2))/(LN(2)/2)*V28*Y28*VLOOKUP('Données projet'!$B$9,Paramètres!$A$1:$I$89,3,0)*0.475*44/12</f>
        <v>10.332110342894797</v>
      </c>
      <c r="AC28" s="22">
        <f t="shared" si="3"/>
        <v>38.890750486899307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18.678333333333331</v>
      </c>
      <c r="AI28" s="13">
        <f>IF('Données projet'!$A$62&gt;35,AI27+AH28-AQ27,IF(A28&lt;'Données projet'!$A$62,$AF$205^A28,IF(A28='Données projet'!$A$62,'Données projet'!$B$62,AI27+AH28-AQ27)))</f>
        <v>168.19666666666663</v>
      </c>
      <c r="AJ28" s="13">
        <f>AI28*VLOOKUP('Données projet'!$B$10,Paramètres!$A$1:$I$89,3,0)*VLOOKUP('Données projet'!$B$10,Paramètres!$A$1:$I$89,5,0)</f>
        <v>100.58160666666666</v>
      </c>
      <c r="AK28" s="13">
        <f t="shared" si="35"/>
        <v>27.100510515925464</v>
      </c>
      <c r="AL28" s="20">
        <f t="shared" si="4"/>
        <v>222.37968742634794</v>
      </c>
      <c r="AM28" s="59">
        <f t="shared" si="5"/>
        <v>515.71302075968129</v>
      </c>
      <c r="AN28" s="59">
        <f ca="1">AVERAGE(OFFSET($AM$3,0,0,'Données projet'!$E$10+1,1))-AVERAGE(OFFSET($H$3,0,0,'Données projet'!$E$10+1,1))</f>
        <v>214.93913810439858</v>
      </c>
      <c r="AO28" s="59">
        <f t="shared" si="36"/>
        <v>210.65603079265924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5.006912965090371</v>
      </c>
      <c r="AV28" s="21">
        <f>EXP(-LN(2)/25)*AV27+(1-EXP(-LN(2)/25))/(LN(2)/25)*Calculateur!AQ28*Calculateur!AS28*VLOOKUP('Données projet'!$B$10,Paramètres!$A$1:$I$89,3,0)*0.475*44/12</f>
        <v>13.129865264905021</v>
      </c>
      <c r="AW28" s="21">
        <f>EXP(-LN(2)/2)*AW27+(1-EXP(-LN(2)/2))/(LN(2)/2)*AQ28*AT28*VLOOKUP('Données projet'!$B$10,Paramètres!$A$1:$I$89,3,0)*0.475*44/12</f>
        <v>8.3802746977080105</v>
      </c>
      <c r="AX28" s="21">
        <f t="shared" si="6"/>
        <v>26.517052927703403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5.0894117647058819</v>
      </c>
      <c r="BD28" s="12">
        <f>IF('Données projet'!$A$88&gt;35,BD27+BC28-BL27,IF(A28&lt;'Données projet'!$A$88,$BA$205^A28,IF(A28='Données projet'!$A$88,'Données projet'!$B$88,BD27+BC28-BL27)))</f>
        <v>44.227863504790903</v>
      </c>
      <c r="BE28" s="13">
        <f>BD28*VLOOKUP('Données projet'!$B$11,Paramètres!$A$1:$I$89,3,0)*VLOOKUP('Données projet'!$B$11,Paramètres!$A$1:$I$89,5,0)</f>
        <v>40.017370899134811</v>
      </c>
      <c r="BF28" s="13">
        <f t="shared" si="37"/>
        <v>12.003250949076193</v>
      </c>
      <c r="BG28" s="20">
        <f t="shared" si="7"/>
        <v>90.60258305230083</v>
      </c>
      <c r="BH28" s="59">
        <f t="shared" si="8"/>
        <v>383.93591638563413</v>
      </c>
      <c r="BI28" s="59">
        <f ca="1">AVERAGE(OFFSET($BH$3,0,0,'Données projet'!$E$11+1,1))-AVERAGE(OFFSET($H$3,0,0,'Données projet'!$E$11+1,1))</f>
        <v>507.69556381324213</v>
      </c>
      <c r="BJ28" s="59">
        <f t="shared" si="38"/>
        <v>129.52638237044044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3.3603333333333336</v>
      </c>
      <c r="BY28" s="12">
        <f>IF('Données projet'!$A$114&gt;35,BY27+BX28-CG27,IF(A28&lt;'Données projet'!$A$114,$BV$205^A28,IF(A28='Données projet'!$A$114,'Données projet'!$B$114,BY27+BX28-CG27)))</f>
        <v>84.008333333333354</v>
      </c>
      <c r="BZ28" s="13">
        <f>BY28*VLOOKUP('Données projet'!$B$12,Paramètres!$A$1:$I$89,3,0)*VLOOKUP('Données projet'!$B$12,Paramètres!$A$1:$I$89,5,0)</f>
        <v>81.252860000000027</v>
      </c>
      <c r="CA28" s="13">
        <f t="shared" si="39"/>
        <v>22.443237318816408</v>
      </c>
      <c r="CB28" s="20">
        <f t="shared" si="10"/>
        <v>180.60403616360529</v>
      </c>
      <c r="CC28" s="59">
        <f t="shared" si="11"/>
        <v>473.93736949693857</v>
      </c>
      <c r="CD28" s="59">
        <f ca="1">AVERAGE(OFFSET($CC$3,0,0,'Données projet'!$E$12+1,1))-AVERAGE(OFFSET($H$3,0,0,'Données projet'!$E$12+1,1))</f>
        <v>292.52253679467469</v>
      </c>
      <c r="CE28" s="59">
        <f t="shared" si="40"/>
        <v>155.7114133976541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>
        <f>VLOOKUP(A28,'Données projet'!$A$139:$I$159,2,0)</f>
        <v>72.435897435897431</v>
      </c>
      <c r="CR28" s="12">
        <f>VLOOKUP(A28,'Données projet'!$A$139:$I$159,9,0)</f>
        <v>6.7948717948717956</v>
      </c>
      <c r="CS28" s="12">
        <f t="array" ref="CS28">INDEX(CR:CR,MIN(IF(ISNUMBER(CR28:CR224),ROW(CR28:CR224),"")))</f>
        <v>6.7948717948717956</v>
      </c>
      <c r="CT28" s="12">
        <f>IF('Données projet'!$A$140&gt;35,CT27+CS28-DB27,IF(A28&lt;'Données projet'!$A$140,$CQ$205^A28,IF(A28='Données projet'!$A$140,'Données projet'!$B$140,CT27+CS28-DB27)))</f>
        <v>72.435897435897431</v>
      </c>
      <c r="CU28" s="17">
        <f>CT28*VLOOKUP('Données projet'!$B$13,Paramètres!$A$1:$I$89,3,0)*VLOOKUP('Données projet'!$B$13,Paramètres!$A$1:$I$89,5,0)</f>
        <v>56.5</v>
      </c>
      <c r="CV28" s="13">
        <f t="shared" si="41"/>
        <v>16.280287626136957</v>
      </c>
      <c r="CW28" s="20">
        <f t="shared" si="13"/>
        <v>126.75900094885519</v>
      </c>
      <c r="CX28" s="59">
        <f t="shared" si="14"/>
        <v>420.09233428218852</v>
      </c>
      <c r="CY28" s="59">
        <f ca="1">AVERAGE(OFFSET($CX$3,0,0,'Données projet'!$E$13+1,1))-AVERAGE(OFFSET($H$3,0,0,'Données projet'!$E$13+1,1))</f>
        <v>100.54865094989304</v>
      </c>
      <c r="CZ28" s="59">
        <f t="shared" si="42"/>
        <v>99.95654161405389</v>
      </c>
      <c r="DA28" s="15">
        <f>IF(ISNA(VLOOKUP(A28,'Données projet'!$A$139:$I$159,3,0)),0,VLOOKUP(A28,'Données projet'!$A$139:$I$159,3,0))</f>
        <v>3</v>
      </c>
      <c r="DB28" s="15">
        <f>IF(ISNA(VLOOKUP(A28,'Données projet'!$A$139:$I$159,4,0)),0,VLOOKUP(A28,'Données projet'!$A$139:$I$159,4,0))</f>
        <v>17.307692307692307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0.1075</v>
      </c>
      <c r="DE28" s="16">
        <f>IF(ISNA(VLOOKUP(A28,'Données projet'!$A$139:$I$159,7,0)),0%,VLOOKUP(A28,'Données projet'!$A$139:$I$159,7,0))</f>
        <v>0.25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3.0206488614692537</v>
      </c>
      <c r="DH28" s="21">
        <f>EXP(-LN(2)/2)*DH27+(1-EXP(-LN(2)/2))/(LN(2)/2)*DB28*DE28*VLOOKUP('Données projet'!$B$13,Paramètres!$A$1:$I$89,3,0)*0.475*44/12</f>
        <v>3.7166901987217562</v>
      </c>
      <c r="DI28" s="22">
        <f t="shared" si="15"/>
        <v>6.7373390601910099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4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22.713599999999996</v>
      </c>
      <c r="D29" s="11">
        <f t="shared" si="32"/>
        <v>7.2772341841187966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231.50819370196962</v>
      </c>
      <c r="H29" s="67">
        <f t="shared" si="1"/>
        <v>345.5673695373402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28.821666666666669</v>
      </c>
      <c r="N29" s="13">
        <f>IF('Données projet'!$A$36&gt;35,N28+M29-V28,IF(A29&lt;'Données projet'!$A$36,$K$205^A29,IF(A29='Données projet'!$A$36,'Données projet'!$B$36,N28+M29-V28)))</f>
        <v>295.40333333333331</v>
      </c>
      <c r="O29" s="13">
        <f>N29*VLOOKUP('Données projet'!$B$9,Paramètres!$A$1:$I$89,3,0)*VLOOKUP('Données projet'!$B$9,Paramètres!$A$1:$I$89,5,0)</f>
        <v>165.13046333333332</v>
      </c>
      <c r="P29" s="13">
        <f t="shared" si="33"/>
        <v>41.997571517265513</v>
      </c>
      <c r="Q29" s="20">
        <f t="shared" si="2"/>
        <v>360.74799403145965</v>
      </c>
      <c r="R29" s="59">
        <f t="shared" si="0"/>
        <v>654.08132736479297</v>
      </c>
      <c r="S29" s="59">
        <f ca="1">AVERAGE(OFFSET($R$3,0,0,'Données projet'!$E$9+1,1))-AVERAGE(OFFSET($H$3,0,0,'Données projet'!$E$9+1,1))</f>
        <v>324.69474275039357</v>
      </c>
      <c r="T29" s="59">
        <f t="shared" si="34"/>
        <v>437.68177084535927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11.549335235701266</v>
      </c>
      <c r="AA29" s="21">
        <f>EXP(-LN(2)/25)*AA28+(1-EXP(-LN(2)/25))/(LN(2)/25)*Calculateur!V29*Calculateur!X29*VLOOKUP('Données projet'!$B$9,Paramètres!$A$1:$I$89,3,0)*0.475*44/12</f>
        <v>16.319496130516562</v>
      </c>
      <c r="AB29" s="21">
        <f>EXP(-LN(2)/2)*AB28+(1-EXP(-LN(2)/2))/(LN(2)/2)*V29*Y29*VLOOKUP('Données projet'!$B$9,Paramètres!$A$1:$I$89,3,0)*0.475*44/12</f>
        <v>7.3059052874285761</v>
      </c>
      <c r="AC29" s="22">
        <f t="shared" si="3"/>
        <v>35.174736653646406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18.678333333333331</v>
      </c>
      <c r="AI29" s="13">
        <f>IF('Données projet'!$A$62&gt;35,AI28+AH29-AQ28,IF(A29&lt;'Données projet'!$A$62,$AF$205^A29,IF(A29='Données projet'!$A$62,'Données projet'!$B$62,AI28+AH29-AQ28)))</f>
        <v>186.87499999999997</v>
      </c>
      <c r="AJ29" s="13">
        <f>AI29*VLOOKUP('Données projet'!$B$10,Paramètres!$A$1:$I$89,3,0)*VLOOKUP('Données projet'!$B$10,Paramètres!$A$1:$I$89,5,0)</f>
        <v>111.75125</v>
      </c>
      <c r="AK29" s="13">
        <f t="shared" si="35"/>
        <v>29.743212667393731</v>
      </c>
      <c r="AL29" s="20">
        <f t="shared" si="4"/>
        <v>246.4361891457107</v>
      </c>
      <c r="AM29" s="59">
        <f t="shared" si="5"/>
        <v>539.76952247904399</v>
      </c>
      <c r="AN29" s="59">
        <f ca="1">AVERAGE(OFFSET($AM$3,0,0,'Données projet'!$E$10+1,1))-AVERAGE(OFFSET($H$3,0,0,'Données projet'!$E$10+1,1))</f>
        <v>214.93913810439858</v>
      </c>
      <c r="AO29" s="59">
        <f t="shared" si="36"/>
        <v>210.65603079265924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4.908730455760308</v>
      </c>
      <c r="AV29" s="21">
        <f>EXP(-LN(2)/25)*AV28+(1-EXP(-LN(2)/25))/(LN(2)/25)*Calculateur!AQ29*Calculateur!AS29*VLOOKUP('Données projet'!$B$10,Paramètres!$A$1:$I$89,3,0)*0.475*44/12</f>
        <v>12.770828408766588</v>
      </c>
      <c r="AW29" s="21">
        <f>EXP(-LN(2)/2)*AW28+(1-EXP(-LN(2)/2))/(LN(2)/2)*AQ29*AT29*VLOOKUP('Données projet'!$B$10,Paramètres!$A$1:$I$89,3,0)*0.475*44/12</f>
        <v>5.9257490669553796</v>
      </c>
      <c r="AX29" s="21">
        <f t="shared" si="6"/>
        <v>23.605307931482276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5.0894117647058819</v>
      </c>
      <c r="BD29" s="12">
        <f>IF('Données projet'!$A$88&gt;35,BD28+BC29-BL28,IF(A29&lt;'Données projet'!$A$88,$BA$205^A29,IF(A29='Données projet'!$A$88,'Données projet'!$B$88,BD28+BC29-BL28)))</f>
        <v>51.466400947068237</v>
      </c>
      <c r="BE29" s="13">
        <f>BD29*VLOOKUP('Données projet'!$B$11,Paramètres!$A$1:$I$89,3,0)*VLOOKUP('Données projet'!$B$11,Paramètres!$A$1:$I$89,5,0)</f>
        <v>46.566799576907343</v>
      </c>
      <c r="BF29" s="13">
        <f t="shared" si="37"/>
        <v>13.723483481832947</v>
      </c>
      <c r="BG29" s="20">
        <f t="shared" si="7"/>
        <v>105.005576327306</v>
      </c>
      <c r="BH29" s="59">
        <f t="shared" si="8"/>
        <v>398.33890966063933</v>
      </c>
      <c r="BI29" s="59">
        <f ca="1">AVERAGE(OFFSET($BH$3,0,0,'Données projet'!$E$11+1,1))-AVERAGE(OFFSET($H$3,0,0,'Données projet'!$E$11+1,1))</f>
        <v>507.69556381324213</v>
      </c>
      <c r="BJ29" s="59">
        <f t="shared" si="38"/>
        <v>129.52638237044044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3.3603333333333336</v>
      </c>
      <c r="BY29" s="12">
        <f>IF('Données projet'!$A$114&gt;35,BY28+BX29-CG28,IF(A29&lt;'Données projet'!$A$114,$BV$205^A29,IF(A29='Données projet'!$A$114,'Données projet'!$B$114,BY28+BX29-CG28)))</f>
        <v>87.368666666666684</v>
      </c>
      <c r="BZ29" s="13">
        <f>BY29*VLOOKUP('Données projet'!$B$12,Paramètres!$A$1:$I$89,3,0)*VLOOKUP('Données projet'!$B$12,Paramètres!$A$1:$I$89,5,0)</f>
        <v>84.502974400000014</v>
      </c>
      <c r="CA29" s="13">
        <f t="shared" si="39"/>
        <v>23.234651370709514</v>
      </c>
      <c r="CB29" s="20">
        <f t="shared" si="10"/>
        <v>187.64303155065241</v>
      </c>
      <c r="CC29" s="59">
        <f t="shared" si="11"/>
        <v>480.97636488398575</v>
      </c>
      <c r="CD29" s="59">
        <f ca="1">AVERAGE(OFFSET($CC$3,0,0,'Données projet'!$E$12+1,1))-AVERAGE(OFFSET($H$3,0,0,'Données projet'!$E$12+1,1))</f>
        <v>292.52253679467469</v>
      </c>
      <c r="CE29" s="59">
        <f t="shared" si="40"/>
        <v>155.7114133976541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7.3717948717948714</v>
      </c>
      <c r="CT29" s="12">
        <f>IF('Données projet'!$A$140&gt;35,CT28+CS29-DB28,IF(A29&lt;'Données projet'!$A$140,$CQ$205^A29,IF(A29='Données projet'!$A$140,'Données projet'!$B$140,CT28+CS29-DB28)))</f>
        <v>62.5</v>
      </c>
      <c r="CU29" s="17">
        <f>CT29*VLOOKUP('Données projet'!$B$13,Paramètres!$A$1:$I$89,3,0)*VLOOKUP('Données projet'!$B$13,Paramètres!$A$1:$I$89,5,0)</f>
        <v>48.75</v>
      </c>
      <c r="CV29" s="13">
        <f t="shared" si="41"/>
        <v>14.290467583875053</v>
      </c>
      <c r="CW29" s="20">
        <f t="shared" si="13"/>
        <v>109.79548104191571</v>
      </c>
      <c r="CX29" s="59">
        <f t="shared" si="14"/>
        <v>403.12881437524902</v>
      </c>
      <c r="CY29" s="59">
        <f ca="1">AVERAGE(OFFSET($CX$3,0,0,'Données projet'!$E$13+1,1))-AVERAGE(OFFSET($H$3,0,0,'Données projet'!$E$13+1,1))</f>
        <v>100.54865094989304</v>
      </c>
      <c r="CZ29" s="59">
        <f t="shared" si="42"/>
        <v>99.95654161405389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2.9380490595033573</v>
      </c>
      <c r="DH29" s="21">
        <f>EXP(-LN(2)/2)*DH28+(1-EXP(-LN(2)/2))/(LN(2)/2)*DB29*DE29*VLOOKUP('Données projet'!$B$13,Paramètres!$A$1:$I$89,3,0)*0.475*44/12</f>
        <v>2.6280968430857308</v>
      </c>
      <c r="DI29" s="22">
        <f t="shared" si="15"/>
        <v>5.5661459025890885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4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23.587199999999996</v>
      </c>
      <c r="D30" s="11">
        <f t="shared" si="32"/>
        <v>7.5240023521814967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240.15664973613787</v>
      </c>
      <c r="H30" s="67">
        <f t="shared" si="1"/>
        <v>347.51867743004942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28.821666666666669</v>
      </c>
      <c r="N30" s="13">
        <f>IF('Données projet'!$A$36&gt;35,N29+M30-V29,IF(A30&lt;'Données projet'!$A$36,$K$205^A30,IF(A30='Données projet'!$A$36,'Données projet'!$B$36,N29+M30-V29)))</f>
        <v>324.22499999999997</v>
      </c>
      <c r="O30" s="13">
        <f>N30*VLOOKUP('Données projet'!$B$9,Paramètres!$A$1:$I$89,3,0)*VLOOKUP('Données projet'!$B$9,Paramètres!$A$1:$I$89,5,0)</f>
        <v>181.24177499999999</v>
      </c>
      <c r="P30" s="13">
        <f t="shared" si="33"/>
        <v>45.598347584220761</v>
      </c>
      <c r="Q30" s="20">
        <f t="shared" si="2"/>
        <v>395.07988016751779</v>
      </c>
      <c r="R30" s="59">
        <f t="shared" si="0"/>
        <v>688.41321350085104</v>
      </c>
      <c r="S30" s="59">
        <f ca="1">AVERAGE(OFFSET($R$3,0,0,'Données projet'!$E$9+1,1))-AVERAGE(OFFSET($H$3,0,0,'Données projet'!$E$9+1,1))</f>
        <v>324.69474275039357</v>
      </c>
      <c r="T30" s="59">
        <f t="shared" si="34"/>
        <v>437.68177084535927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11.322859816128082</v>
      </c>
      <c r="AA30" s="21">
        <f>EXP(-LN(2)/25)*AA29+(1-EXP(-LN(2)/25))/(LN(2)/25)*Calculateur!V30*Calculateur!X30*VLOOKUP('Données projet'!$B$9,Paramètres!$A$1:$I$89,3,0)*0.475*44/12</f>
        <v>15.873238650622584</v>
      </c>
      <c r="AB30" s="21">
        <f>EXP(-LN(2)/2)*AB29+(1-EXP(-LN(2)/2))/(LN(2)/2)*V30*Y30*VLOOKUP('Données projet'!$B$9,Paramètres!$A$1:$I$89,3,0)*0.475*44/12</f>
        <v>5.1660551714473995</v>
      </c>
      <c r="AC30" s="22">
        <f t="shared" si="3"/>
        <v>32.362153638198066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18.678333333333331</v>
      </c>
      <c r="AI30" s="13">
        <f>IF('Données projet'!$A$62&gt;35,AI29+AH30-AQ29,IF(A30&lt;'Données projet'!$A$62,$AF$205^A30,IF(A30='Données projet'!$A$62,'Données projet'!$B$62,AI29+AH30-AQ29)))</f>
        <v>205.55333333333331</v>
      </c>
      <c r="AJ30" s="13">
        <f>AI30*VLOOKUP('Données projet'!$B$10,Paramètres!$A$1:$I$89,3,0)*VLOOKUP('Données projet'!$B$10,Paramètres!$A$1:$I$89,5,0)</f>
        <v>122.92089333333332</v>
      </c>
      <c r="AK30" s="13">
        <f t="shared" si="35"/>
        <v>32.355293246449399</v>
      </c>
      <c r="AL30" s="20">
        <f t="shared" si="4"/>
        <v>270.43935829312153</v>
      </c>
      <c r="AM30" s="59">
        <f t="shared" si="5"/>
        <v>563.77269162645484</v>
      </c>
      <c r="AN30" s="59">
        <f ca="1">AVERAGE(OFFSET($AM$3,0,0,'Données projet'!$E$10+1,1))-AVERAGE(OFFSET($H$3,0,0,'Données projet'!$E$10+1,1))</f>
        <v>214.93913810439858</v>
      </c>
      <c r="AO30" s="59">
        <f t="shared" si="36"/>
        <v>210.65603079265924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4.8124732455527903</v>
      </c>
      <c r="AV30" s="21">
        <f>EXP(-LN(2)/25)*AV29+(1-EXP(-LN(2)/25))/(LN(2)/25)*Calculateur!AQ30*Calculateur!AS30*VLOOKUP('Données projet'!$B$10,Paramètres!$A$1:$I$89,3,0)*0.475*44/12</f>
        <v>12.421609434340189</v>
      </c>
      <c r="AW30" s="21">
        <f>EXP(-LN(2)/2)*AW29+(1-EXP(-LN(2)/2))/(LN(2)/2)*AQ30*AT30*VLOOKUP('Données projet'!$B$10,Paramètres!$A$1:$I$89,3,0)*0.475*44/12</f>
        <v>4.1901373488540061</v>
      </c>
      <c r="AX30" s="21">
        <f t="shared" si="6"/>
        <v>21.424220028746984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5.0894117647058819</v>
      </c>
      <c r="BD30" s="12">
        <f>IF('Données projet'!$A$88&gt;35,BD29+BC30-BL29,IF(A30&lt;'Données projet'!$A$88,$BA$205^A30,IF(A30='Données projet'!$A$88,'Données projet'!$B$88,BD29+BC30-BL29)))</f>
        <v>59.889631027676955</v>
      </c>
      <c r="BE30" s="13">
        <f>BD30*VLOOKUP('Données projet'!$B$11,Paramètres!$A$1:$I$89,3,0)*VLOOKUP('Données projet'!$B$11,Paramètres!$A$1:$I$89,5,0)</f>
        <v>54.188138153842111</v>
      </c>
      <c r="BF30" s="13">
        <f t="shared" si="37"/>
        <v>15.690249222910433</v>
      </c>
      <c r="BG30" s="20">
        <f t="shared" si="7"/>
        <v>121.70485801451069</v>
      </c>
      <c r="BH30" s="59">
        <f t="shared" si="8"/>
        <v>415.03819134784402</v>
      </c>
      <c r="BI30" s="59">
        <f ca="1">AVERAGE(OFFSET($BH$3,0,0,'Données projet'!$E$11+1,1))-AVERAGE(OFFSET($H$3,0,0,'Données projet'!$E$11+1,1))</f>
        <v>507.69556381324213</v>
      </c>
      <c r="BJ30" s="59">
        <f t="shared" si="38"/>
        <v>129.52638237044044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3.3603333333333336</v>
      </c>
      <c r="BY30" s="12">
        <f>IF('Données projet'!$A$114&gt;35,BY29+BX30-CG29,IF(A30&lt;'Données projet'!$A$114,$BV$205^A30,IF(A30='Données projet'!$A$114,'Données projet'!$B$114,BY29+BX30-CG29)))</f>
        <v>90.729000000000013</v>
      </c>
      <c r="BZ30" s="13">
        <f>BY30*VLOOKUP('Données projet'!$B$12,Paramètres!$A$1:$I$89,3,0)*VLOOKUP('Données projet'!$B$12,Paramètres!$A$1:$I$89,5,0)</f>
        <v>87.753088800000015</v>
      </c>
      <c r="CA30" s="13">
        <f t="shared" si="39"/>
        <v>24.022529321214137</v>
      </c>
      <c r="CB30" s="20">
        <f t="shared" si="10"/>
        <v>194.67586822778131</v>
      </c>
      <c r="CC30" s="59">
        <f t="shared" si="11"/>
        <v>488.00920156111465</v>
      </c>
      <c r="CD30" s="59">
        <f ca="1">AVERAGE(OFFSET($CC$3,0,0,'Données projet'!$E$12+1,1))-AVERAGE(OFFSET($H$3,0,0,'Données projet'!$E$12+1,1))</f>
        <v>292.52253679467469</v>
      </c>
      <c r="CE30" s="59">
        <f t="shared" si="40"/>
        <v>155.7114133976541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7.3717948717948714</v>
      </c>
      <c r="CT30" s="12">
        <f>IF('Données projet'!$A$140&gt;35,CT29+CS30-DB29,IF(A30&lt;'Données projet'!$A$140,$CQ$205^A30,IF(A30='Données projet'!$A$140,'Données projet'!$B$140,CT29+CS30-DB29)))</f>
        <v>69.871794871794876</v>
      </c>
      <c r="CU30" s="17">
        <f>CT30*VLOOKUP('Données projet'!$B$13,Paramètres!$A$1:$I$89,3,0)*VLOOKUP('Données projet'!$B$13,Paramètres!$A$1:$I$89,5,0)</f>
        <v>54.500000000000007</v>
      </c>
      <c r="CV30" s="13">
        <f t="shared" si="41"/>
        <v>15.770011654349027</v>
      </c>
      <c r="CW30" s="20">
        <f t="shared" si="13"/>
        <v>122.38693696465789</v>
      </c>
      <c r="CX30" s="59">
        <f t="shared" si="14"/>
        <v>415.72027029799119</v>
      </c>
      <c r="CY30" s="59">
        <f ca="1">AVERAGE(OFFSET($CX$3,0,0,'Données projet'!$E$13+1,1))-AVERAGE(OFFSET($H$3,0,0,'Données projet'!$E$13+1,1))</f>
        <v>100.54865094989304</v>
      </c>
      <c r="CZ30" s="59">
        <f t="shared" si="42"/>
        <v>99.95654161405389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2.8577079534659529</v>
      </c>
      <c r="DH30" s="21">
        <f>EXP(-LN(2)/2)*DH29+(1-EXP(-LN(2)/2))/(LN(2)/2)*DB30*DE30*VLOOKUP('Données projet'!$B$13,Paramètres!$A$1:$I$89,3,0)*0.475*44/12</f>
        <v>1.8583450993608783</v>
      </c>
      <c r="DI30" s="22">
        <f t="shared" si="15"/>
        <v>4.7160530528268314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4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24.460799999999995</v>
      </c>
      <c r="D31" s="11">
        <f t="shared" si="32"/>
        <v>7.7697087087225771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248.79690933049005</v>
      </c>
      <c r="H31" s="67">
        <f t="shared" si="1"/>
        <v>349.46813600102513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28.821666666666669</v>
      </c>
      <c r="N31" s="13">
        <f>IF('Données projet'!$A$36&gt;35,N30+M31-V30,IF(A31&lt;'Données projet'!$A$36,$K$205^A31,IF(A31='Données projet'!$A$36,'Données projet'!$B$36,N30+M31-V30)))</f>
        <v>353.04666666666662</v>
      </c>
      <c r="O31" s="13">
        <f>N31*VLOOKUP('Données projet'!$B$9,Paramètres!$A$1:$I$89,3,0)*VLOOKUP('Données projet'!$B$9,Paramètres!$A$1:$I$89,5,0)</f>
        <v>197.35308666666666</v>
      </c>
      <c r="P31" s="13">
        <f t="shared" si="33"/>
        <v>49.162006002236403</v>
      </c>
      <c r="Q31" s="20">
        <f t="shared" si="2"/>
        <v>429.34711973167282</v>
      </c>
      <c r="R31" s="59">
        <f t="shared" si="0"/>
        <v>722.68045306500608</v>
      </c>
      <c r="S31" s="59">
        <f ca="1">AVERAGE(OFFSET($R$3,0,0,'Données projet'!$E$9+1,1))-AVERAGE(OFFSET($H$3,0,0,'Données projet'!$E$9+1,1))</f>
        <v>324.69474275039357</v>
      </c>
      <c r="T31" s="59">
        <f t="shared" si="34"/>
        <v>437.68177084535927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11.100825441396362</v>
      </c>
      <c r="AA31" s="21">
        <f>EXP(-LN(2)/25)*AA30+(1-EXP(-LN(2)/25))/(LN(2)/25)*Calculateur!V31*Calculateur!X31*VLOOKUP('Données projet'!$B$9,Paramètres!$A$1:$I$89,3,0)*0.475*44/12</f>
        <v>15.439184104983967</v>
      </c>
      <c r="AB31" s="21">
        <f>EXP(-LN(2)/2)*AB30+(1-EXP(-LN(2)/2))/(LN(2)/2)*V31*Y31*VLOOKUP('Données projet'!$B$9,Paramètres!$A$1:$I$89,3,0)*0.475*44/12</f>
        <v>3.652952643714289</v>
      </c>
      <c r="AC31" s="22">
        <f t="shared" si="3"/>
        <v>30.192962190094619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18.678333333333331</v>
      </c>
      <c r="AI31" s="13">
        <f>IF('Données projet'!$A$62&gt;35,AI30+AH31-AQ30,IF(A31&lt;'Données projet'!$A$62,$AF$205^A31,IF(A31='Données projet'!$A$62,'Données projet'!$B$62,AI30+AH31-AQ30)))</f>
        <v>224.23166666666665</v>
      </c>
      <c r="AJ31" s="13">
        <f>AI31*VLOOKUP('Données projet'!$B$10,Paramètres!$A$1:$I$89,3,0)*VLOOKUP('Données projet'!$B$10,Paramètres!$A$1:$I$89,5,0)</f>
        <v>134.09053666666668</v>
      </c>
      <c r="AK31" s="13">
        <f t="shared" si="35"/>
        <v>34.93985124057766</v>
      </c>
      <c r="AL31" s="20">
        <f t="shared" si="4"/>
        <v>294.39459227178389</v>
      </c>
      <c r="AM31" s="59">
        <f t="shared" si="5"/>
        <v>587.72792560511721</v>
      </c>
      <c r="AN31" s="59">
        <f ca="1">AVERAGE(OFFSET($AM$3,0,0,'Données projet'!$E$10+1,1))-AVERAGE(OFFSET($H$3,0,0,'Données projet'!$E$10+1,1))</f>
        <v>214.93913810439858</v>
      </c>
      <c r="AO31" s="59">
        <f t="shared" si="36"/>
        <v>210.65603079265924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4.7181035805263409</v>
      </c>
      <c r="AV31" s="21">
        <f>EXP(-LN(2)/25)*AV30+(1-EXP(-LN(2)/25))/(LN(2)/25)*Calculateur!AQ31*Calculateur!AS31*VLOOKUP('Données projet'!$B$10,Paramètres!$A$1:$I$89,3,0)*0.475*44/12</f>
        <v>12.081939871134106</v>
      </c>
      <c r="AW31" s="21">
        <f>EXP(-LN(2)/2)*AW30+(1-EXP(-LN(2)/2))/(LN(2)/2)*AQ31*AT31*VLOOKUP('Données projet'!$B$10,Paramètres!$A$1:$I$89,3,0)*0.475*44/12</f>
        <v>2.9628745334776903</v>
      </c>
      <c r="AX31" s="21">
        <f t="shared" si="6"/>
        <v>19.762917985138138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5.0894117647058819</v>
      </c>
      <c r="BD31" s="12">
        <f>IF('Données projet'!$A$88&gt;35,BD30+BC31-BL30,IF(A31&lt;'Données projet'!$A$88,$BA$205^A31,IF(A31='Données projet'!$A$88,'Données projet'!$B$88,BD30+BC31-BL30)))</f>
        <v>69.691446043024783</v>
      </c>
      <c r="BE31" s="13">
        <f>BD31*VLOOKUP('Données projet'!$B$11,Paramètres!$A$1:$I$89,3,0)*VLOOKUP('Données projet'!$B$11,Paramètres!$A$1:$I$89,5,0)</f>
        <v>63.056820379728819</v>
      </c>
      <c r="BF31" s="13">
        <f t="shared" si="37"/>
        <v>17.938879804310467</v>
      </c>
      <c r="BG31" s="20">
        <f t="shared" si="7"/>
        <v>141.06751115386842</v>
      </c>
      <c r="BH31" s="59">
        <f t="shared" si="8"/>
        <v>434.40084448720177</v>
      </c>
      <c r="BI31" s="59">
        <f ca="1">AVERAGE(OFFSET($BH$3,0,0,'Données projet'!$E$11+1,1))-AVERAGE(OFFSET($H$3,0,0,'Données projet'!$E$11+1,1))</f>
        <v>507.69556381324213</v>
      </c>
      <c r="BJ31" s="59">
        <f t="shared" si="38"/>
        <v>129.52638237044044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3.3603333333333336</v>
      </c>
      <c r="BY31" s="12">
        <f>IF('Données projet'!$A$114&gt;35,BY30+BX31-CG30,IF(A31&lt;'Données projet'!$A$114,$BV$205^A31,IF(A31='Données projet'!$A$114,'Données projet'!$B$114,BY30+BX31-CG30)))</f>
        <v>94.089333333333343</v>
      </c>
      <c r="BZ31" s="13">
        <f>BY31*VLOOKUP('Données projet'!$B$12,Paramètres!$A$1:$I$89,3,0)*VLOOKUP('Données projet'!$B$12,Paramètres!$A$1:$I$89,5,0)</f>
        <v>91.003203200000016</v>
      </c>
      <c r="CA31" s="13">
        <f t="shared" si="39"/>
        <v>24.807017134765282</v>
      </c>
      <c r="CB31" s="20">
        <f t="shared" si="10"/>
        <v>201.70280041638287</v>
      </c>
      <c r="CC31" s="59">
        <f t="shared" si="11"/>
        <v>495.03613374971621</v>
      </c>
      <c r="CD31" s="59">
        <f ca="1">AVERAGE(OFFSET($CC$3,0,0,'Données projet'!$E$12+1,1))-AVERAGE(OFFSET($H$3,0,0,'Données projet'!$E$12+1,1))</f>
        <v>292.52253679467469</v>
      </c>
      <c r="CE31" s="59">
        <f t="shared" si="40"/>
        <v>155.7114133976541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7.3717948717948714</v>
      </c>
      <c r="CT31" s="12">
        <f>IF('Données projet'!$A$140&gt;35,CT30+CS31-DB30,IF(A31&lt;'Données projet'!$A$140,$CQ$205^A31,IF(A31='Données projet'!$A$140,'Données projet'!$B$140,CT30+CS31-DB30)))</f>
        <v>77.243589743589752</v>
      </c>
      <c r="CU31" s="17">
        <f>CT31*VLOOKUP('Données projet'!$B$13,Paramètres!$A$1:$I$89,3,0)*VLOOKUP('Données projet'!$B$13,Paramètres!$A$1:$I$89,5,0)</f>
        <v>60.250000000000007</v>
      </c>
      <c r="CV31" s="13">
        <f t="shared" si="41"/>
        <v>17.231461552057397</v>
      </c>
      <c r="CW31" s="20">
        <f t="shared" si="13"/>
        <v>134.94687886983328</v>
      </c>
      <c r="CX31" s="59">
        <f t="shared" si="14"/>
        <v>428.28021220316657</v>
      </c>
      <c r="CY31" s="59">
        <f ca="1">AVERAGE(OFFSET($CX$3,0,0,'Données projet'!$E$13+1,1))-AVERAGE(OFFSET($H$3,0,0,'Données projet'!$E$13+1,1))</f>
        <v>100.54865094989304</v>
      </c>
      <c r="CZ31" s="59">
        <f t="shared" si="42"/>
        <v>99.95654161405389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2.7795637791980963</v>
      </c>
      <c r="DH31" s="21">
        <f>EXP(-LN(2)/2)*DH30+(1-EXP(-LN(2)/2))/(LN(2)/2)*DB31*DE31*VLOOKUP('Données projet'!$B$13,Paramètres!$A$1:$I$89,3,0)*0.475*44/12</f>
        <v>1.3140484215428656</v>
      </c>
      <c r="DI31" s="22">
        <f t="shared" si="15"/>
        <v>4.0936122007409619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4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25.334399999999995</v>
      </c>
      <c r="D32" s="11">
        <f t="shared" si="32"/>
        <v>8.0143955200794537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257.42929875149048</v>
      </c>
      <c r="H32" s="67">
        <f t="shared" si="1"/>
        <v>351.41581886413837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28.821666666666669</v>
      </c>
      <c r="N32" s="13">
        <f>IF('Données projet'!$A$36&gt;35,N31+M32-V31,IF(A32&lt;'Données projet'!$A$36,$K$205^A32,IF(A32='Données projet'!$A$36,'Données projet'!$B$36,N31+M32-V31)))</f>
        <v>381.86833333333328</v>
      </c>
      <c r="O32" s="13">
        <f>N32*VLOOKUP('Données projet'!$B$9,Paramètres!$A$1:$I$89,3,0)*VLOOKUP('Données projet'!$B$9,Paramètres!$A$1:$I$89,5,0)</f>
        <v>213.46439833333329</v>
      </c>
      <c r="P32" s="13">
        <f t="shared" si="33"/>
        <v>52.691921444214742</v>
      </c>
      <c r="Q32" s="20">
        <f t="shared" si="2"/>
        <v>463.55559027922953</v>
      </c>
      <c r="R32" s="59">
        <f t="shared" si="0"/>
        <v>756.88892361256285</v>
      </c>
      <c r="S32" s="59">
        <f ca="1">AVERAGE(OFFSET($R$3,0,0,'Données projet'!$E$9+1,1))-AVERAGE(OFFSET($H$3,0,0,'Données projet'!$E$9+1,1))</f>
        <v>324.69474275039357</v>
      </c>
      <c r="T32" s="59">
        <f t="shared" si="34"/>
        <v>437.68177084535927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10.883145025325534</v>
      </c>
      <c r="AA32" s="21">
        <f>EXP(-LN(2)/25)*AA31+(1-EXP(-LN(2)/25))/(LN(2)/25)*Calculateur!V32*Calculateur!X32*VLOOKUP('Données projet'!$B$9,Paramètres!$A$1:$I$89,3,0)*0.475*44/12</f>
        <v>15.016998803721775</v>
      </c>
      <c r="AB32" s="21">
        <f>EXP(-LN(2)/2)*AB31+(1-EXP(-LN(2)/2))/(LN(2)/2)*V32*Y32*VLOOKUP('Données projet'!$B$9,Paramètres!$A$1:$I$89,3,0)*0.475*44/12</f>
        <v>2.5830275857237002</v>
      </c>
      <c r="AC32" s="22">
        <f t="shared" si="3"/>
        <v>28.483171414771007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>
        <f>VLOOKUP(A32,'Données projet'!$A$61:$I$81,2,0)</f>
        <v>242.91</v>
      </c>
      <c r="AG32" s="12">
        <f>VLOOKUP(A32,'Données projet'!$A$61:$I$81,9,0)</f>
        <v>18.678333333333331</v>
      </c>
      <c r="AH32" s="12">
        <f t="array" ref="AH32">INDEX(AG:AG,MIN(IF(ISNUMBER(AG32:AG228),ROW(AG32:AG228),"")))</f>
        <v>18.678333333333331</v>
      </c>
      <c r="AI32" s="13">
        <f>IF('Données projet'!$A$62&gt;35,AI31+AH32-AQ31,IF(A32&lt;'Données projet'!$A$62,$AF$205^A32,IF(A32='Données projet'!$A$62,'Données projet'!$B$62,AI31+AH32-AQ31)))</f>
        <v>242.91</v>
      </c>
      <c r="AJ32" s="13">
        <f>AI32*VLOOKUP('Données projet'!$B$10,Paramètres!$A$1:$I$89,3,0)*VLOOKUP('Données projet'!$B$10,Paramètres!$A$1:$I$89,5,0)</f>
        <v>145.26018000000002</v>
      </c>
      <c r="AK32" s="13">
        <f t="shared" si="35"/>
        <v>37.499439910321911</v>
      </c>
      <c r="AL32" s="20">
        <f t="shared" si="4"/>
        <v>318.30633801047736</v>
      </c>
      <c r="AM32" s="59">
        <f t="shared" si="5"/>
        <v>611.63967134381073</v>
      </c>
      <c r="AN32" s="59">
        <f ca="1">AVERAGE(OFFSET($AM$3,0,0,'Données projet'!$E$10+1,1))-AVERAGE(OFFSET($H$3,0,0,'Données projet'!$E$10+1,1))</f>
        <v>214.93913810439858</v>
      </c>
      <c r="AO32" s="59">
        <f t="shared" si="36"/>
        <v>210.65603079265924</v>
      </c>
      <c r="AP32" s="15">
        <f>IF(ISNA(VLOOKUP(A32,'Données projet'!$A$61:$I$81,3,0)),0,VLOOKUP(A32,'Données projet'!$A$61:$I$81,3,0))</f>
        <v>3</v>
      </c>
      <c r="AQ32" s="15">
        <f>IF(ISNA(VLOOKUP(A32,'Données projet'!$A$61:$I$81,4,0)),0,VLOOKUP(A32,'Données projet'!$A$61:$I$81,4,0))</f>
        <v>54.97</v>
      </c>
      <c r="AR32" s="16">
        <f>IF(ISNA(VLOOKUP(A32,'Données projet'!$A$61:$I$81,5,0)),0%,VLOOKUP(A32,'Données projet'!$A$61:$I$81,5,0)*VLOOKUP('Données projet'!$B$10,Paramètres!$A$1:$I$89,7,0))</f>
        <v>0.27</v>
      </c>
      <c r="AS32" s="16">
        <f>IF(ISNA(VLOOKUP(A32,'Données projet'!$A$61:$I$81,6,0)),0%,VLOOKUP(A32,'Données projet'!$A$61:$I$81,6,0)*VLOOKUP('Données projet'!$B$10,Paramètres!$A$1:$I$89,7,0))</f>
        <v>9.0000000000000011E-2</v>
      </c>
      <c r="AT32" s="16">
        <f>IF(ISNA(VLOOKUP(A32,'Données projet'!$A$61:$I$81,7,0)),0%,VLOOKUP(A32,'Données projet'!$A$61:$I$81,7,0))</f>
        <v>0.2</v>
      </c>
      <c r="AU32" s="21">
        <f>EXP(-LN(2)/35)*AU31+(1-EXP(-LN(2)/35))/(LN(2)/35)*AQ32*AR32*VLOOKUP('Données projet'!$B$10,Paramètres!$A$1:$I$89,3,0)*0.475*44/12</f>
        <v>16.399449167801741</v>
      </c>
      <c r="AV32" s="21">
        <f>EXP(-LN(2)/25)*AV31+(1-EXP(-LN(2)/25))/(LN(2)/25)*Calculateur!AQ32*Calculateur!AS32*VLOOKUP('Données projet'!$B$10,Paramètres!$A$1:$I$89,3,0)*0.475*44/12</f>
        <v>15.66072743303994</v>
      </c>
      <c r="AW32" s="21">
        <f>EXP(-LN(2)/2)*AW31+(1-EXP(-LN(2)/2))/(LN(2)/2)*AQ32*AT32*VLOOKUP('Données projet'!$B$10,Paramètres!$A$1:$I$89,3,0)*0.475*44/12</f>
        <v>9.5388302780725702</v>
      </c>
      <c r="AX32" s="21">
        <f t="shared" si="6"/>
        <v>41.599006878914253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5.0894117647058819</v>
      </c>
      <c r="BD32" s="12">
        <f>IF('Données projet'!$A$88&gt;35,BD31+BC32-BL31,IF(A32&lt;'Données projet'!$A$88,$BA$205^A32,IF(A32='Données projet'!$A$88,'Données projet'!$B$88,BD31+BC32-BL31)))</f>
        <v>81.097471602777176</v>
      </c>
      <c r="BE32" s="13">
        <f>BD32*VLOOKUP('Données projet'!$B$11,Paramètres!$A$1:$I$89,3,0)*VLOOKUP('Données projet'!$B$11,Paramètres!$A$1:$I$89,5,0)</f>
        <v>73.37699230619279</v>
      </c>
      <c r="BF32" s="13">
        <f t="shared" si="37"/>
        <v>20.509770371499922</v>
      </c>
      <c r="BG32" s="20">
        <f t="shared" si="7"/>
        <v>163.51944499698146</v>
      </c>
      <c r="BH32" s="59">
        <f t="shared" si="8"/>
        <v>456.85277833031478</v>
      </c>
      <c r="BI32" s="59">
        <f ca="1">AVERAGE(OFFSET($BH$3,0,0,'Données projet'!$E$11+1,1))-AVERAGE(OFFSET($H$3,0,0,'Données projet'!$E$11+1,1))</f>
        <v>507.69556381324213</v>
      </c>
      <c r="BJ32" s="59">
        <f t="shared" si="38"/>
        <v>129.52638237044044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3.3603333333333336</v>
      </c>
      <c r="BY32" s="12">
        <f>IF('Données projet'!$A$114&gt;35,BY31+BX32-CG31,IF(A32&lt;'Données projet'!$A$114,$BV$205^A32,IF(A32='Données projet'!$A$114,'Données projet'!$B$114,BY31+BX32-CG31)))</f>
        <v>97.449666666666673</v>
      </c>
      <c r="BZ32" s="13">
        <f>BY32*VLOOKUP('Données projet'!$B$12,Paramètres!$A$1:$I$89,3,0)*VLOOKUP('Données projet'!$B$12,Paramètres!$A$1:$I$89,5,0)</f>
        <v>94.253317600000003</v>
      </c>
      <c r="CA32" s="13">
        <f t="shared" si="39"/>
        <v>25.588249758733145</v>
      </c>
      <c r="CB32" s="20">
        <f t="shared" si="10"/>
        <v>208.72406314979355</v>
      </c>
      <c r="CC32" s="59">
        <f t="shared" si="11"/>
        <v>502.05739648312687</v>
      </c>
      <c r="CD32" s="59">
        <f ca="1">AVERAGE(OFFSET($CC$3,0,0,'Données projet'!$E$12+1,1))-AVERAGE(OFFSET($H$3,0,0,'Données projet'!$E$12+1,1))</f>
        <v>292.52253679467469</v>
      </c>
      <c r="CE32" s="59">
        <f t="shared" si="40"/>
        <v>155.7114133976541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7.3717948717948714</v>
      </c>
      <c r="CT32" s="12">
        <f>IF('Données projet'!$A$140&gt;35,CT31+CS32-DB31,IF(A32&lt;'Données projet'!$A$140,$CQ$205^A32,IF(A32='Données projet'!$A$140,'Données projet'!$B$140,CT31+CS32-DB31)))</f>
        <v>84.615384615384627</v>
      </c>
      <c r="CU32" s="17">
        <f>CT32*VLOOKUP('Données projet'!$B$13,Paramètres!$A$1:$I$89,3,0)*VLOOKUP('Données projet'!$B$13,Paramètres!$A$1:$I$89,5,0)</f>
        <v>66.000000000000014</v>
      </c>
      <c r="CV32" s="13">
        <f t="shared" si="41"/>
        <v>18.676740573099728</v>
      </c>
      <c r="CW32" s="20">
        <f t="shared" si="13"/>
        <v>147.47865649814872</v>
      </c>
      <c r="CX32" s="59">
        <f t="shared" si="14"/>
        <v>440.81198983148204</v>
      </c>
      <c r="CY32" s="59">
        <f ca="1">AVERAGE(OFFSET($CX$3,0,0,'Données projet'!$E$13+1,1))-AVERAGE(OFFSET($H$3,0,0,'Données projet'!$E$13+1,1))</f>
        <v>100.54865094989304</v>
      </c>
      <c r="CZ32" s="59">
        <f t="shared" si="42"/>
        <v>99.95654161405389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2.703556461485018</v>
      </c>
      <c r="DH32" s="21">
        <f>EXP(-LN(2)/2)*DH31+(1-EXP(-LN(2)/2))/(LN(2)/2)*DB32*DE32*VLOOKUP('Données projet'!$B$13,Paramètres!$A$1:$I$89,3,0)*0.475*44/12</f>
        <v>0.92917254968043927</v>
      </c>
      <c r="DI32" s="22">
        <f t="shared" si="15"/>
        <v>3.6327290111654573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4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26.207999999999995</v>
      </c>
      <c r="D33" s="11">
        <f t="shared" si="32"/>
        <v>8.258101972345095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266.05412048827787</v>
      </c>
      <c r="H33" s="67">
        <f t="shared" si="1"/>
        <v>353.361794268501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410.69</v>
      </c>
      <c r="L33" s="12">
        <f>VLOOKUP(A33,'Données projet'!$A$35:$I$55,9,0)</f>
        <v>28.821666666666669</v>
      </c>
      <c r="M33" s="12">
        <f t="array" ref="M33">INDEX(L:L,MIN(IF(ISNUMBER(L33:L229),ROW(L33:L229),"")))</f>
        <v>28.821666666666669</v>
      </c>
      <c r="N33" s="13">
        <f>IF('Données projet'!$A$36&gt;35,N32+M33-V32,IF(A33&lt;'Données projet'!$A$36,$K$205^A33,IF(A33='Données projet'!$A$36,'Données projet'!$B$36,N32+M33-V32)))</f>
        <v>410.68999999999994</v>
      </c>
      <c r="O33" s="13">
        <f>N33*VLOOKUP('Données projet'!$B$9,Paramètres!$A$1:$I$89,3,0)*VLOOKUP('Données projet'!$B$9,Paramètres!$A$1:$I$89,5,0)</f>
        <v>229.57570999999996</v>
      </c>
      <c r="P33" s="13">
        <f t="shared" si="33"/>
        <v>56.190930256761952</v>
      </c>
      <c r="Q33" s="20">
        <f t="shared" si="2"/>
        <v>497.71023178052695</v>
      </c>
      <c r="R33" s="59">
        <f t="shared" si="0"/>
        <v>791.04356511386027</v>
      </c>
      <c r="S33" s="59">
        <f ca="1">AVERAGE(OFFSET($R$3,0,0,'Données projet'!$E$9+1,1))-AVERAGE(OFFSET($H$3,0,0,'Données projet'!$E$9+1,1))</f>
        <v>324.69474275039357</v>
      </c>
      <c r="T33" s="59">
        <f t="shared" si="34"/>
        <v>437.68177084535927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80.990000000000009</v>
      </c>
      <c r="W33" s="16">
        <f>IF(ISNA(VLOOKUP(A33,'Données projet'!$A$35:$I$55,5,0)),0%,VLOOKUP(A33,'Données projet'!$A$35:$I$55,5,0)*VLOOKUP('Données projet'!$B$9,Paramètres!$A$1:$I$89,7,0))</f>
        <v>0.33</v>
      </c>
      <c r="X33" s="16">
        <f>IF(ISNA(VLOOKUP(A33,'Données projet'!$A$35:$I$55,6,0)),0%,VLOOKUP(A33,'Données projet'!$A$35:$I$55,6,0)*VLOOKUP('Données projet'!$B$9,Paramètres!$A$1:$I$89,7,0))</f>
        <v>0.11000000000000001</v>
      </c>
      <c r="Y33" s="16">
        <f>IF(ISNA(VLOOKUP(A33,'Données projet'!$A$35:$I$55,7,0)),0%,VLOOKUP(A33,'Données projet'!$A$35:$I$55,7,0))</f>
        <v>0.2</v>
      </c>
      <c r="Z33" s="21">
        <f>EXP(-LN(2)/35)*Z32+(1-EXP(-LN(2)/35))/(LN(2)/35)*V33*W33*VLOOKUP('Données projet'!$B$9,Paramètres!$A$1:$I$89,3,0)*0.475*44/12</f>
        <v>30.488905028680456</v>
      </c>
      <c r="AA33" s="21">
        <f>EXP(-LN(2)/25)*AA32+(1-EXP(-LN(2)/25))/(LN(2)/25)*Calculateur!V33*Calculateur!X33*VLOOKUP('Données projet'!$B$9,Paramètres!$A$1:$I$89,3,0)*0.475*44/12</f>
        <v>21.186736917728005</v>
      </c>
      <c r="AB33" s="21">
        <f>EXP(-LN(2)/2)*AB32+(1-EXP(-LN(2)/2))/(LN(2)/2)*V33*Y33*VLOOKUP('Données projet'!$B$9,Paramètres!$A$1:$I$89,3,0)*0.475*44/12</f>
        <v>12.07847972608868</v>
      </c>
      <c r="AC33" s="22">
        <f t="shared" si="3"/>
        <v>63.754121672497142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17.804285714285715</v>
      </c>
      <c r="AI33" s="13">
        <f>IF('Données projet'!$A$62&gt;35,AI32+AH33-AQ32,IF(A33&lt;'Données projet'!$A$62,$AF$205^A33,IF(A33='Données projet'!$A$62,'Données projet'!$B$62,AI32+AH33-AQ32)))</f>
        <v>205.74428571428572</v>
      </c>
      <c r="AJ33" s="13">
        <f>AI33*VLOOKUP('Données projet'!$B$10,Paramètres!$A$1:$I$89,3,0)*VLOOKUP('Données projet'!$B$10,Paramètres!$A$1:$I$89,5,0)</f>
        <v>123.03508285714287</v>
      </c>
      <c r="AK33" s="13">
        <f t="shared" si="35"/>
        <v>32.381850192327164</v>
      </c>
      <c r="AL33" s="20">
        <f t="shared" si="4"/>
        <v>270.68449172782698</v>
      </c>
      <c r="AM33" s="59">
        <f t="shared" si="5"/>
        <v>564.01782506116024</v>
      </c>
      <c r="AN33" s="59">
        <f ca="1">AVERAGE(OFFSET($AM$3,0,0,'Données projet'!$E$10+1,1))-AVERAGE(OFFSET($H$3,0,0,'Données projet'!$E$10+1,1))</f>
        <v>214.93913810439858</v>
      </c>
      <c r="AO33" s="59">
        <f t="shared" si="36"/>
        <v>210.65603079265924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16.07786597229746</v>
      </c>
      <c r="AV33" s="21">
        <f>EXP(-LN(2)/25)*AV32+(1-EXP(-LN(2)/25))/(LN(2)/25)*Calculateur!AQ33*Calculateur!AS33*VLOOKUP('Données projet'!$B$10,Paramètres!$A$1:$I$89,3,0)*0.475*44/12</f>
        <v>15.2324840178216</v>
      </c>
      <c r="AW33" s="21">
        <f>EXP(-LN(2)/2)*AW32+(1-EXP(-LN(2)/2))/(LN(2)/2)*AQ33*AT33*VLOOKUP('Données projet'!$B$10,Paramètres!$A$1:$I$89,3,0)*0.475*44/12</f>
        <v>6.7449715742126752</v>
      </c>
      <c r="AX33" s="21">
        <f t="shared" si="6"/>
        <v>38.055321564331734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5.0894117647058819</v>
      </c>
      <c r="BD33" s="12">
        <f>IF('Données projet'!$A$88&gt;35,BD32+BC33-BL32,IF(A33&lt;'Données projet'!$A$88,$BA$205^A33,IF(A33='Données projet'!$A$88,'Données projet'!$B$88,BD32+BC33-BL32)))</f>
        <v>94.370260251207753</v>
      </c>
      <c r="BE33" s="13">
        <f>BD33*VLOOKUP('Données projet'!$B$11,Paramètres!$A$1:$I$89,3,0)*VLOOKUP('Données projet'!$B$11,Paramètres!$A$1:$I$89,5,0)</f>
        <v>85.386211475292768</v>
      </c>
      <c r="BF33" s="13">
        <f t="shared" si="37"/>
        <v>23.449105255199921</v>
      </c>
      <c r="BG33" s="20">
        <f t="shared" si="7"/>
        <v>189.5548433056081</v>
      </c>
      <c r="BH33" s="59">
        <f t="shared" si="8"/>
        <v>482.88817663894145</v>
      </c>
      <c r="BI33" s="59">
        <f ca="1">AVERAGE(OFFSET($BH$3,0,0,'Données projet'!$E$11+1,1))-AVERAGE(OFFSET($H$3,0,0,'Données projet'!$E$11+1,1))</f>
        <v>507.69556381324213</v>
      </c>
      <c r="BJ33" s="59">
        <f t="shared" si="38"/>
        <v>129.52638237044044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3.3603333333333336</v>
      </c>
      <c r="BY33" s="12">
        <f>IF('Données projet'!$A$114&gt;35,BY32+BX33-CG32,IF(A33&lt;'Données projet'!$A$114,$BV$205^A33,IF(A33='Données projet'!$A$114,'Données projet'!$B$114,BY32+BX33-CG32)))</f>
        <v>100.81</v>
      </c>
      <c r="BZ33" s="13">
        <f>BY33*VLOOKUP('Données projet'!$B$12,Paramètres!$A$1:$I$89,3,0)*VLOOKUP('Données projet'!$B$12,Paramètres!$A$1:$I$89,5,0)</f>
        <v>97.503432000000004</v>
      </c>
      <c r="CA33" s="13">
        <f t="shared" si="39"/>
        <v>26.366352305926398</v>
      </c>
      <c r="CB33" s="20">
        <f t="shared" si="10"/>
        <v>215.73987433282181</v>
      </c>
      <c r="CC33" s="59">
        <f t="shared" si="11"/>
        <v>509.0732076661551</v>
      </c>
      <c r="CD33" s="59">
        <f ca="1">AVERAGE(OFFSET($CC$3,0,0,'Données projet'!$E$12+1,1))-AVERAGE(OFFSET($H$3,0,0,'Données projet'!$E$12+1,1))</f>
        <v>292.52253679467469</v>
      </c>
      <c r="CE33" s="59">
        <f t="shared" si="40"/>
        <v>155.7114133976541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7.3717948717948714</v>
      </c>
      <c r="CT33" s="12">
        <f>IF('Données projet'!$A$140&gt;35,CT32+CS33-DB32,IF(A33&lt;'Données projet'!$A$140,$CQ$205^A33,IF(A33='Données projet'!$A$140,'Données projet'!$B$140,CT32+CS33-DB32)))</f>
        <v>91.987179487179503</v>
      </c>
      <c r="CU33" s="17">
        <f>CT33*VLOOKUP('Données projet'!$B$13,Paramètres!$A$1:$I$89,3,0)*VLOOKUP('Données projet'!$B$13,Paramètres!$A$1:$I$89,5,0)</f>
        <v>71.750000000000014</v>
      </c>
      <c r="CV33" s="13">
        <f t="shared" si="41"/>
        <v>20.107417731610468</v>
      </c>
      <c r="CW33" s="20">
        <f t="shared" si="13"/>
        <v>159.98500254922158</v>
      </c>
      <c r="CX33" s="59">
        <f t="shared" si="14"/>
        <v>453.31833588255489</v>
      </c>
      <c r="CY33" s="59">
        <f ca="1">AVERAGE(OFFSET($CX$3,0,0,'Données projet'!$E$13+1,1))-AVERAGE(OFFSET($H$3,0,0,'Données projet'!$E$13+1,1))</f>
        <v>100.54865094989304</v>
      </c>
      <c r="CZ33" s="59">
        <f t="shared" si="42"/>
        <v>99.95654161405389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2.629627567871855</v>
      </c>
      <c r="DH33" s="21">
        <f>EXP(-LN(2)/2)*DH32+(1-EXP(-LN(2)/2))/(LN(2)/2)*DB33*DE33*VLOOKUP('Données projet'!$B$13,Paramètres!$A$1:$I$89,3,0)*0.475*44/12</f>
        <v>0.65702421077143291</v>
      </c>
      <c r="DI33" s="22">
        <f t="shared" si="15"/>
        <v>3.2866517786432881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4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27.081599999999995</v>
      </c>
      <c r="D34" s="11">
        <f t="shared" si="32"/>
        <v>8.5008644909657693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274.67165571973572</v>
      </c>
      <c r="H34" s="67">
        <f t="shared" si="1"/>
        <v>355.3061256550987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28.665000000000003</v>
      </c>
      <c r="N34" s="13">
        <f>IF('Données projet'!$A$36&gt;35,N33+M34-V33,IF(A34&lt;'Données projet'!$A$36,$K$205^A34,IF(A34='Données projet'!$A$36,'Données projet'!$B$36,N33+M34-V33)))</f>
        <v>358.36499999999995</v>
      </c>
      <c r="O34" s="13">
        <f>N34*VLOOKUP('Données projet'!$B$9,Paramètres!$A$1:$I$89,3,0)*VLOOKUP('Données projet'!$B$9,Paramètres!$A$1:$I$89,5,0)</f>
        <v>200.32603499999996</v>
      </c>
      <c r="P34" s="13">
        <f t="shared" si="33"/>
        <v>49.815813556278101</v>
      </c>
      <c r="Q34" s="20">
        <f t="shared" si="2"/>
        <v>435.66371956885092</v>
      </c>
      <c r="R34" s="59">
        <f t="shared" si="0"/>
        <v>728.99705290218424</v>
      </c>
      <c r="S34" s="59">
        <f ca="1">AVERAGE(OFFSET($R$3,0,0,'Données projet'!$E$9+1,1))-AVERAGE(OFFSET($H$3,0,0,'Données projet'!$E$9+1,1))</f>
        <v>324.69474275039357</v>
      </c>
      <c r="T34" s="59">
        <f t="shared" si="34"/>
        <v>437.68177084535927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29.891036197463858</v>
      </c>
      <c r="AA34" s="21">
        <f>EXP(-LN(2)/25)*AA33+(1-EXP(-LN(2)/25))/(LN(2)/25)*Calculateur!V34*Calculateur!X34*VLOOKUP('Données projet'!$B$9,Paramètres!$A$1:$I$89,3,0)*0.475*44/12</f>
        <v>20.60738448255066</v>
      </c>
      <c r="AB34" s="21">
        <f>EXP(-LN(2)/2)*AB33+(1-EXP(-LN(2)/2))/(LN(2)/2)*V34*Y34*VLOOKUP('Données projet'!$B$9,Paramètres!$A$1:$I$89,3,0)*0.475*44/12</f>
        <v>8.5407749207415389</v>
      </c>
      <c r="AC34" s="22">
        <f t="shared" si="3"/>
        <v>59.039195600756059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17.804285714285715</v>
      </c>
      <c r="AI34" s="13">
        <f>IF('Données projet'!$A$62&gt;35,AI33+AH34-AQ33,IF(A34&lt;'Données projet'!$A$62,$AF$205^A34,IF(A34='Données projet'!$A$62,'Données projet'!$B$62,AI33+AH34-AQ33)))</f>
        <v>223.54857142857145</v>
      </c>
      <c r="AJ34" s="13">
        <f>AI34*VLOOKUP('Données projet'!$B$10,Paramètres!$A$1:$I$89,3,0)*VLOOKUP('Données projet'!$B$10,Paramètres!$A$1:$I$89,5,0)</f>
        <v>133.68204571428575</v>
      </c>
      <c r="AK34" s="13">
        <f t="shared" si="35"/>
        <v>34.84578405456601</v>
      </c>
      <c r="AL34" s="20">
        <f t="shared" si="4"/>
        <v>293.51930351408345</v>
      </c>
      <c r="AM34" s="59">
        <f t="shared" si="5"/>
        <v>586.85263684741676</v>
      </c>
      <c r="AN34" s="59">
        <f ca="1">AVERAGE(OFFSET($AM$3,0,0,'Données projet'!$E$10+1,1))-AVERAGE(OFFSET($H$3,0,0,'Données projet'!$E$10+1,1))</f>
        <v>214.93913810439858</v>
      </c>
      <c r="AO34" s="59">
        <f t="shared" si="36"/>
        <v>210.65603079265924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15.762588827110635</v>
      </c>
      <c r="AV34" s="21">
        <f>EXP(-LN(2)/25)*AV33+(1-EXP(-LN(2)/25))/(LN(2)/25)*Calculateur!AQ34*Calculateur!AS34*VLOOKUP('Données projet'!$B$10,Paramètres!$A$1:$I$89,3,0)*0.475*44/12</f>
        <v>14.815950941312748</v>
      </c>
      <c r="AW34" s="21">
        <f>EXP(-LN(2)/2)*AW33+(1-EXP(-LN(2)/2))/(LN(2)/2)*AQ34*AT34*VLOOKUP('Données projet'!$B$10,Paramètres!$A$1:$I$89,3,0)*0.475*44/12</f>
        <v>4.7694151390362851</v>
      </c>
      <c r="AX34" s="21">
        <f t="shared" si="6"/>
        <v>35.347954907459666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5.0894117647058819</v>
      </c>
      <c r="BD34" s="12">
        <f>IF('Données projet'!$A$88&gt;35,BD33+BC34-BL33,IF(A34&lt;'Données projet'!$A$88,$BA$205^A34,IF(A34='Données projet'!$A$88,'Données projet'!$B$88,BD33+BC34-BL33)))</f>
        <v>109.81533510072718</v>
      </c>
      <c r="BE34" s="13">
        <f>BD34*VLOOKUP('Données projet'!$B$11,Paramètres!$A$1:$I$89,3,0)*VLOOKUP('Données projet'!$B$11,Paramètres!$A$1:$I$89,5,0)</f>
        <v>99.360915199137949</v>
      </c>
      <c r="BF34" s="13">
        <f t="shared" si="37"/>
        <v>26.809687642018758</v>
      </c>
      <c r="BG34" s="20">
        <f t="shared" si="7"/>
        <v>219.74713328168124</v>
      </c>
      <c r="BH34" s="59">
        <f t="shared" si="8"/>
        <v>513.08046661501453</v>
      </c>
      <c r="BI34" s="59">
        <f ca="1">AVERAGE(OFFSET($BH$3,0,0,'Données projet'!$E$11+1,1))-AVERAGE(OFFSET($H$3,0,0,'Données projet'!$E$11+1,1))</f>
        <v>507.69556381324213</v>
      </c>
      <c r="BJ34" s="59">
        <f t="shared" si="38"/>
        <v>129.52638237044044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3.3603333333333336</v>
      </c>
      <c r="BY34" s="12">
        <f>IF('Données projet'!$A$114&gt;35,BY33+BX34-CG33,IF(A34&lt;'Données projet'!$A$114,$BV$205^A34,IF(A34='Données projet'!$A$114,'Données projet'!$B$114,BY33+BX34-CG33)))</f>
        <v>104.17033333333333</v>
      </c>
      <c r="BZ34" s="13">
        <f>BY34*VLOOKUP('Données projet'!$B$12,Paramètres!$A$1:$I$89,3,0)*VLOOKUP('Données projet'!$B$12,Paramètres!$A$1:$I$89,5,0)</f>
        <v>100.7535464</v>
      </c>
      <c r="CA34" s="13">
        <f t="shared" si="39"/>
        <v>27.141441074999669</v>
      </c>
      <c r="CB34" s="20">
        <f t="shared" si="10"/>
        <v>222.7504365189578</v>
      </c>
      <c r="CC34" s="59">
        <f t="shared" si="11"/>
        <v>516.08376985229108</v>
      </c>
      <c r="CD34" s="59">
        <f ca="1">AVERAGE(OFFSET($CC$3,0,0,'Données projet'!$E$12+1,1))-AVERAGE(OFFSET($H$3,0,0,'Données projet'!$E$12+1,1))</f>
        <v>292.52253679467469</v>
      </c>
      <c r="CE34" s="59">
        <f t="shared" si="40"/>
        <v>155.7114133976541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>
        <f>VLOOKUP(A34,'Données projet'!$A$139:$I$159,2,0)</f>
        <v>99.358974358974351</v>
      </c>
      <c r="CR34" s="12">
        <f>VLOOKUP(A34,'Données projet'!$A$139:$I$159,9,0)</f>
        <v>7.3717948717948714</v>
      </c>
      <c r="CS34" s="12">
        <f t="array" ref="CS34">INDEX(CR:CR,MIN(IF(ISNUMBER(CR34:CR230),ROW(CR34:CR230),"")))</f>
        <v>7.3717948717948714</v>
      </c>
      <c r="CT34" s="12">
        <f>IF('Données projet'!$A$140&gt;35,CT33+CS34-DB33,IF(A34&lt;'Données projet'!$A$140,$CQ$205^A34,IF(A34='Données projet'!$A$140,'Données projet'!$B$140,CT33+CS34-DB33)))</f>
        <v>99.358974358974379</v>
      </c>
      <c r="CU34" s="17">
        <f>CT34*VLOOKUP('Données projet'!$B$13,Paramètres!$A$1:$I$89,3,0)*VLOOKUP('Données projet'!$B$13,Paramètres!$A$1:$I$89,5,0)</f>
        <v>77.500000000000014</v>
      </c>
      <c r="CV34" s="13">
        <f t="shared" si="41"/>
        <v>21.524796250766268</v>
      </c>
      <c r="CW34" s="20">
        <f t="shared" si="13"/>
        <v>172.46818680341792</v>
      </c>
      <c r="CX34" s="59">
        <f t="shared" si="14"/>
        <v>465.80152013675126</v>
      </c>
      <c r="CY34" s="59">
        <f ca="1">AVERAGE(OFFSET($CX$3,0,0,'Données projet'!$E$13+1,1))-AVERAGE(OFFSET($H$3,0,0,'Données projet'!$E$13+1,1))</f>
        <v>100.54865094989304</v>
      </c>
      <c r="CZ34" s="59">
        <f t="shared" si="42"/>
        <v>99.95654161405389</v>
      </c>
      <c r="DA34" s="15">
        <f>IF(ISNA(VLOOKUP(A34,'Données projet'!$A$139:$I$159,3,0)),0,VLOOKUP(A34,'Données projet'!$A$139:$I$159,3,0))</f>
        <v>4</v>
      </c>
      <c r="DB34" s="15">
        <f>IF(ISNA(VLOOKUP(A34,'Données projet'!$A$139:$I$159,4,0)),0,VLOOKUP(A34,'Données projet'!$A$139:$I$159,4,0))</f>
        <v>23.076923076923077</v>
      </c>
      <c r="DC34" s="16">
        <f>IF(ISNA(VLOOKUP(A34,'Données projet'!$A$139:$I$159,5,0)),0%,VLOOKUP(A34,'Données projet'!$A$139:$I$159,5,0)*VLOOKUP('Données projet'!$B$13,Paramètres!$A$1:$I$89,7,0))</f>
        <v>0.1075</v>
      </c>
      <c r="DD34" s="16">
        <f>IF(ISNA(VLOOKUP(A34,'Données projet'!$A$139:$I$159,6,0)),0%,VLOOKUP(A34,'Données projet'!$A$139:$I$159,6,0)*VLOOKUP('Données projet'!$B$13,Paramètres!$A$1:$I$89,7,0))</f>
        <v>0.1075</v>
      </c>
      <c r="DE34" s="16">
        <f>IF(ISNA(VLOOKUP(A34,'Données projet'!$A$139:$I$159,7,0)),0%,VLOOKUP(A34,'Données projet'!$A$139:$I$159,7,0))</f>
        <v>0.25</v>
      </c>
      <c r="DF34" s="21">
        <f>EXP(-LN(2)/35)*DF33+(1-EXP(-LN(2)/35))/(LN(2)/35)*DB34*DC34*VLOOKUP('Données projet'!$B$13,Paramètres!$A$1:$I$89,3,0)*0.475*44/12</f>
        <v>2.1390851843962584</v>
      </c>
      <c r="DG34" s="21">
        <f>EXP(-LN(2)/25)*DG33+(1-EXP(-LN(2)/25))/(LN(2)/25)*Calculateur!DB34*Calculateur!DD34*VLOOKUP('Données projet'!$B$13,Paramètres!$A$1:$I$89,3,0)*0.475*44/12</f>
        <v>4.6883830547122312</v>
      </c>
      <c r="DH34" s="21">
        <f>EXP(-LN(2)/2)*DH33+(1-EXP(-LN(2)/2))/(LN(2)/2)*DB34*DE34*VLOOKUP('Données projet'!$B$13,Paramètres!$A$1:$I$89,3,0)*0.475*44/12</f>
        <v>4.710457390564466</v>
      </c>
      <c r="DI34" s="22">
        <f t="shared" si="15"/>
        <v>11.537925629672955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4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27.955199999999994</v>
      </c>
      <c r="D35" s="11">
        <f t="shared" si="32"/>
        <v>8.7427170179419935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283.28216645428904</v>
      </c>
      <c r="H35" s="67">
        <f t="shared" si="1"/>
        <v>357.24887213958226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28.665000000000003</v>
      </c>
      <c r="N35" s="13">
        <f>IF('Données projet'!$A$36&gt;35,N34+M35-V34,IF(A35&lt;'Données projet'!$A$36,$K$205^A35,IF(A35='Données projet'!$A$36,'Données projet'!$B$36,N34+M35-V34)))</f>
        <v>387.03</v>
      </c>
      <c r="O35" s="13">
        <f>N35*VLOOKUP('Données projet'!$B$9,Paramètres!$A$1:$I$89,3,0)*VLOOKUP('Données projet'!$B$9,Paramètres!$A$1:$I$89,5,0)</f>
        <v>216.34977000000001</v>
      </c>
      <c r="P35" s="13">
        <f t="shared" si="33"/>
        <v>53.320755383985038</v>
      </c>
      <c r="Q35" s="20">
        <f t="shared" ref="Q35:Q66" si="53">(O35+P35)*0.475*44/12</f>
        <v>469.67616504377384</v>
      </c>
      <c r="R35" s="59">
        <f t="shared" si="0"/>
        <v>763.00949837710709</v>
      </c>
      <c r="S35" s="59">
        <f ca="1">AVERAGE(OFFSET($R$3,0,0,'Données projet'!$E$9+1,1))-AVERAGE(OFFSET($H$3,0,0,'Données projet'!$E$9+1,1))</f>
        <v>324.69474275039357</v>
      </c>
      <c r="T35" s="59">
        <f t="shared" si="34"/>
        <v>437.68177084535927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29.30489120936344</v>
      </c>
      <c r="AA35" s="21">
        <f>EXP(-LN(2)/25)*AA34+(1-EXP(-LN(2)/25))/(LN(2)/25)*Calculateur!V35*Calculateur!X35*VLOOKUP('Données projet'!$B$9,Paramètres!$A$1:$I$89,3,0)*0.475*44/12</f>
        <v>20.043874470180061</v>
      </c>
      <c r="AB35" s="21">
        <f>EXP(-LN(2)/2)*AB34+(1-EXP(-LN(2)/2))/(LN(2)/2)*V35*Y35*VLOOKUP('Données projet'!$B$9,Paramètres!$A$1:$I$89,3,0)*0.475*44/12</f>
        <v>6.0392398630443402</v>
      </c>
      <c r="AC35" s="22">
        <f t="shared" si="3"/>
        <v>55.388005542587848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17.804285714285715</v>
      </c>
      <c r="AI35" s="13">
        <f>IF('Données projet'!$A$62&gt;35,AI34+AH35-AQ34,IF(A35&lt;'Données projet'!$A$62,$AF$205^A35,IF(A35='Données projet'!$A$62,'Données projet'!$B$62,AI34+AH35-AQ34)))</f>
        <v>241.35285714285718</v>
      </c>
      <c r="AJ35" s="13">
        <f>AI35*VLOOKUP('Données projet'!$B$10,Paramètres!$A$1:$I$89,3,0)*VLOOKUP('Données projet'!$B$10,Paramètres!$A$1:$I$89,5,0)</f>
        <v>144.3290085714286</v>
      </c>
      <c r="AK35" s="13">
        <f t="shared" si="35"/>
        <v>37.286956054873187</v>
      </c>
      <c r="AL35" s="20">
        <f t="shared" si="4"/>
        <v>316.31447172414227</v>
      </c>
      <c r="AM35" s="59">
        <f t="shared" si="5"/>
        <v>609.64780505747558</v>
      </c>
      <c r="AN35" s="59">
        <f ca="1">AVERAGE(OFFSET($AM$3,0,0,'Données projet'!$E$10+1,1))-AVERAGE(OFFSET($H$3,0,0,'Données projet'!$E$10+1,1))</f>
        <v>214.93913810439858</v>
      </c>
      <c r="AO35" s="59">
        <f t="shared" si="36"/>
        <v>210.65603079265924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15.453494074440854</v>
      </c>
      <c r="AV35" s="21">
        <f>EXP(-LN(2)/25)*AV34+(1-EXP(-LN(2)/25))/(LN(2)/25)*Calculateur!AQ35*Calculateur!AS35*VLOOKUP('Données projet'!$B$10,Paramètres!$A$1:$I$89,3,0)*0.475*44/12</f>
        <v>14.410807983685553</v>
      </c>
      <c r="AW35" s="21">
        <f>EXP(-LN(2)/2)*AW34+(1-EXP(-LN(2)/2))/(LN(2)/2)*AQ35*AT35*VLOOKUP('Données projet'!$B$10,Paramètres!$A$1:$I$89,3,0)*0.475*44/12</f>
        <v>3.3724857871063376</v>
      </c>
      <c r="AX35" s="21">
        <f t="shared" si="6"/>
        <v>33.23678784523274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5.0894117647058819</v>
      </c>
      <c r="BD35" s="12">
        <f>IF('Données projet'!$A$88&gt;35,BD34+BC35-BL34,IF(A35&lt;'Données projet'!$A$88,$BA$205^A35,IF(A35='Données projet'!$A$88,'Données projet'!$B$88,BD34+BC35-BL34)))</f>
        <v>127.78822259452934</v>
      </c>
      <c r="BE35" s="13">
        <f>BD35*VLOOKUP('Données projet'!$B$11,Paramètres!$A$1:$I$89,3,0)*VLOOKUP('Données projet'!$B$11,Paramètres!$A$1:$I$89,5,0)</f>
        <v>115.62278380353014</v>
      </c>
      <c r="BF35" s="13">
        <f t="shared" si="37"/>
        <v>30.651888148407128</v>
      </c>
      <c r="BG35" s="20">
        <f t="shared" si="7"/>
        <v>254.76172031629076</v>
      </c>
      <c r="BH35" s="59">
        <f t="shared" si="8"/>
        <v>548.09505364962411</v>
      </c>
      <c r="BI35" s="59">
        <f ca="1">AVERAGE(OFFSET($BH$3,0,0,'Données projet'!$E$11+1,1))-AVERAGE(OFFSET($H$3,0,0,'Données projet'!$E$11+1,1))</f>
        <v>507.69556381324213</v>
      </c>
      <c r="BJ35" s="59">
        <f t="shared" si="38"/>
        <v>129.52638237044044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3.3603333333333336</v>
      </c>
      <c r="BY35" s="12">
        <f>IF('Données projet'!$A$114&gt;35,BY34+BX35-CG34,IF(A35&lt;'Données projet'!$A$114,$BV$205^A35,IF(A35='Données projet'!$A$114,'Données projet'!$B$114,BY34+BX35-CG34)))</f>
        <v>107.53066666666666</v>
      </c>
      <c r="BZ35" s="13">
        <f>BY35*VLOOKUP('Données projet'!$B$12,Paramètres!$A$1:$I$89,3,0)*VLOOKUP('Données projet'!$B$12,Paramètres!$A$1:$I$89,5,0)</f>
        <v>104.00366079999999</v>
      </c>
      <c r="CA35" s="13">
        <f t="shared" si="39"/>
        <v>27.913624435496846</v>
      </c>
      <c r="CB35" s="20">
        <f t="shared" si="10"/>
        <v>229.75593845182368</v>
      </c>
      <c r="CC35" s="59">
        <f t="shared" si="11"/>
        <v>523.08927178515705</v>
      </c>
      <c r="CD35" s="59">
        <f ca="1">AVERAGE(OFFSET($CC$3,0,0,'Données projet'!$E$12+1,1))-AVERAGE(OFFSET($H$3,0,0,'Données projet'!$E$12+1,1))</f>
        <v>292.52253679467469</v>
      </c>
      <c r="CE35" s="59">
        <f t="shared" si="40"/>
        <v>155.7114133976541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7.3717948717948731</v>
      </c>
      <c r="CT35" s="12">
        <f>IF('Données projet'!$A$140&gt;35,CT34+CS35-DB34,IF(A35&lt;'Données projet'!$A$140,$CQ$205^A35,IF(A35='Données projet'!$A$140,'Données projet'!$B$140,CT34+CS35-DB34)))</f>
        <v>83.653846153846175</v>
      </c>
      <c r="CU35" s="17">
        <f>CT35*VLOOKUP('Données projet'!$B$13,Paramètres!$A$1:$I$89,3,0)*VLOOKUP('Données projet'!$B$13,Paramètres!$A$1:$I$89,5,0)</f>
        <v>65.250000000000014</v>
      </c>
      <c r="CV35" s="13">
        <f t="shared" si="41"/>
        <v>18.489084564748591</v>
      </c>
      <c r="CW35" s="20">
        <f t="shared" si="13"/>
        <v>145.84557228360381</v>
      </c>
      <c r="CX35" s="59">
        <f t="shared" si="14"/>
        <v>439.17890561693713</v>
      </c>
      <c r="CY35" s="59">
        <f ca="1">AVERAGE(OFFSET($CX$3,0,0,'Données projet'!$E$13+1,1))-AVERAGE(OFFSET($H$3,0,0,'Données projet'!$E$13+1,1))</f>
        <v>100.54865094989304</v>
      </c>
      <c r="CZ35" s="59">
        <f t="shared" si="42"/>
        <v>99.95654161405389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2.0971390286433804</v>
      </c>
      <c r="DG35" s="21">
        <f>EXP(-LN(2)/25)*DG34+(1-EXP(-LN(2)/25))/(LN(2)/25)*Calculateur!DB35*Calculateur!DD35*VLOOKUP('Données projet'!$B$13,Paramètres!$A$1:$I$89,3,0)*0.475*44/12</f>
        <v>4.5601789735297755</v>
      </c>
      <c r="DH35" s="21">
        <f>EXP(-LN(2)/2)*DH34+(1-EXP(-LN(2)/2))/(LN(2)/2)*DB35*DE35*VLOOKUP('Données projet'!$B$13,Paramètres!$A$1:$I$89,3,0)*0.475*44/12</f>
        <v>3.3307963633584237</v>
      </c>
      <c r="DI35" s="22">
        <f t="shared" si="15"/>
        <v>9.9881143655315796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4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28.828799999999994</v>
      </c>
      <c r="D36" s="11">
        <f t="shared" si="32"/>
        <v>8.9836912534059454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291.88589739471257</v>
      </c>
      <c r="H36" s="67">
        <f t="shared" si="1"/>
        <v>359.19008893301532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28.665000000000003</v>
      </c>
      <c r="N36" s="13">
        <f>IF('Données projet'!$A$36&gt;35,N35+M36-V35,IF(A36&lt;'Données projet'!$A$36,$K$205^A36,IF(A36='Données projet'!$A$36,'Données projet'!$B$36,N35+M36-V35)))</f>
        <v>415.69499999999999</v>
      </c>
      <c r="O36" s="13">
        <f>N36*VLOOKUP('Données projet'!$B$9,Paramètres!$A$1:$I$89,3,0)*VLOOKUP('Données projet'!$B$9,Paramètres!$A$1:$I$89,5,0)</f>
        <v>232.37350500000002</v>
      </c>
      <c r="P36" s="13">
        <f t="shared" si="33"/>
        <v>56.795581749699934</v>
      </c>
      <c r="Q36" s="20">
        <f t="shared" si="53"/>
        <v>503.63615942239403</v>
      </c>
      <c r="R36" s="59">
        <f t="shared" si="0"/>
        <v>796.96949275572729</v>
      </c>
      <c r="S36" s="59">
        <f ca="1">AVERAGE(OFFSET($R$3,0,0,'Données projet'!$E$9+1,1))-AVERAGE(OFFSET($H$3,0,0,'Données projet'!$E$9+1,1))</f>
        <v>324.69474275039357</v>
      </c>
      <c r="T36" s="59">
        <f t="shared" si="34"/>
        <v>437.68177084535927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28.730240166966528</v>
      </c>
      <c r="AA36" s="21">
        <f>EXP(-LN(2)/25)*AA35+(1-EXP(-LN(2)/25))/(LN(2)/25)*Calculateur!V36*Calculateur!X36*VLOOKUP('Données projet'!$B$9,Paramètres!$A$1:$I$89,3,0)*0.475*44/12</f>
        <v>19.495773668731438</v>
      </c>
      <c r="AB36" s="21">
        <f>EXP(-LN(2)/2)*AB35+(1-EXP(-LN(2)/2))/(LN(2)/2)*V36*Y36*VLOOKUP('Données projet'!$B$9,Paramètres!$A$1:$I$89,3,0)*0.475*44/12</f>
        <v>4.2703874603707694</v>
      </c>
      <c r="AC36" s="22">
        <f t="shared" si="3"/>
        <v>52.49640129606874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17.804285714285715</v>
      </c>
      <c r="AI36" s="13">
        <f>IF('Données projet'!$A$62&gt;35,AI35+AH36-AQ35,IF(A36&lt;'Données projet'!$A$62,$AF$205^A36,IF(A36='Données projet'!$A$62,'Données projet'!$B$62,AI35+AH36-AQ35)))</f>
        <v>259.1571428571429</v>
      </c>
      <c r="AJ36" s="13">
        <f>AI36*VLOOKUP('Données projet'!$B$10,Paramètres!$A$1:$I$89,3,0)*VLOOKUP('Données projet'!$B$10,Paramètres!$A$1:$I$89,5,0)</f>
        <v>154.97597142857146</v>
      </c>
      <c r="AK36" s="13">
        <f t="shared" si="35"/>
        <v>39.70723624796571</v>
      </c>
      <c r="AL36" s="20">
        <f t="shared" si="4"/>
        <v>339.07325336996888</v>
      </c>
      <c r="AM36" s="59">
        <f t="shared" si="5"/>
        <v>632.4065867033022</v>
      </c>
      <c r="AN36" s="59">
        <f ca="1">AVERAGE(OFFSET($AM$3,0,0,'Données projet'!$E$10+1,1))-AVERAGE(OFFSET($H$3,0,0,'Données projet'!$E$10+1,1))</f>
        <v>214.93913810439858</v>
      </c>
      <c r="AO36" s="59">
        <f t="shared" si="36"/>
        <v>210.65603079265924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15.150460481341744</v>
      </c>
      <c r="AV36" s="21">
        <f>EXP(-LN(2)/25)*AV35+(1-EXP(-LN(2)/25))/(LN(2)/25)*Calculateur!AQ36*Calculateur!AS36*VLOOKUP('Données projet'!$B$10,Paramètres!$A$1:$I$89,3,0)*0.475*44/12</f>
        <v>14.016743681540216</v>
      </c>
      <c r="AW36" s="21">
        <f>EXP(-LN(2)/2)*AW35+(1-EXP(-LN(2)/2))/(LN(2)/2)*AQ36*AT36*VLOOKUP('Données projet'!$B$10,Paramètres!$A$1:$I$89,3,0)*0.475*44/12</f>
        <v>2.3847075695181426</v>
      </c>
      <c r="AX36" s="21">
        <f t="shared" si="6"/>
        <v>31.5519117324001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5.0894117647058819</v>
      </c>
      <c r="BD36" s="12">
        <f>IF('Données projet'!$A$88&gt;35,BD35+BC36-BL35,IF(A36&lt;'Données projet'!$A$88,$BA$205^A36,IF(A36='Données projet'!$A$88,'Données projet'!$B$88,BD35+BC36-BL35)))</f>
        <v>148.70263628381758</v>
      </c>
      <c r="BE36" s="13">
        <f>BD36*VLOOKUP('Données projet'!$B$11,Paramètres!$A$1:$I$89,3,0)*VLOOKUP('Données projet'!$B$11,Paramètres!$A$1:$I$89,5,0)</f>
        <v>134.54614530959816</v>
      </c>
      <c r="BF36" s="13">
        <f t="shared" si="37"/>
        <v>35.044729338432354</v>
      </c>
      <c r="BG36" s="20">
        <f t="shared" si="7"/>
        <v>295.37077334531978</v>
      </c>
      <c r="BH36" s="59">
        <f t="shared" si="8"/>
        <v>588.70410667865303</v>
      </c>
      <c r="BI36" s="59">
        <f ca="1">AVERAGE(OFFSET($BH$3,0,0,'Données projet'!$E$11+1,1))-AVERAGE(OFFSET($H$3,0,0,'Données projet'!$E$11+1,1))</f>
        <v>507.69556381324213</v>
      </c>
      <c r="BJ36" s="59">
        <f t="shared" si="38"/>
        <v>129.52638237044044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3.3603333333333336</v>
      </c>
      <c r="BY36" s="12">
        <f>IF('Données projet'!$A$114&gt;35,BY35+BX36-CG35,IF(A36&lt;'Données projet'!$A$114,$BV$205^A36,IF(A36='Données projet'!$A$114,'Données projet'!$B$114,BY35+BX36-CG35)))</f>
        <v>110.89099999999999</v>
      </c>
      <c r="BZ36" s="13">
        <f>BY36*VLOOKUP('Données projet'!$B$12,Paramètres!$A$1:$I$89,3,0)*VLOOKUP('Données projet'!$B$12,Paramètres!$A$1:$I$89,5,0)</f>
        <v>107.25377520000001</v>
      </c>
      <c r="CA36" s="13">
        <f t="shared" si="39"/>
        <v>28.683003599155882</v>
      </c>
      <c r="CB36" s="20">
        <f t="shared" si="10"/>
        <v>236.75655640852983</v>
      </c>
      <c r="CC36" s="59">
        <f t="shared" si="11"/>
        <v>530.08988974186309</v>
      </c>
      <c r="CD36" s="59">
        <f ca="1">AVERAGE(OFFSET($CC$3,0,0,'Données projet'!$E$12+1,1))-AVERAGE(OFFSET($H$3,0,0,'Données projet'!$E$12+1,1))</f>
        <v>292.52253679467469</v>
      </c>
      <c r="CE36" s="59">
        <f t="shared" si="40"/>
        <v>155.7114133976541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7.3717948717948731</v>
      </c>
      <c r="CT36" s="12">
        <f>IF('Données projet'!$A$140&gt;35,CT35+CS36-DB35,IF(A36&lt;'Données projet'!$A$140,$CQ$205^A36,IF(A36='Données projet'!$A$140,'Données projet'!$B$140,CT35+CS36-DB35)))</f>
        <v>91.02564102564105</v>
      </c>
      <c r="CU36" s="17">
        <f>CT36*VLOOKUP('Données projet'!$B$13,Paramètres!$A$1:$I$89,3,0)*VLOOKUP('Données projet'!$B$13,Paramètres!$A$1:$I$89,5,0)</f>
        <v>71.000000000000028</v>
      </c>
      <c r="CV36" s="13">
        <f t="shared" si="41"/>
        <v>19.921587432217475</v>
      </c>
      <c r="CW36" s="20">
        <f t="shared" si="13"/>
        <v>158.35509811111217</v>
      </c>
      <c r="CX36" s="59">
        <f t="shared" si="14"/>
        <v>451.68843144444548</v>
      </c>
      <c r="CY36" s="59">
        <f ca="1">AVERAGE(OFFSET($CX$3,0,0,'Données projet'!$E$13+1,1))-AVERAGE(OFFSET($H$3,0,0,'Données projet'!$E$13+1,1))</f>
        <v>100.54865094989304</v>
      </c>
      <c r="CZ36" s="59">
        <f t="shared" si="42"/>
        <v>99.95654161405389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2.0560154114201876</v>
      </c>
      <c r="DG36" s="21">
        <f>EXP(-LN(2)/25)*DG35+(1-EXP(-LN(2)/25))/(LN(2)/25)*Calculateur!DB36*Calculateur!DD36*VLOOKUP('Données projet'!$B$13,Paramètres!$A$1:$I$89,3,0)*0.475*44/12</f>
        <v>4.4354806396892137</v>
      </c>
      <c r="DH36" s="21">
        <f>EXP(-LN(2)/2)*DH35+(1-EXP(-LN(2)/2))/(LN(2)/2)*DB36*DE36*VLOOKUP('Données projet'!$B$13,Paramètres!$A$1:$I$89,3,0)*0.475*44/12</f>
        <v>2.3552286952822334</v>
      </c>
      <c r="DI36" s="22">
        <f t="shared" si="15"/>
        <v>8.8467247463916348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4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29.702399999999994</v>
      </c>
      <c r="D37" s="11">
        <f t="shared" si="32"/>
        <v>9.223816867094067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300.48307757055068</v>
      </c>
      <c r="H37" s="67">
        <f t="shared" si="1"/>
        <v>361.12982771018881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28.665000000000003</v>
      </c>
      <c r="N37" s="13">
        <f>IF('Données projet'!$A$36&gt;35,N36+M37-V36,IF(A37&lt;'Données projet'!$A$36,$K$205^A37,IF(A37='Données projet'!$A$36,'Données projet'!$B$36,N36+M37-V36)))</f>
        <v>444.36</v>
      </c>
      <c r="O37" s="13">
        <f>N37*VLOOKUP('Données projet'!$B$9,Paramètres!$A$1:$I$89,3,0)*VLOOKUP('Données projet'!$B$9,Paramètres!$A$1:$I$89,5,0)</f>
        <v>248.39724000000001</v>
      </c>
      <c r="P37" s="13">
        <f t="shared" si="33"/>
        <v>60.242605556132105</v>
      </c>
      <c r="Q37" s="20">
        <f t="shared" si="53"/>
        <v>537.54773101026342</v>
      </c>
      <c r="R37" s="59">
        <f t="shared" si="0"/>
        <v>830.88106434359679</v>
      </c>
      <c r="S37" s="59">
        <f ca="1">AVERAGE(OFFSET($R$3,0,0,'Données projet'!$E$9+1,1))-AVERAGE(OFFSET($H$3,0,0,'Données projet'!$E$9+1,1))</f>
        <v>324.69474275039357</v>
      </c>
      <c r="T37" s="59">
        <f t="shared" si="34"/>
        <v>437.68177084535927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28.166857681008494</v>
      </c>
      <c r="AA37" s="21">
        <f>EXP(-LN(2)/25)*AA36+(1-EXP(-LN(2)/25))/(LN(2)/25)*Calculateur!V37*Calculateur!X37*VLOOKUP('Données projet'!$B$9,Paramètres!$A$1:$I$89,3,0)*0.475*44/12</f>
        <v>18.962660712521799</v>
      </c>
      <c r="AB37" s="21">
        <f>EXP(-LN(2)/2)*AB36+(1-EXP(-LN(2)/2))/(LN(2)/2)*V37*Y37*VLOOKUP('Données projet'!$B$9,Paramètres!$A$1:$I$89,3,0)*0.475*44/12</f>
        <v>3.0196199315221701</v>
      </c>
      <c r="AC37" s="22">
        <f t="shared" si="3"/>
        <v>50.149138325052462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17.804285714285715</v>
      </c>
      <c r="AI37" s="13">
        <f>IF('Données projet'!$A$62&gt;35,AI36+AH37-AQ36,IF(A37&lt;'Données projet'!$A$62,$AF$205^A37,IF(A37='Données projet'!$A$62,'Données projet'!$B$62,AI36+AH37-AQ36)))</f>
        <v>276.9614285714286</v>
      </c>
      <c r="AJ37" s="13">
        <f>AI37*VLOOKUP('Données projet'!$B$10,Paramètres!$A$1:$I$89,3,0)*VLOOKUP('Données projet'!$B$10,Paramètres!$A$1:$I$89,5,0)</f>
        <v>165.62293428571431</v>
      </c>
      <c r="AK37" s="13">
        <f t="shared" si="35"/>
        <v>42.108223194605671</v>
      </c>
      <c r="AL37" s="20">
        <f t="shared" si="4"/>
        <v>361.7984326115573</v>
      </c>
      <c r="AM37" s="59">
        <f t="shared" si="5"/>
        <v>655.13176594489062</v>
      </c>
      <c r="AN37" s="59">
        <f ca="1">AVERAGE(OFFSET($AM$3,0,0,'Données projet'!$E$10+1,1))-AVERAGE(OFFSET($H$3,0,0,'Données projet'!$E$10+1,1))</f>
        <v>214.93913810439858</v>
      </c>
      <c r="AO37" s="59">
        <f t="shared" si="36"/>
        <v>210.65603079265924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14.853369192171066</v>
      </c>
      <c r="AV37" s="21">
        <f>EXP(-LN(2)/25)*AV36+(1-EXP(-LN(2)/25))/(LN(2)/25)*Calculateur!AQ37*Calculateur!AS37*VLOOKUP('Données projet'!$B$10,Paramètres!$A$1:$I$89,3,0)*0.475*44/12</f>
        <v>13.633455088459984</v>
      </c>
      <c r="AW37" s="21">
        <f>EXP(-LN(2)/2)*AW36+(1-EXP(-LN(2)/2))/(LN(2)/2)*AQ37*AT37*VLOOKUP('Données projet'!$B$10,Paramètres!$A$1:$I$89,3,0)*0.475*44/12</f>
        <v>1.6862428935531688</v>
      </c>
      <c r="AX37" s="21">
        <f t="shared" si="6"/>
        <v>30.173067174184215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>
        <f>VLOOKUP(A37,'Données projet'!$A$87:$I$107,2,0)</f>
        <v>173.04</v>
      </c>
      <c r="BB37" s="12">
        <f>VLOOKUP(A37,'Données projet'!$A$87:$I$107,9,0)</f>
        <v>5.0894117647058819</v>
      </c>
      <c r="BC37" s="12">
        <f t="array" ref="BC37">INDEX(BB:BB,MIN(IF(ISNUMBER(BB37:BB233),ROW(BB37:BB233),"")))</f>
        <v>5.0894117647058819</v>
      </c>
      <c r="BD37" s="12">
        <f>IF('Données projet'!$A$88&gt;35,BD36+BC37-BL36,IF(A37&lt;'Données projet'!$A$88,$BA$205^A37,IF(A37='Données projet'!$A$88,'Données projet'!$B$88,BD36+BC37-BL36)))</f>
        <v>173.04</v>
      </c>
      <c r="BE37" s="13">
        <f>BD37*VLOOKUP('Données projet'!$B$11,Paramètres!$A$1:$I$89,3,0)*VLOOKUP('Données projet'!$B$11,Paramètres!$A$1:$I$89,5,0)</f>
        <v>156.56659199999999</v>
      </c>
      <c r="BF37" s="13">
        <f t="shared" si="37"/>
        <v>40.067125668008877</v>
      </c>
      <c r="BG37" s="20">
        <f t="shared" si="7"/>
        <v>342.47039160511548</v>
      </c>
      <c r="BH37" s="59">
        <f t="shared" si="8"/>
        <v>635.8037249384488</v>
      </c>
      <c r="BI37" s="59">
        <f ca="1">AVERAGE(OFFSET($BH$3,0,0,'Données projet'!$E$11+1,1))-AVERAGE(OFFSET($H$3,0,0,'Données projet'!$E$11+1,1))</f>
        <v>507.69556381324213</v>
      </c>
      <c r="BJ37" s="59">
        <f t="shared" si="38"/>
        <v>129.52638237044044</v>
      </c>
      <c r="BK37" s="15">
        <f>IF(ISNA(VLOOKUP(A37,'Données projet'!$A$87:$I$107,3,0)),0,VLOOKUP(A37,'Données projet'!$A$87:$I$107,3,0))</f>
        <v>1</v>
      </c>
      <c r="BL37" s="15">
        <f>IF(ISNA(VLOOKUP(A37,'Données projet'!$A$87:$I$107,4,0)),0,VLOOKUP(A37,'Données projet'!$A$87:$I$107,4,0))</f>
        <v>36.679999999999978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0.34400000000000003</v>
      </c>
      <c r="BO37" s="16">
        <f>IF(ISNA(VLOOKUP(A37,'Données projet'!$A$87:$I$107,7,0)),0%,VLOOKUP(A37,'Données projet'!$A$87:$I$107,7,0))</f>
        <v>0.2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12.571124101178455</v>
      </c>
      <c r="BR37" s="21">
        <f>EXP(-LN(2)/2)*BR36+(1-EXP(-LN(2)/2))/(LN(2)/2)*BL37*BO37*VLOOKUP('Données projet'!$B$11,Paramètres!$A$1:$I$89,3,0)*0.475*44/12</f>
        <v>6.2627663255292276</v>
      </c>
      <c r="BS37" s="22">
        <f t="shared" si="9"/>
        <v>18.833890426707683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3.3603333333333336</v>
      </c>
      <c r="BY37" s="12">
        <f>IF('Données projet'!$A$114&gt;35,BY36+BX37-CG36,IF(A37&lt;'Données projet'!$A$114,$BV$205^A37,IF(A37='Données projet'!$A$114,'Données projet'!$B$114,BY36+BX37-CG36)))</f>
        <v>114.25133333333332</v>
      </c>
      <c r="BZ37" s="13">
        <f>BY37*VLOOKUP('Données projet'!$B$12,Paramètres!$A$1:$I$89,3,0)*VLOOKUP('Données projet'!$B$12,Paramètres!$A$1:$I$89,5,0)</f>
        <v>110.50388959999999</v>
      </c>
      <c r="CA37" s="13">
        <f t="shared" si="39"/>
        <v>29.449673295095682</v>
      </c>
      <c r="CB37" s="20">
        <f t="shared" si="10"/>
        <v>243.75245537562498</v>
      </c>
      <c r="CC37" s="59">
        <f t="shared" si="11"/>
        <v>537.08578870895826</v>
      </c>
      <c r="CD37" s="59">
        <f ca="1">AVERAGE(OFFSET($CC$3,0,0,'Données projet'!$E$12+1,1))-AVERAGE(OFFSET($H$3,0,0,'Données projet'!$E$12+1,1))</f>
        <v>292.52253679467469</v>
      </c>
      <c r="CE37" s="59">
        <f t="shared" si="40"/>
        <v>155.7114133976541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7.3717948717948731</v>
      </c>
      <c r="CT37" s="12">
        <f>IF('Données projet'!$A$140&gt;35,CT36+CS37-DB36,IF(A37&lt;'Données projet'!$A$140,$CQ$205^A37,IF(A37='Données projet'!$A$140,'Données projet'!$B$140,CT36+CS37-DB36)))</f>
        <v>98.397435897435926</v>
      </c>
      <c r="CU37" s="17">
        <f>CT37*VLOOKUP('Données projet'!$B$13,Paramètres!$A$1:$I$89,3,0)*VLOOKUP('Données projet'!$B$13,Paramètres!$A$1:$I$89,5,0)</f>
        <v>76.750000000000028</v>
      </c>
      <c r="CV37" s="13">
        <f t="shared" si="41"/>
        <v>21.340634370994778</v>
      </c>
      <c r="CW37" s="20">
        <f t="shared" si="13"/>
        <v>170.84118819614926</v>
      </c>
      <c r="CX37" s="59">
        <f t="shared" si="14"/>
        <v>464.1745215294826</v>
      </c>
      <c r="CY37" s="59">
        <f ca="1">AVERAGE(OFFSET($CX$3,0,0,'Données projet'!$E$13+1,1))-AVERAGE(OFFSET($H$3,0,0,'Données projet'!$E$13+1,1))</f>
        <v>100.54865094989304</v>
      </c>
      <c r="CZ37" s="59">
        <f t="shared" si="42"/>
        <v>99.95654161405389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2.0156982032478119</v>
      </c>
      <c r="DG37" s="21">
        <f>EXP(-LN(2)/25)*DG36+(1-EXP(-LN(2)/25))/(LN(2)/25)*Calculateur!DB37*Calculateur!DD37*VLOOKUP('Données projet'!$B$13,Paramètres!$A$1:$I$89,3,0)*0.475*44/12</f>
        <v>4.3141921883451229</v>
      </c>
      <c r="DH37" s="21">
        <f>EXP(-LN(2)/2)*DH36+(1-EXP(-LN(2)/2))/(LN(2)/2)*DB37*DE37*VLOOKUP('Données projet'!$B$13,Paramètres!$A$1:$I$89,3,0)*0.475*44/12</f>
        <v>1.6653981816792123</v>
      </c>
      <c r="DI37" s="22">
        <f t="shared" si="15"/>
        <v>7.9952885732721466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4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30.575999999999993</v>
      </c>
      <c r="D38" s="11">
        <f t="shared" si="32"/>
        <v>9.4631216842413828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309.0739217730914</v>
      </c>
      <c r="H38" s="67">
        <f t="shared" si="1"/>
        <v>363.06813693338705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28.665000000000003</v>
      </c>
      <c r="N38" s="13">
        <f>IF('Données projet'!$A$36&gt;35,N37+M38-V37,IF(A38&lt;'Données projet'!$A$36,$K$205^A38,IF(A38='Données projet'!$A$36,'Données projet'!$B$36,N37+M38-V37)))</f>
        <v>473.02500000000003</v>
      </c>
      <c r="O38" s="13">
        <f>N38*VLOOKUP('Données projet'!$B$9,Paramètres!$A$1:$I$89,3,0)*VLOOKUP('Données projet'!$B$9,Paramètres!$A$1:$I$89,5,0)</f>
        <v>264.42097500000006</v>
      </c>
      <c r="P38" s="13">
        <f t="shared" si="33"/>
        <v>63.663824429364396</v>
      </c>
      <c r="Q38" s="20">
        <f t="shared" si="53"/>
        <v>571.41435900614306</v>
      </c>
      <c r="R38" s="59">
        <f t="shared" si="0"/>
        <v>864.74769233947632</v>
      </c>
      <c r="S38" s="59">
        <f ca="1">AVERAGE(OFFSET($R$3,0,0,'Données projet'!$E$9+1,1))-AVERAGE(OFFSET($H$3,0,0,'Données projet'!$E$9+1,1))</f>
        <v>324.69474275039357</v>
      </c>
      <c r="T38" s="59">
        <f t="shared" si="34"/>
        <v>437.68177084535927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27.61452278197071</v>
      </c>
      <c r="AA38" s="21">
        <f>EXP(-LN(2)/25)*AA37+(1-EXP(-LN(2)/25))/(LN(2)/25)*Calculateur!V38*Calculateur!X38*VLOOKUP('Données projet'!$B$9,Paramètres!$A$1:$I$89,3,0)*0.475*44/12</f>
        <v>18.444125758134902</v>
      </c>
      <c r="AB38" s="21">
        <f>EXP(-LN(2)/2)*AB37+(1-EXP(-LN(2)/2))/(LN(2)/2)*V38*Y38*VLOOKUP('Données projet'!$B$9,Paramètres!$A$1:$I$89,3,0)*0.475*44/12</f>
        <v>2.1351937301853847</v>
      </c>
      <c r="AC38" s="22">
        <f t="shared" si="3"/>
        <v>48.193842270290993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17.804285714285715</v>
      </c>
      <c r="AI38" s="13">
        <f>IF('Données projet'!$A$62&gt;35,AI37+AH38-AQ37,IF(A38&lt;'Données projet'!$A$62,$AF$205^A38,IF(A38='Données projet'!$A$62,'Données projet'!$B$62,AI37+AH38-AQ37)))</f>
        <v>294.7657142857143</v>
      </c>
      <c r="AJ38" s="13">
        <f>AI38*VLOOKUP('Données projet'!$B$10,Paramètres!$A$1:$I$89,3,0)*VLOOKUP('Données projet'!$B$10,Paramètres!$A$1:$I$89,5,0)</f>
        <v>176.26989714285719</v>
      </c>
      <c r="AK38" s="13">
        <f t="shared" si="35"/>
        <v>44.491298310145091</v>
      </c>
      <c r="AL38" s="20">
        <f t="shared" si="4"/>
        <v>384.49241541397896</v>
      </c>
      <c r="AM38" s="59">
        <f t="shared" si="5"/>
        <v>677.82574874731222</v>
      </c>
      <c r="AN38" s="59">
        <f ca="1">AVERAGE(OFFSET($AM$3,0,0,'Données projet'!$E$10+1,1))-AVERAGE(OFFSET($H$3,0,0,'Données projet'!$E$10+1,1))</f>
        <v>214.93913810439858</v>
      </c>
      <c r="AO38" s="59">
        <f t="shared" si="36"/>
        <v>210.65603079265924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14.56210368197323</v>
      </c>
      <c r="AV38" s="21">
        <f>EXP(-LN(2)/25)*AV37+(1-EXP(-LN(2)/25))/(LN(2)/25)*Calculateur!AQ38*Calculateur!AS38*VLOOKUP('Données projet'!$B$10,Paramètres!$A$1:$I$89,3,0)*0.475*44/12</f>
        <v>13.260647542113801</v>
      </c>
      <c r="AW38" s="21">
        <f>EXP(-LN(2)/2)*AW37+(1-EXP(-LN(2)/2))/(LN(2)/2)*AQ38*AT38*VLOOKUP('Données projet'!$B$10,Paramètres!$A$1:$I$89,3,0)*0.475*44/12</f>
        <v>1.1923537847590713</v>
      </c>
      <c r="AX38" s="21">
        <f t="shared" si="6"/>
        <v>29.015105008846103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13.956249999999997</v>
      </c>
      <c r="BD38" s="12">
        <f>IF('Données projet'!$A$88&gt;35,BD37+BC38-BL37,IF(A38&lt;'Données projet'!$A$88,$BA$205^A38,IF(A38='Données projet'!$A$88,'Données projet'!$B$88,BD37+BC38-BL37)))</f>
        <v>150.31625</v>
      </c>
      <c r="BE38" s="13">
        <f>BD38*VLOOKUP('Données projet'!$B$11,Paramètres!$A$1:$I$89,3,0)*VLOOKUP('Données projet'!$B$11,Paramètres!$A$1:$I$89,5,0)</f>
        <v>136.00614299999998</v>
      </c>
      <c r="BF38" s="13">
        <f t="shared" si="37"/>
        <v>35.380533493230494</v>
      </c>
      <c r="BG38" s="20">
        <f t="shared" si="7"/>
        <v>298.49846155904305</v>
      </c>
      <c r="BH38" s="59">
        <f t="shared" si="8"/>
        <v>591.83179489237637</v>
      </c>
      <c r="BI38" s="59">
        <f ca="1">AVERAGE(OFFSET($BH$3,0,0,'Données projet'!$E$11+1,1))-AVERAGE(OFFSET($H$3,0,0,'Données projet'!$E$11+1,1))</f>
        <v>507.69556381324213</v>
      </c>
      <c r="BJ38" s="59">
        <f t="shared" si="38"/>
        <v>129.52638237044044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12.227366051545046</v>
      </c>
      <c r="BR38" s="21">
        <f>EXP(-LN(2)/2)*BR37+(1-EXP(-LN(2)/2))/(LN(2)/2)*BL38*BO38*VLOOKUP('Données projet'!$B$11,Paramètres!$A$1:$I$89,3,0)*0.475*44/12</f>
        <v>4.428444537768474</v>
      </c>
      <c r="BS38" s="22">
        <f t="shared" si="9"/>
        <v>16.655810589313518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3.3603333333333336</v>
      </c>
      <c r="BY38" s="12">
        <f>IF('Données projet'!$A$114&gt;35,BY37+BX38-CG37,IF(A38&lt;'Données projet'!$A$114,$BV$205^A38,IF(A38='Données projet'!$A$114,'Données projet'!$B$114,BY37+BX38-CG37)))</f>
        <v>117.61166666666665</v>
      </c>
      <c r="BZ38" s="13">
        <f>BY38*VLOOKUP('Données projet'!$B$12,Paramètres!$A$1:$I$89,3,0)*VLOOKUP('Données projet'!$B$12,Paramètres!$A$1:$I$89,5,0)</f>
        <v>113.75400399999999</v>
      </c>
      <c r="CA38" s="13">
        <f t="shared" si="39"/>
        <v>30.213722363336938</v>
      </c>
      <c r="CB38" s="20">
        <f t="shared" si="10"/>
        <v>250.74379008281184</v>
      </c>
      <c r="CC38" s="59">
        <f t="shared" si="11"/>
        <v>544.07712341614513</v>
      </c>
      <c r="CD38" s="59">
        <f ca="1">AVERAGE(OFFSET($CC$3,0,0,'Données projet'!$E$12+1,1))-AVERAGE(OFFSET($H$3,0,0,'Données projet'!$E$12+1,1))</f>
        <v>292.52253679467469</v>
      </c>
      <c r="CE38" s="59">
        <f t="shared" si="40"/>
        <v>155.7114133976541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7.3717948717948731</v>
      </c>
      <c r="CT38" s="12">
        <f>IF('Données projet'!$A$140&gt;35,CT37+CS38-DB37,IF(A38&lt;'Données projet'!$A$140,$CQ$205^A38,IF(A38='Données projet'!$A$140,'Données projet'!$B$140,CT37+CS38-DB37)))</f>
        <v>105.7692307692308</v>
      </c>
      <c r="CU38" s="17">
        <f>CT38*VLOOKUP('Données projet'!$B$13,Paramètres!$A$1:$I$89,3,0)*VLOOKUP('Données projet'!$B$13,Paramètres!$A$1:$I$89,5,0)</f>
        <v>82.500000000000028</v>
      </c>
      <c r="CV38" s="13">
        <f t="shared" si="41"/>
        <v>22.747348109696244</v>
      </c>
      <c r="CW38" s="20">
        <f t="shared" si="13"/>
        <v>183.30579795772098</v>
      </c>
      <c r="CX38" s="59">
        <f t="shared" si="14"/>
        <v>476.6391312910543</v>
      </c>
      <c r="CY38" s="59">
        <f ca="1">AVERAGE(OFFSET($CX$3,0,0,'Données projet'!$E$13+1,1))-AVERAGE(OFFSET($H$3,0,0,'Données projet'!$E$13+1,1))</f>
        <v>100.54865094989304</v>
      </c>
      <c r="CZ38" s="59">
        <f t="shared" si="42"/>
        <v>99.95654161405389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1.9761715909366278</v>
      </c>
      <c r="DG38" s="21">
        <f>EXP(-LN(2)/25)*DG37+(1-EXP(-LN(2)/25))/(LN(2)/25)*Calculateur!DB38*Calculateur!DD38*VLOOKUP('Données projet'!$B$13,Paramètres!$A$1:$I$89,3,0)*0.475*44/12</f>
        <v>4.1962203760813184</v>
      </c>
      <c r="DH38" s="21">
        <f>EXP(-LN(2)/2)*DH37+(1-EXP(-LN(2)/2))/(LN(2)/2)*DB38*DE38*VLOOKUP('Données projet'!$B$13,Paramètres!$A$1:$I$89,3,0)*0.475*44/12</f>
        <v>1.1776143476411169</v>
      </c>
      <c r="DI38" s="22">
        <f t="shared" si="15"/>
        <v>7.3500063146590628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4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31.449599999999993</v>
      </c>
      <c r="D39" s="11">
        <f t="shared" si="32"/>
        <v>9.7016318496336797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317.65863182173365</v>
      </c>
      <c r="H39" s="67">
        <f t="shared" si="1"/>
        <v>365.00506213811195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501.69</v>
      </c>
      <c r="L39" s="12">
        <f>VLOOKUP(A39,'Données projet'!$A$35:$I$55,9,0)</f>
        <v>28.665000000000003</v>
      </c>
      <c r="M39" s="12">
        <f t="array" ref="M39">INDEX(L:L,MIN(IF(ISNUMBER(L39:L235),ROW(L39:L235),"")))</f>
        <v>28.665000000000003</v>
      </c>
      <c r="N39" s="13">
        <f>IF('Données projet'!$A$36&gt;35,N38+M39-V38,IF(A39&lt;'Données projet'!$A$36,$K$205^A39,IF(A39='Données projet'!$A$36,'Données projet'!$B$36,N38+M39-V38)))</f>
        <v>501.69000000000005</v>
      </c>
      <c r="O39" s="13">
        <f>N39*VLOOKUP('Données projet'!$B$9,Paramètres!$A$1:$I$89,3,0)*VLOOKUP('Données projet'!$B$9,Paramètres!$A$1:$I$89,5,0)</f>
        <v>280.44471000000004</v>
      </c>
      <c r="P39" s="13">
        <f t="shared" si="33"/>
        <v>67.06098020598759</v>
      </c>
      <c r="Q39" s="20">
        <f t="shared" si="53"/>
        <v>605.23907710876176</v>
      </c>
      <c r="R39" s="59">
        <f t="shared" si="0"/>
        <v>898.57241044209513</v>
      </c>
      <c r="S39" s="59">
        <f ca="1">AVERAGE(OFFSET($R$3,0,0,'Données projet'!$E$9+1,1))-AVERAGE(OFFSET($H$3,0,0,'Données projet'!$E$9+1,1))</f>
        <v>324.69474275039357</v>
      </c>
      <c r="T39" s="59">
        <f t="shared" si="34"/>
        <v>437.68177084535927</v>
      </c>
      <c r="U39" s="15">
        <f>IF(ISNA(VLOOKUP(A39,'Données projet'!$A$35:$I$55,3,0)),0,VLOOKUP(A39,'Données projet'!$A$35:$I$55,3,0))</f>
        <v>4</v>
      </c>
      <c r="V39" s="15">
        <f>IF(ISNA(VLOOKUP(A39,'Données projet'!$A$35:$I$55,4,0)),0,VLOOKUP(A39,'Données projet'!$A$35:$I$55,4,0))</f>
        <v>85.910000000000025</v>
      </c>
      <c r="W39" s="16">
        <f>IF(ISNA(VLOOKUP(A39,'Données projet'!$A$35:$I$55,5,0)),0%,VLOOKUP(A39,'Données projet'!$A$35:$I$55,5,0)*VLOOKUP('Données projet'!$B$9,Paramètres!$A$1:$I$89,7,0))</f>
        <v>0.33</v>
      </c>
      <c r="X39" s="16">
        <f>IF(ISNA(VLOOKUP(A39,'Données projet'!$A$35:$I$55,6,0)),0%,VLOOKUP(A39,'Données projet'!$A$35:$I$55,6,0)*VLOOKUP('Données projet'!$B$9,Paramètres!$A$1:$I$89,7,0))</f>
        <v>0.11000000000000001</v>
      </c>
      <c r="Y39" s="16">
        <f>IF(ISNA(VLOOKUP(A39,'Données projet'!$A$35:$I$55,7,0)),0%,VLOOKUP(A39,'Données projet'!$A$35:$I$55,7,0))</f>
        <v>0.2</v>
      </c>
      <c r="Z39" s="21">
        <f>EXP(-LN(2)/35)*Z38+(1-EXP(-LN(2)/35))/(LN(2)/35)*V39*W39*VLOOKUP('Données projet'!$B$9,Paramètres!$A$1:$I$89,3,0)*0.475*44/12</f>
        <v>48.09617049051765</v>
      </c>
      <c r="AA39" s="21">
        <f>EXP(-LN(2)/25)*AA38+(1-EXP(-LN(2)/25))/(LN(2)/25)*Calculateur!V39*Calculateur!X39*VLOOKUP('Données projet'!$B$9,Paramètres!$A$1:$I$89,3,0)*0.475*44/12</f>
        <v>24.919895335538552</v>
      </c>
      <c r="AB39" s="21">
        <f>EXP(-LN(2)/2)*AB38+(1-EXP(-LN(2)/2))/(LN(2)/2)*V39*Y39*VLOOKUP('Données projet'!$B$9,Paramètres!$A$1:$I$89,3,0)*0.475*44/12</f>
        <v>12.38460453864084</v>
      </c>
      <c r="AC39" s="22">
        <f t="shared" si="3"/>
        <v>85.400670364697049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>
        <f>VLOOKUP(A39,'Données projet'!$A$61:$I$81,2,0)</f>
        <v>312.57</v>
      </c>
      <c r="AG39" s="12">
        <f>VLOOKUP(A39,'Données projet'!$A$61:$I$81,9,0)</f>
        <v>17.804285714285715</v>
      </c>
      <c r="AH39" s="12">
        <f t="array" ref="AH39">INDEX(AG:AG,MIN(IF(ISNUMBER(AG39:AG235),ROW(AG39:AG235),"")))</f>
        <v>17.804285714285715</v>
      </c>
      <c r="AI39" s="13">
        <f>IF('Données projet'!$A$62&gt;35,AI38+AH39-AQ38,IF(A39&lt;'Données projet'!$A$62,$AF$205^A39,IF(A39='Données projet'!$A$62,'Données projet'!$B$62,AI38+AH39-AQ38)))</f>
        <v>312.57</v>
      </c>
      <c r="AJ39" s="13">
        <f>AI39*VLOOKUP('Données projet'!$B$10,Paramètres!$A$1:$I$89,3,0)*VLOOKUP('Données projet'!$B$10,Paramètres!$A$1:$I$89,5,0)</f>
        <v>186.91685999999999</v>
      </c>
      <c r="AK39" s="13">
        <f t="shared" si="35"/>
        <v>46.857666701992478</v>
      </c>
      <c r="AL39" s="20">
        <f t="shared" si="4"/>
        <v>407.15730067263689</v>
      </c>
      <c r="AM39" s="59">
        <f t="shared" si="5"/>
        <v>700.49063400597015</v>
      </c>
      <c r="AN39" s="59">
        <f ca="1">AVERAGE(OFFSET($AM$3,0,0,'Données projet'!$E$10+1,1))-AVERAGE(OFFSET($H$3,0,0,'Données projet'!$E$10+1,1))</f>
        <v>214.93913810439858</v>
      </c>
      <c r="AO39" s="59">
        <f t="shared" si="36"/>
        <v>210.65603079265924</v>
      </c>
      <c r="AP39" s="15">
        <f>IF(ISNA(VLOOKUP(A39,'Données projet'!$A$61:$I$81,3,0)),0,VLOOKUP(A39,'Données projet'!$A$61:$I$81,3,0))</f>
        <v>4</v>
      </c>
      <c r="AQ39" s="15">
        <f>IF(ISNA(VLOOKUP(A39,'Données projet'!$A$61:$I$81,4,0)),0,VLOOKUP(A39,'Données projet'!$A$61:$I$81,4,0))</f>
        <v>76.509999999999991</v>
      </c>
      <c r="AR39" s="16">
        <f>IF(ISNA(VLOOKUP(A39,'Données projet'!$A$61:$I$81,5,0)),0%,VLOOKUP(A39,'Données projet'!$A$61:$I$81,5,0)*VLOOKUP('Données projet'!$B$10,Paramètres!$A$1:$I$89,7,0))</f>
        <v>0.27</v>
      </c>
      <c r="AS39" s="16">
        <f>IF(ISNA(VLOOKUP(A39,'Données projet'!$A$61:$I$81,6,0)),0%,VLOOKUP(A39,'Données projet'!$A$61:$I$81,6,0)*VLOOKUP('Données projet'!$B$10,Paramètres!$A$1:$I$89,7,0))</f>
        <v>9.0000000000000011E-2</v>
      </c>
      <c r="AT39" s="16">
        <f>IF(ISNA(VLOOKUP(A39,'Données projet'!$A$61:$I$81,7,0)),0%,VLOOKUP(A39,'Données projet'!$A$61:$I$81,7,0))</f>
        <v>0.2</v>
      </c>
      <c r="AU39" s="21">
        <f>EXP(-LN(2)/35)*AU38+(1-EXP(-LN(2)/35))/(LN(2)/35)*AQ39*AR39*VLOOKUP('Données projet'!$B$10,Paramètres!$A$1:$I$89,3,0)*0.475*44/12</f>
        <v>30.66400450035372</v>
      </c>
      <c r="AV39" s="21">
        <f>EXP(-LN(2)/25)*AV38+(1-EXP(-LN(2)/25))/(LN(2)/25)*Calculateur!AQ39*Calculateur!AS39*VLOOKUP('Données projet'!$B$10,Paramètres!$A$1:$I$89,3,0)*0.475*44/12</f>
        <v>18.339011483048019</v>
      </c>
      <c r="AW39" s="21">
        <f>EXP(-LN(2)/2)*AW38+(1-EXP(-LN(2)/2))/(LN(2)/2)*AQ39*AT39*VLOOKUP('Données projet'!$B$10,Paramètres!$A$1:$I$89,3,0)*0.475*44/12</f>
        <v>11.203721779593071</v>
      </c>
      <c r="AX39" s="21">
        <f t="shared" si="6"/>
        <v>60.206737762994806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13.956249999999997</v>
      </c>
      <c r="BD39" s="12">
        <f>IF('Données projet'!$A$88&gt;35,BD38+BC39-BL38,IF(A39&lt;'Données projet'!$A$88,$BA$205^A39,IF(A39='Données projet'!$A$88,'Données projet'!$B$88,BD38+BC39-BL38)))</f>
        <v>164.27249999999998</v>
      </c>
      <c r="BE39" s="13">
        <f>BD39*VLOOKUP('Données projet'!$B$11,Paramètres!$A$1:$I$89,3,0)*VLOOKUP('Données projet'!$B$11,Paramètres!$A$1:$I$89,5,0)</f>
        <v>148.63375799999997</v>
      </c>
      <c r="BF39" s="13">
        <f t="shared" si="37"/>
        <v>38.267937075369332</v>
      </c>
      <c r="BG39" s="20">
        <f t="shared" si="7"/>
        <v>325.52045225626819</v>
      </c>
      <c r="BH39" s="59">
        <f t="shared" si="8"/>
        <v>618.85378558960156</v>
      </c>
      <c r="BI39" s="59">
        <f ca="1">AVERAGE(OFFSET($BH$3,0,0,'Données projet'!$E$11+1,1))-AVERAGE(OFFSET($H$3,0,0,'Données projet'!$E$11+1,1))</f>
        <v>507.69556381324213</v>
      </c>
      <c r="BJ39" s="59">
        <f t="shared" si="38"/>
        <v>129.52638237044044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11.893008083856312</v>
      </c>
      <c r="BR39" s="21">
        <f>EXP(-LN(2)/2)*BR38+(1-EXP(-LN(2)/2))/(LN(2)/2)*BL39*BO39*VLOOKUP('Données projet'!$B$11,Paramètres!$A$1:$I$89,3,0)*0.475*44/12</f>
        <v>3.1313831627646143</v>
      </c>
      <c r="BS39" s="22">
        <f t="shared" si="9"/>
        <v>15.024391246620926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3.3603333333333336</v>
      </c>
      <c r="BY39" s="12">
        <f>IF('Données projet'!$A$114&gt;35,BY38+BX39-CG38,IF(A39&lt;'Données projet'!$A$114,$BV$205^A39,IF(A39='Données projet'!$A$114,'Données projet'!$B$114,BY38+BX39-CG38)))</f>
        <v>120.97199999999998</v>
      </c>
      <c r="BZ39" s="13">
        <f>BY39*VLOOKUP('Données projet'!$B$12,Paramètres!$A$1:$I$89,3,0)*VLOOKUP('Données projet'!$B$12,Paramètres!$A$1:$I$89,5,0)</f>
        <v>117.00411839999998</v>
      </c>
      <c r="CA39" s="13">
        <f t="shared" si="39"/>
        <v>30.975234278585425</v>
      </c>
      <c r="CB39" s="20">
        <f t="shared" si="10"/>
        <v>257.73070591520286</v>
      </c>
      <c r="CC39" s="59">
        <f t="shared" si="11"/>
        <v>551.06403924853612</v>
      </c>
      <c r="CD39" s="59">
        <f ca="1">AVERAGE(OFFSET($CC$3,0,0,'Données projet'!$E$12+1,1))-AVERAGE(OFFSET($H$3,0,0,'Données projet'!$E$12+1,1))</f>
        <v>292.52253679467469</v>
      </c>
      <c r="CE39" s="59">
        <f t="shared" si="40"/>
        <v>155.7114133976541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7.3717948717948731</v>
      </c>
      <c r="CT39" s="12">
        <f>IF('Données projet'!$A$140&gt;35,CT38+CS39-DB38,IF(A39&lt;'Données projet'!$A$140,$CQ$205^A39,IF(A39='Données projet'!$A$140,'Données projet'!$B$140,CT38+CS39-DB38)))</f>
        <v>113.14102564102568</v>
      </c>
      <c r="CU39" s="17">
        <f>CT39*VLOOKUP('Données projet'!$B$13,Paramètres!$A$1:$I$89,3,0)*VLOOKUP('Données projet'!$B$13,Paramètres!$A$1:$I$89,5,0)</f>
        <v>88.250000000000028</v>
      </c>
      <c r="CV39" s="13">
        <f t="shared" si="41"/>
        <v>24.142686012928117</v>
      </c>
      <c r="CW39" s="20">
        <f t="shared" si="13"/>
        <v>195.75059480584989</v>
      </c>
      <c r="CX39" s="59">
        <f t="shared" si="14"/>
        <v>489.08392813918317</v>
      </c>
      <c r="CY39" s="59">
        <f ca="1">AVERAGE(OFFSET($CX$3,0,0,'Données projet'!$E$13+1,1))-AVERAGE(OFFSET($H$3,0,0,'Données projet'!$E$13+1,1))</f>
        <v>100.54865094989304</v>
      </c>
      <c r="CZ39" s="59">
        <f t="shared" si="42"/>
        <v>99.95654161405389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1.9374200713840131</v>
      </c>
      <c r="DG39" s="21">
        <f>EXP(-LN(2)/25)*DG38+(1-EXP(-LN(2)/25))/(LN(2)/25)*Calculateur!DB39*Calculateur!DD39*VLOOKUP('Données projet'!$B$13,Paramètres!$A$1:$I$89,3,0)*0.475*44/12</f>
        <v>4.0814745092277356</v>
      </c>
      <c r="DH39" s="21">
        <f>EXP(-LN(2)/2)*DH38+(1-EXP(-LN(2)/2))/(LN(2)/2)*DB39*DE39*VLOOKUP('Données projet'!$B$13,Paramètres!$A$1:$I$89,3,0)*0.475*44/12</f>
        <v>0.83269909083960625</v>
      </c>
      <c r="DI39" s="22">
        <f t="shared" si="15"/>
        <v>6.8515936714513543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4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32.323199999999993</v>
      </c>
      <c r="D40" s="11">
        <f t="shared" si="32"/>
        <v>9.9393719729191492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326.23739768569163</v>
      </c>
      <c r="H40" s="67">
        <f t="shared" si="1"/>
        <v>366.9406461861675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28.09833333333334</v>
      </c>
      <c r="N40" s="13">
        <f>IF('Données projet'!$A$36&gt;35,N39+M40-V39,IF(A40&lt;'Données projet'!$A$36,$K$205^A40,IF(A40='Données projet'!$A$36,'Données projet'!$B$36,N39+M40-V39)))</f>
        <v>443.87833333333339</v>
      </c>
      <c r="O40" s="13">
        <f>N40*VLOOKUP('Données projet'!$B$9,Paramètres!$A$1:$I$89,3,0)*VLOOKUP('Données projet'!$B$9,Paramètres!$A$1:$I$89,5,0)</f>
        <v>248.12798833333338</v>
      </c>
      <c r="P40" s="13">
        <f t="shared" si="33"/>
        <v>60.184902542301558</v>
      </c>
      <c r="Q40" s="20">
        <f t="shared" si="53"/>
        <v>536.97828494173086</v>
      </c>
      <c r="R40" s="59">
        <f t="shared" si="0"/>
        <v>830.31161827506412</v>
      </c>
      <c r="S40" s="59">
        <f ca="1">AVERAGE(OFFSET($R$3,0,0,'Données projet'!$E$9+1,1))-AVERAGE(OFFSET($H$3,0,0,'Données projet'!$E$9+1,1))</f>
        <v>324.69474275039357</v>
      </c>
      <c r="T40" s="59">
        <f t="shared" si="34"/>
        <v>437.68177084535927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47.153033922965932</v>
      </c>
      <c r="AA40" s="21">
        <f>EXP(-LN(2)/25)*AA39+(1-EXP(-LN(2)/25))/(LN(2)/25)*Calculateur!V40*Calculateur!X40*VLOOKUP('Données projet'!$B$9,Paramètres!$A$1:$I$89,3,0)*0.475*44/12</f>
        <v>24.23845948710791</v>
      </c>
      <c r="AB40" s="21">
        <f>EXP(-LN(2)/2)*AB39+(1-EXP(-LN(2)/2))/(LN(2)/2)*V40*Y40*VLOOKUP('Données projet'!$B$9,Paramètres!$A$1:$I$89,3,0)*0.475*44/12</f>
        <v>8.7572378515866323</v>
      </c>
      <c r="AC40" s="22">
        <f t="shared" si="3"/>
        <v>80.148731261660487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16.583750000000002</v>
      </c>
      <c r="AI40" s="13">
        <f>IF('Données projet'!$A$62&gt;35,AI39+AH40-AQ39,IF(A40&lt;'Données projet'!$A$62,$AF$205^A40,IF(A40='Données projet'!$A$62,'Données projet'!$B$62,AI39+AH40-AQ39)))</f>
        <v>252.64375000000001</v>
      </c>
      <c r="AJ40" s="13">
        <f>AI40*VLOOKUP('Données projet'!$B$10,Paramètres!$A$1:$I$89,3,0)*VLOOKUP('Données projet'!$B$10,Paramètres!$A$1:$I$89,5,0)</f>
        <v>151.0809625</v>
      </c>
      <c r="AK40" s="13">
        <f t="shared" si="35"/>
        <v>38.824135473109777</v>
      </c>
      <c r="AL40" s="20">
        <f t="shared" si="4"/>
        <v>330.75137896983284</v>
      </c>
      <c r="AM40" s="59">
        <f t="shared" si="5"/>
        <v>624.08471230316616</v>
      </c>
      <c r="AN40" s="59">
        <f ca="1">AVERAGE(OFFSET($AM$3,0,0,'Données projet'!$E$10+1,1))-AVERAGE(OFFSET($H$3,0,0,'Données projet'!$E$10+1,1))</f>
        <v>214.93913810439858</v>
      </c>
      <c r="AO40" s="59">
        <f t="shared" si="36"/>
        <v>210.65603079265924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30.062702075297739</v>
      </c>
      <c r="AV40" s="21">
        <f>EXP(-LN(2)/25)*AV39+(1-EXP(-LN(2)/25))/(LN(2)/25)*Calculateur!AQ40*Calculateur!AS40*VLOOKUP('Données projet'!$B$10,Paramètres!$A$1:$I$89,3,0)*0.475*44/12</f>
        <v>17.837530249637371</v>
      </c>
      <c r="AW40" s="21">
        <f>EXP(-LN(2)/2)*AW39+(1-EXP(-LN(2)/2))/(LN(2)/2)*AQ40*AT40*VLOOKUP('Données projet'!$B$10,Paramètres!$A$1:$I$89,3,0)*0.475*44/12</f>
        <v>7.9222276448776752</v>
      </c>
      <c r="AX40" s="21">
        <f t="shared" si="6"/>
        <v>55.822459969812783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13.956249999999997</v>
      </c>
      <c r="BD40" s="12">
        <f>IF('Données projet'!$A$88&gt;35,BD39+BC40-BL39,IF(A40&lt;'Données projet'!$A$88,$BA$205^A40,IF(A40='Données projet'!$A$88,'Données projet'!$B$88,BD39+BC40-BL39)))</f>
        <v>178.22874999999999</v>
      </c>
      <c r="BE40" s="13">
        <f>BD40*VLOOKUP('Données projet'!$B$11,Paramètres!$A$1:$I$89,3,0)*VLOOKUP('Données projet'!$B$11,Paramètres!$A$1:$I$89,5,0)</f>
        <v>161.26137299999999</v>
      </c>
      <c r="BF40" s="13">
        <f t="shared" si="37"/>
        <v>41.126891450739848</v>
      </c>
      <c r="BG40" s="20">
        <f t="shared" si="7"/>
        <v>352.49289391837186</v>
      </c>
      <c r="BH40" s="59">
        <f t="shared" si="8"/>
        <v>645.82622725170518</v>
      </c>
      <c r="BI40" s="59">
        <f ca="1">AVERAGE(OFFSET($BH$3,0,0,'Données projet'!$E$11+1,1))-AVERAGE(OFFSET($H$3,0,0,'Données projet'!$E$11+1,1))</f>
        <v>507.69556381324213</v>
      </c>
      <c r="BJ40" s="59">
        <f t="shared" si="38"/>
        <v>129.52638237044044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11.567793152377147</v>
      </c>
      <c r="BR40" s="21">
        <f>EXP(-LN(2)/2)*BR39+(1-EXP(-LN(2)/2))/(LN(2)/2)*BL40*BO40*VLOOKUP('Données projet'!$B$11,Paramètres!$A$1:$I$89,3,0)*0.475*44/12</f>
        <v>2.2142222688842375</v>
      </c>
      <c r="BS40" s="22">
        <f t="shared" si="9"/>
        <v>13.782015421261384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3.3603333333333336</v>
      </c>
      <c r="BY40" s="12">
        <f>IF('Données projet'!$A$114&gt;35,BY39+BX40-CG39,IF(A40&lt;'Données projet'!$A$114,$BV$205^A40,IF(A40='Données projet'!$A$114,'Données projet'!$B$114,BY39+BX40-CG39)))</f>
        <v>124.33233333333331</v>
      </c>
      <c r="BZ40" s="13">
        <f>BY40*VLOOKUP('Données projet'!$B$12,Paramètres!$A$1:$I$89,3,0)*VLOOKUP('Données projet'!$B$12,Paramètres!$A$1:$I$89,5,0)</f>
        <v>120.25423279999997</v>
      </c>
      <c r="CA40" s="13">
        <f t="shared" si="39"/>
        <v>31.734287614181273</v>
      </c>
      <c r="CB40" s="20">
        <f t="shared" si="10"/>
        <v>264.71333972136563</v>
      </c>
      <c r="CC40" s="59">
        <f t="shared" si="11"/>
        <v>558.04667305469889</v>
      </c>
      <c r="CD40" s="59">
        <f ca="1">AVERAGE(OFFSET($CC$3,0,0,'Données projet'!$E$12+1,1))-AVERAGE(OFFSET($H$3,0,0,'Données projet'!$E$12+1,1))</f>
        <v>292.52253679467469</v>
      </c>
      <c r="CE40" s="59">
        <f t="shared" si="40"/>
        <v>155.7114133976541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>
        <f>VLOOKUP(A40,'Données projet'!$A$139:$I$159,2,0)</f>
        <v>120.51282051282051</v>
      </c>
      <c r="CR40" s="12">
        <f>VLOOKUP(A40,'Données projet'!$A$139:$I$159,9,0)</f>
        <v>7.3717948717948731</v>
      </c>
      <c r="CS40" s="12">
        <f t="array" ref="CS40">INDEX(CR:CR,MIN(IF(ISNUMBER(CR40:CR236),ROW(CR40:CR236),"")))</f>
        <v>7.3717948717948731</v>
      </c>
      <c r="CT40" s="12">
        <f>IF('Données projet'!$A$140&gt;35,CT39+CS40-DB39,IF(A40&lt;'Données projet'!$A$140,$CQ$205^A40,IF(A40='Données projet'!$A$140,'Données projet'!$B$140,CT39+CS40-DB39)))</f>
        <v>120.51282051282055</v>
      </c>
      <c r="CU40" s="17">
        <f>CT40*VLOOKUP('Données projet'!$B$13,Paramètres!$A$1:$I$89,3,0)*VLOOKUP('Données projet'!$B$13,Paramètres!$A$1:$I$89,5,0)</f>
        <v>94.000000000000028</v>
      </c>
      <c r="CV40" s="13">
        <f t="shared" si="41"/>
        <v>25.527473634349285</v>
      </c>
      <c r="CW40" s="20">
        <f t="shared" si="13"/>
        <v>208.17701657982505</v>
      </c>
      <c r="CX40" s="59">
        <f t="shared" si="14"/>
        <v>501.51034991315839</v>
      </c>
      <c r="CY40" s="59">
        <f ca="1">AVERAGE(OFFSET($CX$3,0,0,'Données projet'!$E$13+1,1))-AVERAGE(OFFSET($H$3,0,0,'Données projet'!$E$13+1,1))</f>
        <v>100.54865094989304</v>
      </c>
      <c r="CZ40" s="59">
        <f t="shared" si="42"/>
        <v>99.95654161405389</v>
      </c>
      <c r="DA40" s="15">
        <f>IF(ISNA(VLOOKUP(A40,'Données projet'!$A$139:$I$159,3,0)),0,VLOOKUP(A40,'Données projet'!$A$139:$I$159,3,0))</f>
        <v>5</v>
      </c>
      <c r="DB40" s="15">
        <f>IF(ISNA(VLOOKUP(A40,'Données projet'!$A$139:$I$159,4,0)),0,VLOOKUP(A40,'Données projet'!$A$139:$I$159,4,0))</f>
        <v>23.076923076923077</v>
      </c>
      <c r="DC40" s="16">
        <f>IF(ISNA(VLOOKUP(A40,'Données projet'!$A$139:$I$159,5,0)),0%,VLOOKUP(A40,'Données projet'!$A$139:$I$159,5,0)*VLOOKUP('Données projet'!$B$13,Paramètres!$A$1:$I$89,7,0))</f>
        <v>0.1075</v>
      </c>
      <c r="DD40" s="16">
        <f>IF(ISNA(VLOOKUP(A40,'Données projet'!$A$139:$I$159,6,0)),0%,VLOOKUP(A40,'Données projet'!$A$139:$I$159,6,0)*VLOOKUP('Données projet'!$B$13,Paramètres!$A$1:$I$89,7,0))</f>
        <v>0.1075</v>
      </c>
      <c r="DE40" s="16">
        <f>IF(ISNA(VLOOKUP(A40,'Données projet'!$A$139:$I$159,7,0)),0%,VLOOKUP(A40,'Données projet'!$A$139:$I$159,7,0))</f>
        <v>0.25</v>
      </c>
      <c r="DF40" s="21">
        <f>EXP(-LN(2)/35)*DF39+(1-EXP(-LN(2)/35))/(LN(2)/35)*DB40*DC40*VLOOKUP('Données projet'!$B$13,Paramètres!$A$1:$I$89,3,0)*0.475*44/12</f>
        <v>4.0385136298899909</v>
      </c>
      <c r="DG40" s="21">
        <f>EXP(-LN(2)/25)*DG39+(1-EXP(-LN(2)/25))/(LN(2)/25)*Calculateur!DB40*Calculateur!DD40*VLOOKUP('Données projet'!$B$13,Paramètres!$A$1:$I$89,3,0)*0.475*44/12</f>
        <v>6.1005291651074227</v>
      </c>
      <c r="DH40" s="21">
        <f>EXP(-LN(2)/2)*DH39+(1-EXP(-LN(2)/2))/(LN(2)/2)*DB40*DE40*VLOOKUP('Données projet'!$B$13,Paramètres!$A$1:$I$89,3,0)*0.475*44/12</f>
        <v>4.8346782895448053</v>
      </c>
      <c r="DI40" s="22">
        <f t="shared" si="15"/>
        <v>14.97372108454222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4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33.196799999999996</v>
      </c>
      <c r="D41" s="11">
        <f t="shared" si="32"/>
        <v>10.176365257768927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334.81039848102324</v>
      </c>
      <c r="H41" s="67">
        <f t="shared" si="1"/>
        <v>368.87492949061419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28.09833333333334</v>
      </c>
      <c r="N41" s="13">
        <f>IF('Données projet'!$A$36&gt;35,N40+M41-V40,IF(A41&lt;'Données projet'!$A$36,$K$205^A41,IF(A41='Données projet'!$A$36,'Données projet'!$B$36,N40+M41-V40)))</f>
        <v>471.97666666666674</v>
      </c>
      <c r="O41" s="13">
        <f>N41*VLOOKUP('Données projet'!$B$9,Paramètres!$A$1:$I$89,3,0)*VLOOKUP('Données projet'!$B$9,Paramètres!$A$1:$I$89,5,0)</f>
        <v>263.83495666666676</v>
      </c>
      <c r="P41" s="13">
        <f t="shared" si="33"/>
        <v>63.539137826670206</v>
      </c>
      <c r="Q41" s="20">
        <f t="shared" si="53"/>
        <v>570.17654790922836</v>
      </c>
      <c r="R41" s="59">
        <f t="shared" si="0"/>
        <v>863.50988124256173</v>
      </c>
      <c r="S41" s="59">
        <f ca="1">AVERAGE(OFFSET($R$3,0,0,'Données projet'!$E$9+1,1))-AVERAGE(OFFSET($H$3,0,0,'Données projet'!$E$9+1,1))</f>
        <v>324.69474275039357</v>
      </c>
      <c r="T41" s="59">
        <f t="shared" si="34"/>
        <v>437.68177084535927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46.228391688247399</v>
      </c>
      <c r="AA41" s="21">
        <f>EXP(-LN(2)/25)*AA40+(1-EXP(-LN(2)/25))/(LN(2)/25)*Calculateur!V41*Calculateur!X41*VLOOKUP('Données projet'!$B$9,Paramètres!$A$1:$I$89,3,0)*0.475*44/12</f>
        <v>23.575657537787759</v>
      </c>
      <c r="AB41" s="21">
        <f>EXP(-LN(2)/2)*AB40+(1-EXP(-LN(2)/2))/(LN(2)/2)*V41*Y41*VLOOKUP('Données projet'!$B$9,Paramètres!$A$1:$I$89,3,0)*0.475*44/12</f>
        <v>6.1923022693204208</v>
      </c>
      <c r="AC41" s="22">
        <f t="shared" si="3"/>
        <v>75.996351495355583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16.583750000000002</v>
      </c>
      <c r="AI41" s="13">
        <f>IF('Données projet'!$A$62&gt;35,AI40+AH41-AQ40,IF(A41&lt;'Données projet'!$A$62,$AF$205^A41,IF(A41='Données projet'!$A$62,'Données projet'!$B$62,AI40+AH41-AQ40)))</f>
        <v>269.22750000000002</v>
      </c>
      <c r="AJ41" s="13">
        <f>AI41*VLOOKUP('Données projet'!$B$10,Paramètres!$A$1:$I$89,3,0)*VLOOKUP('Données projet'!$B$10,Paramètres!$A$1:$I$89,5,0)</f>
        <v>160.99804500000002</v>
      </c>
      <c r="AK41" s="13">
        <f t="shared" si="35"/>
        <v>41.067545707058052</v>
      </c>
      <c r="AL41" s="20">
        <f t="shared" si="4"/>
        <v>351.93090381479277</v>
      </c>
      <c r="AM41" s="59">
        <f t="shared" si="5"/>
        <v>645.26423714812609</v>
      </c>
      <c r="AN41" s="59">
        <f ca="1">AVERAGE(OFFSET($AM$3,0,0,'Données projet'!$E$10+1,1))-AVERAGE(OFFSET($H$3,0,0,'Données projet'!$E$10+1,1))</f>
        <v>214.93913810439858</v>
      </c>
      <c r="AO41" s="59">
        <f t="shared" si="36"/>
        <v>210.65603079265924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29.473190824038845</v>
      </c>
      <c r="AV41" s="21">
        <f>EXP(-LN(2)/25)*AV40+(1-EXP(-LN(2)/25))/(LN(2)/25)*Calculateur!AQ41*Calculateur!AS41*VLOOKUP('Données projet'!$B$10,Paramètres!$A$1:$I$89,3,0)*0.475*44/12</f>
        <v>17.349762046926088</v>
      </c>
      <c r="AW41" s="21">
        <f>EXP(-LN(2)/2)*AW40+(1-EXP(-LN(2)/2))/(LN(2)/2)*AQ41*AT41*VLOOKUP('Données projet'!$B$10,Paramètres!$A$1:$I$89,3,0)*0.475*44/12</f>
        <v>5.6018608897965363</v>
      </c>
      <c r="AX41" s="21">
        <f t="shared" si="6"/>
        <v>52.424813760761467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13.956249999999997</v>
      </c>
      <c r="BD41" s="12">
        <f>IF('Données projet'!$A$88&gt;35,BD40+BC41-BL40,IF(A41&lt;'Données projet'!$A$88,$BA$205^A41,IF(A41='Données projet'!$A$88,'Données projet'!$B$88,BD40+BC41-BL40)))</f>
        <v>192.185</v>
      </c>
      <c r="BE41" s="13">
        <f>BD41*VLOOKUP('Données projet'!$B$11,Paramètres!$A$1:$I$89,3,0)*VLOOKUP('Données projet'!$B$11,Paramètres!$A$1:$I$89,5,0)</f>
        <v>173.88898799999998</v>
      </c>
      <c r="BF41" s="13">
        <f t="shared" si="37"/>
        <v>43.959877621771504</v>
      </c>
      <c r="BG41" s="20">
        <f t="shared" si="7"/>
        <v>379.42010762458534</v>
      </c>
      <c r="BH41" s="59">
        <f t="shared" si="8"/>
        <v>672.75344095791866</v>
      </c>
      <c r="BI41" s="59">
        <f ca="1">AVERAGE(OFFSET($BH$3,0,0,'Données projet'!$E$11+1,1))-AVERAGE(OFFSET($H$3,0,0,'Données projet'!$E$11+1,1))</f>
        <v>507.69556381324213</v>
      </c>
      <c r="BJ41" s="59">
        <f t="shared" si="38"/>
        <v>129.52638237044044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11.251471240301591</v>
      </c>
      <c r="BR41" s="21">
        <f>EXP(-LN(2)/2)*BR40+(1-EXP(-LN(2)/2))/(LN(2)/2)*BL41*BO41*VLOOKUP('Données projet'!$B$11,Paramètres!$A$1:$I$89,3,0)*0.475*44/12</f>
        <v>1.5656915813823074</v>
      </c>
      <c r="BS41" s="22">
        <f t="shared" si="9"/>
        <v>12.817162821683898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3.3603333333333336</v>
      </c>
      <c r="BY41" s="12">
        <f>IF('Données projet'!$A$114&gt;35,BY40+BX41-CG40,IF(A41&lt;'Données projet'!$A$114,$BV$205^A41,IF(A41='Données projet'!$A$114,'Données projet'!$B$114,BY40+BX41-CG40)))</f>
        <v>127.69266666666664</v>
      </c>
      <c r="BZ41" s="13">
        <f>BY41*VLOOKUP('Données projet'!$B$12,Paramètres!$A$1:$I$89,3,0)*VLOOKUP('Données projet'!$B$12,Paramètres!$A$1:$I$89,5,0)</f>
        <v>123.50434719999998</v>
      </c>
      <c r="CA41" s="13">
        <f t="shared" si="39"/>
        <v>32.490956454480575</v>
      </c>
      <c r="CB41" s="20">
        <f t="shared" si="10"/>
        <v>271.69182053155362</v>
      </c>
      <c r="CC41" s="59">
        <f t="shared" si="11"/>
        <v>565.02515386488699</v>
      </c>
      <c r="CD41" s="59">
        <f ca="1">AVERAGE(OFFSET($CC$3,0,0,'Données projet'!$E$12+1,1))-AVERAGE(OFFSET($H$3,0,0,'Données projet'!$E$12+1,1))</f>
        <v>292.52253679467469</v>
      </c>
      <c r="CE41" s="59">
        <f t="shared" si="40"/>
        <v>155.7114133976541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7.1428571428571432</v>
      </c>
      <c r="CT41" s="12">
        <f>IF('Données projet'!$A$140&gt;35,CT40+CS41-DB40,IF(A41&lt;'Données projet'!$A$140,$CQ$205^A41,IF(A41='Données projet'!$A$140,'Données projet'!$B$140,CT40+CS41-DB40)))</f>
        <v>104.57875457875461</v>
      </c>
      <c r="CU41" s="17">
        <f>CT41*VLOOKUP('Données projet'!$B$13,Paramètres!$A$1:$I$89,3,0)*VLOOKUP('Données projet'!$B$13,Paramètres!$A$1:$I$89,5,0)</f>
        <v>81.571428571428598</v>
      </c>
      <c r="CV41" s="13">
        <f t="shared" si="41"/>
        <v>22.520970512999273</v>
      </c>
      <c r="CW41" s="20">
        <f t="shared" si="13"/>
        <v>181.29426173871184</v>
      </c>
      <c r="CX41" s="59">
        <f t="shared" si="14"/>
        <v>474.62759507204515</v>
      </c>
      <c r="CY41" s="59">
        <f ca="1">AVERAGE(OFFSET($CX$3,0,0,'Données projet'!$E$13+1,1))-AVERAGE(OFFSET($H$3,0,0,'Données projet'!$E$13+1,1))</f>
        <v>100.54865094989304</v>
      </c>
      <c r="CZ41" s="59">
        <f t="shared" si="42"/>
        <v>99.95654161405389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3.9593208408579366</v>
      </c>
      <c r="DG41" s="21">
        <f>EXP(-LN(2)/25)*DG40+(1-EXP(-LN(2)/25))/(LN(2)/25)*Calculateur!DB41*Calculateur!DD41*VLOOKUP('Données projet'!$B$13,Paramètres!$A$1:$I$89,3,0)*0.475*44/12</f>
        <v>5.9337098742746743</v>
      </c>
      <c r="DH41" s="21">
        <f>EXP(-LN(2)/2)*DH40+(1-EXP(-LN(2)/2))/(LN(2)/2)*DB41*DE41*VLOOKUP('Données projet'!$B$13,Paramètres!$A$1:$I$89,3,0)*0.475*44/12</f>
        <v>3.4186338033925106</v>
      </c>
      <c r="DI41" s="22">
        <f t="shared" si="15"/>
        <v>13.31166451852512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4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34.070399999999999</v>
      </c>
      <c r="D42" s="11">
        <f t="shared" si="32"/>
        <v>10.412633617059315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343.37780335975611</v>
      </c>
      <c r="H42" s="67">
        <f t="shared" si="1"/>
        <v>370.80795021637829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28.09833333333334</v>
      </c>
      <c r="N42" s="13">
        <f>IF('Données projet'!$A$36&gt;35,N41+M42-V41,IF(A42&lt;'Données projet'!$A$36,$K$205^A42,IF(A42='Données projet'!$A$36,'Données projet'!$B$36,N41+M42-V41)))</f>
        <v>500.0750000000001</v>
      </c>
      <c r="O42" s="13">
        <f>N42*VLOOKUP('Données projet'!$B$9,Paramètres!$A$1:$I$89,3,0)*VLOOKUP('Données projet'!$B$9,Paramètres!$A$1:$I$89,5,0)</f>
        <v>279.54192500000005</v>
      </c>
      <c r="P42" s="13">
        <f t="shared" si="33"/>
        <v>66.87019524274281</v>
      </c>
      <c r="Q42" s="20">
        <f t="shared" si="53"/>
        <v>603.33444275611043</v>
      </c>
      <c r="R42" s="59">
        <f t="shared" si="0"/>
        <v>896.66777608944381</v>
      </c>
      <c r="S42" s="59">
        <f ca="1">AVERAGE(OFFSET($R$3,0,0,'Données projet'!$E$9+1,1))-AVERAGE(OFFSET($H$3,0,0,'Données projet'!$E$9+1,1))</f>
        <v>324.69474275039357</v>
      </c>
      <c r="T42" s="59">
        <f t="shared" si="34"/>
        <v>437.68177084535927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45.321881123775619</v>
      </c>
      <c r="AA42" s="21">
        <f>EXP(-LN(2)/25)*AA41+(1-EXP(-LN(2)/25))/(LN(2)/25)*Calculateur!V42*Calculateur!X42*VLOOKUP('Données projet'!$B$9,Paramètres!$A$1:$I$89,3,0)*0.475*44/12</f>
        <v>22.930979942627005</v>
      </c>
      <c r="AB42" s="21">
        <f>EXP(-LN(2)/2)*AB41+(1-EXP(-LN(2)/2))/(LN(2)/2)*V42*Y42*VLOOKUP('Données projet'!$B$9,Paramètres!$A$1:$I$89,3,0)*0.475*44/12</f>
        <v>4.378618925793317</v>
      </c>
      <c r="AC42" s="22">
        <f t="shared" si="3"/>
        <v>72.631479992195949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16.583750000000002</v>
      </c>
      <c r="AI42" s="13">
        <f>IF('Données projet'!$A$62&gt;35,AI41+AH42-AQ41,IF(A42&lt;'Données projet'!$A$62,$AF$205^A42,IF(A42='Données projet'!$A$62,'Données projet'!$B$62,AI41+AH42-AQ41)))</f>
        <v>285.81125000000003</v>
      </c>
      <c r="AJ42" s="13">
        <f>AI42*VLOOKUP('Données projet'!$B$10,Paramètres!$A$1:$I$89,3,0)*VLOOKUP('Données projet'!$B$10,Paramètres!$A$1:$I$89,5,0)</f>
        <v>170.91512750000004</v>
      </c>
      <c r="AK42" s="13">
        <f t="shared" si="35"/>
        <v>43.294917618591782</v>
      </c>
      <c r="AL42" s="20">
        <f t="shared" si="4"/>
        <v>373.08249524821412</v>
      </c>
      <c r="AM42" s="59">
        <f t="shared" si="5"/>
        <v>666.41582858154743</v>
      </c>
      <c r="AN42" s="59">
        <f ca="1">AVERAGE(OFFSET($AM$3,0,0,'Données projet'!$E$10+1,1))-AVERAGE(OFFSET($H$3,0,0,'Données projet'!$E$10+1,1))</f>
        <v>214.93913810439858</v>
      </c>
      <c r="AO42" s="59">
        <f t="shared" si="36"/>
        <v>210.65603079265924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28.895239528850777</v>
      </c>
      <c r="AV42" s="21">
        <f>EXP(-LN(2)/25)*AV41+(1-EXP(-LN(2)/25))/(LN(2)/25)*Calculateur!AQ42*Calculateur!AS42*VLOOKUP('Données projet'!$B$10,Paramètres!$A$1:$I$89,3,0)*0.475*44/12</f>
        <v>16.87533189136856</v>
      </c>
      <c r="AW42" s="21">
        <f>EXP(-LN(2)/2)*AW41+(1-EXP(-LN(2)/2))/(LN(2)/2)*AQ42*AT42*VLOOKUP('Données projet'!$B$10,Paramètres!$A$1:$I$89,3,0)*0.475*44/12</f>
        <v>3.961113822438838</v>
      </c>
      <c r="AX42" s="21">
        <f t="shared" si="6"/>
        <v>49.73168524265818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13.956249999999997</v>
      </c>
      <c r="BD42" s="12">
        <f>IF('Données projet'!$A$88&gt;35,BD41+BC42-BL41,IF(A42&lt;'Données projet'!$A$88,$BA$205^A42,IF(A42='Données projet'!$A$88,'Données projet'!$B$88,BD41+BC42-BL41)))</f>
        <v>206.14125000000001</v>
      </c>
      <c r="BE42" s="13">
        <f>BD42*VLOOKUP('Données projet'!$B$11,Paramètres!$A$1:$I$89,3,0)*VLOOKUP('Données projet'!$B$11,Paramètres!$A$1:$I$89,5,0)</f>
        <v>186.516603</v>
      </c>
      <c r="BF42" s="13">
        <f t="shared" si="37"/>
        <v>46.768995827807657</v>
      </c>
      <c r="BG42" s="20">
        <f t="shared" si="7"/>
        <v>406.30575129176503</v>
      </c>
      <c r="BH42" s="59">
        <f t="shared" si="8"/>
        <v>699.63908462509835</v>
      </c>
      <c r="BI42" s="59">
        <f ca="1">AVERAGE(OFFSET($BH$3,0,0,'Données projet'!$E$11+1,1))-AVERAGE(OFFSET($H$3,0,0,'Données projet'!$E$11+1,1))</f>
        <v>507.69556381324213</v>
      </c>
      <c r="BJ42" s="59">
        <f t="shared" si="38"/>
        <v>129.52638237044044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10.943799167546386</v>
      </c>
      <c r="BR42" s="21">
        <f>EXP(-LN(2)/2)*BR41+(1-EXP(-LN(2)/2))/(LN(2)/2)*BL42*BO42*VLOOKUP('Données projet'!$B$11,Paramètres!$A$1:$I$89,3,0)*0.475*44/12</f>
        <v>1.1071111344421189</v>
      </c>
      <c r="BS42" s="22">
        <f t="shared" si="9"/>
        <v>12.050910301988505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3.3603333333333336</v>
      </c>
      <c r="BY42" s="12">
        <f>IF('Données projet'!$A$114&gt;35,BY41+BX42-CG41,IF(A42&lt;'Données projet'!$A$114,$BV$205^A42,IF(A42='Données projet'!$A$114,'Données projet'!$B$114,BY41+BX42-CG41)))</f>
        <v>131.05299999999997</v>
      </c>
      <c r="BZ42" s="13">
        <f>BY42*VLOOKUP('Données projet'!$B$12,Paramètres!$A$1:$I$89,3,0)*VLOOKUP('Données projet'!$B$12,Paramètres!$A$1:$I$89,5,0)</f>
        <v>126.75446159999998</v>
      </c>
      <c r="CA42" s="13">
        <f t="shared" si="39"/>
        <v>33.245310762607936</v>
      </c>
      <c r="CB42" s="20">
        <f t="shared" si="10"/>
        <v>278.66627019820879</v>
      </c>
      <c r="CC42" s="59">
        <f t="shared" si="11"/>
        <v>571.99960353154211</v>
      </c>
      <c r="CD42" s="59">
        <f ca="1">AVERAGE(OFFSET($CC$3,0,0,'Données projet'!$E$12+1,1))-AVERAGE(OFFSET($H$3,0,0,'Données projet'!$E$12+1,1))</f>
        <v>292.52253679467469</v>
      </c>
      <c r="CE42" s="59">
        <f t="shared" si="40"/>
        <v>155.7114133976541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7.1428571428571432</v>
      </c>
      <c r="CT42" s="12">
        <f>IF('Données projet'!$A$140&gt;35,CT41+CS42-DB41,IF(A42&lt;'Données projet'!$A$140,$CQ$205^A42,IF(A42='Données projet'!$A$140,'Données projet'!$B$140,CT41+CS42-DB41)))</f>
        <v>111.72161172161175</v>
      </c>
      <c r="CU42" s="17">
        <f>CT42*VLOOKUP('Données projet'!$B$13,Paramètres!$A$1:$I$89,3,0)*VLOOKUP('Données projet'!$B$13,Paramètres!$A$1:$I$89,5,0)</f>
        <v>87.142857142857167</v>
      </c>
      <c r="CV42" s="13">
        <f t="shared" si="41"/>
        <v>23.874862491880062</v>
      </c>
      <c r="CW42" s="20">
        <f t="shared" si="13"/>
        <v>193.35586169716734</v>
      </c>
      <c r="CX42" s="59">
        <f t="shared" si="14"/>
        <v>486.68919503050063</v>
      </c>
      <c r="CY42" s="59">
        <f ca="1">AVERAGE(OFFSET($CX$3,0,0,'Données projet'!$E$13+1,1))-AVERAGE(OFFSET($H$3,0,0,'Données projet'!$E$13+1,1))</f>
        <v>100.54865094989304</v>
      </c>
      <c r="CZ42" s="59">
        <f t="shared" si="42"/>
        <v>99.95654161405389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3.881680974115969</v>
      </c>
      <c r="DG42" s="21">
        <f>EXP(-LN(2)/25)*DG41+(1-EXP(-LN(2)/25))/(LN(2)/25)*Calculateur!DB42*Calculateur!DD42*VLOOKUP('Données projet'!$B$13,Paramètres!$A$1:$I$89,3,0)*0.475*44/12</f>
        <v>5.7714522657223926</v>
      </c>
      <c r="DH42" s="21">
        <f>EXP(-LN(2)/2)*DH41+(1-EXP(-LN(2)/2))/(LN(2)/2)*DB42*DE42*VLOOKUP('Données projet'!$B$13,Paramètres!$A$1:$I$89,3,0)*0.475*44/12</f>
        <v>2.4173391447724026</v>
      </c>
      <c r="DI42" s="22">
        <f t="shared" si="15"/>
        <v>12.070472384610763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4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34.944000000000003</v>
      </c>
      <c r="D43" s="11">
        <f t="shared" si="32"/>
        <v>10.648197775908045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351.93977230525508</v>
      </c>
      <c r="H43" s="67">
        <f t="shared" si="1"/>
        <v>372.73974445970651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28.09833333333334</v>
      </c>
      <c r="N43" s="13">
        <f>IF('Données projet'!$A$36&gt;35,N42+M43-V42,IF(A43&lt;'Données projet'!$A$36,$K$205^A43,IF(A43='Données projet'!$A$36,'Données projet'!$B$36,N42+M43-V42)))</f>
        <v>528.1733333333334</v>
      </c>
      <c r="O43" s="13">
        <f>N43*VLOOKUP('Données projet'!$B$9,Paramètres!$A$1:$I$89,3,0)*VLOOKUP('Données projet'!$B$9,Paramètres!$A$1:$I$89,5,0)</f>
        <v>295.2488933333334</v>
      </c>
      <c r="P43" s="13">
        <f t="shared" si="33"/>
        <v>70.179525528932587</v>
      </c>
      <c r="Q43" s="20">
        <f t="shared" si="53"/>
        <v>636.45449618511327</v>
      </c>
      <c r="R43" s="59">
        <f t="shared" si="0"/>
        <v>929.78782951844664</v>
      </c>
      <c r="S43" s="59">
        <f ca="1">AVERAGE(OFFSET($R$3,0,0,'Données projet'!$E$9+1,1))-AVERAGE(OFFSET($H$3,0,0,'Données projet'!$E$9+1,1))</f>
        <v>324.69474275039357</v>
      </c>
      <c r="T43" s="59">
        <f t="shared" si="34"/>
        <v>437.68177084535927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44.433146678556284</v>
      </c>
      <c r="AA43" s="21">
        <f>EXP(-LN(2)/25)*AA42+(1-EXP(-LN(2)/25))/(LN(2)/25)*Calculateur!V43*Calculateur!X43*VLOOKUP('Données projet'!$B$9,Paramètres!$A$1:$I$89,3,0)*0.475*44/12</f>
        <v>22.303931090208042</v>
      </c>
      <c r="AB43" s="21">
        <f>EXP(-LN(2)/2)*AB42+(1-EXP(-LN(2)/2))/(LN(2)/2)*V43*Y43*VLOOKUP('Données projet'!$B$9,Paramètres!$A$1:$I$89,3,0)*0.475*44/12</f>
        <v>3.0961511346602109</v>
      </c>
      <c r="AC43" s="22">
        <f t="shared" si="3"/>
        <v>69.833228903424526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16.583750000000002</v>
      </c>
      <c r="AI43" s="13">
        <f>IF('Données projet'!$A$62&gt;35,AI42+AH43-AQ42,IF(A43&lt;'Données projet'!$A$62,$AF$205^A43,IF(A43='Données projet'!$A$62,'Données projet'!$B$62,AI42+AH43-AQ42)))</f>
        <v>302.39500000000004</v>
      </c>
      <c r="AJ43" s="13">
        <f>AI43*VLOOKUP('Données projet'!$B$10,Paramètres!$A$1:$I$89,3,0)*VLOOKUP('Données projet'!$B$10,Paramètres!$A$1:$I$89,5,0)</f>
        <v>180.83221000000003</v>
      </c>
      <c r="AK43" s="13">
        <f t="shared" si="35"/>
        <v>45.507287823747916</v>
      </c>
      <c r="AL43" s="20">
        <f t="shared" si="4"/>
        <v>394.20795870969431</v>
      </c>
      <c r="AM43" s="59">
        <f t="shared" si="5"/>
        <v>687.54129204302762</v>
      </c>
      <c r="AN43" s="59">
        <f ca="1">AVERAGE(OFFSET($AM$3,0,0,'Données projet'!$E$10+1,1))-AVERAGE(OFFSET($H$3,0,0,'Données projet'!$E$10+1,1))</f>
        <v>214.93913810439858</v>
      </c>
      <c r="AO43" s="59">
        <f t="shared" si="36"/>
        <v>210.65603079265924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28.328621506045867</v>
      </c>
      <c r="AV43" s="21">
        <f>EXP(-LN(2)/25)*AV42+(1-EXP(-LN(2)/25))/(LN(2)/25)*Calculateur!AQ43*Calculateur!AS43*VLOOKUP('Données projet'!$B$10,Paramètres!$A$1:$I$89,3,0)*0.475*44/12</f>
        <v>16.413875053363952</v>
      </c>
      <c r="AW43" s="21">
        <f>EXP(-LN(2)/2)*AW42+(1-EXP(-LN(2)/2))/(LN(2)/2)*AQ43*AT43*VLOOKUP('Données projet'!$B$10,Paramètres!$A$1:$I$89,3,0)*0.475*44/12</f>
        <v>2.8009304448982686</v>
      </c>
      <c r="AX43" s="21">
        <f t="shared" si="6"/>
        <v>47.543427004308086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13.956249999999997</v>
      </c>
      <c r="BD43" s="12">
        <f>IF('Données projet'!$A$88&gt;35,BD42+BC43-BL42,IF(A43&lt;'Données projet'!$A$88,$BA$205^A43,IF(A43='Données projet'!$A$88,'Données projet'!$B$88,BD42+BC43-BL42)))</f>
        <v>220.09750000000003</v>
      </c>
      <c r="BE43" s="13">
        <f>BD43*VLOOKUP('Données projet'!$B$11,Paramètres!$A$1:$I$89,3,0)*VLOOKUP('Données projet'!$B$11,Paramètres!$A$1:$I$89,5,0)</f>
        <v>199.14421800000002</v>
      </c>
      <c r="BF43" s="13">
        <f t="shared" si="37"/>
        <v>49.55604583218453</v>
      </c>
      <c r="BG43" s="20">
        <f t="shared" si="7"/>
        <v>433.15295950772139</v>
      </c>
      <c r="BH43" s="59">
        <f t="shared" si="8"/>
        <v>726.48629284105471</v>
      </c>
      <c r="BI43" s="59">
        <f ca="1">AVERAGE(OFFSET($BH$3,0,0,'Données projet'!$E$11+1,1))-AVERAGE(OFFSET($H$3,0,0,'Données projet'!$E$11+1,1))</f>
        <v>507.69556381324213</v>
      </c>
      <c r="BJ43" s="59">
        <f t="shared" si="38"/>
        <v>129.52638237044044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10.644540403800445</v>
      </c>
      <c r="BR43" s="21">
        <f>EXP(-LN(2)/2)*BR42+(1-EXP(-LN(2)/2))/(LN(2)/2)*BL43*BO43*VLOOKUP('Données projet'!$B$11,Paramètres!$A$1:$I$89,3,0)*0.475*44/12</f>
        <v>0.7828457906911539</v>
      </c>
      <c r="BS43" s="22">
        <f t="shared" si="9"/>
        <v>11.427386194491598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3.3603333333333336</v>
      </c>
      <c r="BY43" s="12">
        <f>IF('Données projet'!$A$114&gt;35,BY42+BX43-CG42,IF(A43&lt;'Données projet'!$A$114,$BV$205^A43,IF(A43='Données projet'!$A$114,'Données projet'!$B$114,BY42+BX43-CG42)))</f>
        <v>134.4133333333333</v>
      </c>
      <c r="BZ43" s="13">
        <f>BY43*VLOOKUP('Données projet'!$B$12,Paramètres!$A$1:$I$89,3,0)*VLOOKUP('Données projet'!$B$12,Paramètres!$A$1:$I$89,5,0)</f>
        <v>130.00457599999996</v>
      </c>
      <c r="CA43" s="13">
        <f t="shared" si="39"/>
        <v>33.997416709428933</v>
      </c>
      <c r="CB43" s="20">
        <f t="shared" si="10"/>
        <v>285.63680396892198</v>
      </c>
      <c r="CC43" s="59">
        <f t="shared" si="11"/>
        <v>578.97013730225535</v>
      </c>
      <c r="CD43" s="59">
        <f ca="1">AVERAGE(OFFSET($CC$3,0,0,'Données projet'!$E$12+1,1))-AVERAGE(OFFSET($H$3,0,0,'Données projet'!$E$12+1,1))</f>
        <v>292.52253679467469</v>
      </c>
      <c r="CE43" s="59">
        <f t="shared" si="40"/>
        <v>155.7114133976541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7.1428571428571432</v>
      </c>
      <c r="CT43" s="12">
        <f>IF('Données projet'!$A$140&gt;35,CT42+CS43-DB42,IF(A43&lt;'Données projet'!$A$140,$CQ$205^A43,IF(A43='Données projet'!$A$140,'Données projet'!$B$140,CT42+CS43-DB42)))</f>
        <v>118.86446886446889</v>
      </c>
      <c r="CU43" s="17">
        <f>CT43*VLOOKUP('Données projet'!$B$13,Paramètres!$A$1:$I$89,3,0)*VLOOKUP('Données projet'!$B$13,Paramètres!$A$1:$I$89,5,0)</f>
        <v>92.714285714285737</v>
      </c>
      <c r="CV43" s="13">
        <f t="shared" si="41"/>
        <v>25.218709027237011</v>
      </c>
      <c r="CW43" s="20">
        <f t="shared" si="13"/>
        <v>205.39996584148545</v>
      </c>
      <c r="CX43" s="59">
        <f t="shared" si="14"/>
        <v>498.73329917481874</v>
      </c>
      <c r="CY43" s="59">
        <f ca="1">AVERAGE(OFFSET($CX$3,0,0,'Données projet'!$E$13+1,1))-AVERAGE(OFFSET($H$3,0,0,'Données projet'!$E$13+1,1))</f>
        <v>100.54865094989304</v>
      </c>
      <c r="CZ43" s="59">
        <f t="shared" si="42"/>
        <v>99.95654161405389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3.8055635778051689</v>
      </c>
      <c r="DG43" s="21">
        <f>EXP(-LN(2)/25)*DG42+(1-EXP(-LN(2)/25))/(LN(2)/25)*Calculateur!DB43*Calculateur!DD43*VLOOKUP('Données projet'!$B$13,Paramètres!$A$1:$I$89,3,0)*0.475*44/12</f>
        <v>5.6136316000087296</v>
      </c>
      <c r="DH43" s="21">
        <f>EXP(-LN(2)/2)*DH42+(1-EXP(-LN(2)/2))/(LN(2)/2)*DB43*DE43*VLOOKUP('Données projet'!$B$13,Paramètres!$A$1:$I$89,3,0)*0.475*44/12</f>
        <v>1.7093169016962553</v>
      </c>
      <c r="DI43" s="22">
        <f t="shared" si="15"/>
        <v>11.128512079510154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4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35.817600000000006</v>
      </c>
      <c r="D44" s="11">
        <f t="shared" si="32"/>
        <v>10.883077364116859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360.49645684581441</v>
      </c>
      <c r="H44" s="67">
        <f t="shared" si="1"/>
        <v>374.67034640917018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28.09833333333334</v>
      </c>
      <c r="N44" s="13">
        <f>IF('Données projet'!$A$36&gt;35,N43+M44-V43,IF(A44&lt;'Données projet'!$A$36,$K$205^A44,IF(A44='Données projet'!$A$36,'Données projet'!$B$36,N43+M44-V43)))</f>
        <v>556.27166666666676</v>
      </c>
      <c r="O44" s="13">
        <f>N44*VLOOKUP('Données projet'!$B$9,Paramètres!$A$1:$I$89,3,0)*VLOOKUP('Données projet'!$B$9,Paramètres!$A$1:$I$89,5,0)</f>
        <v>310.95586166666675</v>
      </c>
      <c r="P44" s="13">
        <f t="shared" si="33"/>
        <v>73.468416349938394</v>
      </c>
      <c r="Q44" s="20">
        <f t="shared" si="53"/>
        <v>669.53895087892067</v>
      </c>
      <c r="R44" s="59">
        <f t="shared" si="0"/>
        <v>962.87228421225404</v>
      </c>
      <c r="S44" s="59">
        <f ca="1">AVERAGE(OFFSET($R$3,0,0,'Données projet'!$E$9+1,1))-AVERAGE(OFFSET($H$3,0,0,'Données projet'!$E$9+1,1))</f>
        <v>324.69474275039357</v>
      </c>
      <c r="T44" s="59">
        <f t="shared" si="34"/>
        <v>437.68177084535927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43.561839773733212</v>
      </c>
      <c r="AA44" s="21">
        <f>EXP(-LN(2)/25)*AA43+(1-EXP(-LN(2)/25))/(LN(2)/25)*Calculateur!V44*Calculateur!X44*VLOOKUP('Données projet'!$B$9,Paramètres!$A$1:$I$89,3,0)*0.475*44/12</f>
        <v>21.694028921633542</v>
      </c>
      <c r="AB44" s="21">
        <f>EXP(-LN(2)/2)*AB43+(1-EXP(-LN(2)/2))/(LN(2)/2)*V44*Y44*VLOOKUP('Données projet'!$B$9,Paramètres!$A$1:$I$89,3,0)*0.475*44/12</f>
        <v>2.1893094628966585</v>
      </c>
      <c r="AC44" s="22">
        <f t="shared" si="3"/>
        <v>67.445178158263417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16.583750000000002</v>
      </c>
      <c r="AI44" s="13">
        <f>IF('Données projet'!$A$62&gt;35,AI43+AH44-AQ43,IF(A44&lt;'Données projet'!$A$62,$AF$205^A44,IF(A44='Données projet'!$A$62,'Données projet'!$B$62,AI43+AH44-AQ43)))</f>
        <v>318.97875000000005</v>
      </c>
      <c r="AJ44" s="13">
        <f>AI44*VLOOKUP('Données projet'!$B$10,Paramètres!$A$1:$I$89,3,0)*VLOOKUP('Données projet'!$B$10,Paramètres!$A$1:$I$89,5,0)</f>
        <v>190.74929250000002</v>
      </c>
      <c r="AK44" s="13">
        <f t="shared" si="35"/>
        <v>47.705572818216723</v>
      </c>
      <c r="AL44" s="20">
        <f t="shared" si="4"/>
        <v>415.30889042922746</v>
      </c>
      <c r="AM44" s="59">
        <f t="shared" si="5"/>
        <v>708.64222376256077</v>
      </c>
      <c r="AN44" s="59">
        <f ca="1">AVERAGE(OFFSET($AM$3,0,0,'Données projet'!$E$10+1,1))-AVERAGE(OFFSET($H$3,0,0,'Données projet'!$E$10+1,1))</f>
        <v>214.93913810439858</v>
      </c>
      <c r="AO44" s="59">
        <f t="shared" si="36"/>
        <v>210.65603079265924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27.773114517065292</v>
      </c>
      <c r="AV44" s="21">
        <f>EXP(-LN(2)/25)*AV43+(1-EXP(-LN(2)/25))/(LN(2)/25)*Calculateur!AQ44*Calculateur!AS44*VLOOKUP('Données projet'!$B$10,Paramètres!$A$1:$I$89,3,0)*0.475*44/12</f>
        <v>15.96503677686154</v>
      </c>
      <c r="AW44" s="21">
        <f>EXP(-LN(2)/2)*AW43+(1-EXP(-LN(2)/2))/(LN(2)/2)*AQ44*AT44*VLOOKUP('Données projet'!$B$10,Paramètres!$A$1:$I$89,3,0)*0.475*44/12</f>
        <v>1.9805569112194195</v>
      </c>
      <c r="AX44" s="21">
        <f t="shared" si="6"/>
        <v>45.71870820514625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13.956249999999997</v>
      </c>
      <c r="BD44" s="12">
        <f>IF('Données projet'!$A$88&gt;35,BD43+BC44-BL43,IF(A44&lt;'Données projet'!$A$88,$BA$205^A44,IF(A44='Données projet'!$A$88,'Données projet'!$B$88,BD43+BC44-BL43)))</f>
        <v>234.05375000000004</v>
      </c>
      <c r="BE44" s="13">
        <f>BD44*VLOOKUP('Données projet'!$B$11,Paramètres!$A$1:$I$89,3,0)*VLOOKUP('Données projet'!$B$11,Paramètres!$A$1:$I$89,5,0)</f>
        <v>211.77183300000004</v>
      </c>
      <c r="BF44" s="13">
        <f t="shared" si="37"/>
        <v>52.322586251762758</v>
      </c>
      <c r="BG44" s="20">
        <f t="shared" si="7"/>
        <v>459.9644468634869</v>
      </c>
      <c r="BH44" s="59">
        <f t="shared" si="8"/>
        <v>753.29778019682021</v>
      </c>
      <c r="BI44" s="59">
        <f ca="1">AVERAGE(OFFSET($BH$3,0,0,'Données projet'!$E$11+1,1))-AVERAGE(OFFSET($H$3,0,0,'Données projet'!$E$11+1,1))</f>
        <v>507.69556381324213</v>
      </c>
      <c r="BJ44" s="59">
        <f t="shared" si="38"/>
        <v>129.52638237044044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10.353464886686471</v>
      </c>
      <c r="BR44" s="21">
        <f>EXP(-LN(2)/2)*BR43+(1-EXP(-LN(2)/2))/(LN(2)/2)*BL44*BO44*VLOOKUP('Données projet'!$B$11,Paramètres!$A$1:$I$89,3,0)*0.475*44/12</f>
        <v>0.55355556722105959</v>
      </c>
      <c r="BS44" s="22">
        <f t="shared" si="9"/>
        <v>10.90702045390753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3.3603333333333336</v>
      </c>
      <c r="BY44" s="12">
        <f>IF('Données projet'!$A$114&gt;35,BY43+BX44-CG43,IF(A44&lt;'Données projet'!$A$114,$BV$205^A44,IF(A44='Données projet'!$A$114,'Données projet'!$B$114,BY43+BX44-CG43)))</f>
        <v>137.77366666666663</v>
      </c>
      <c r="BZ44" s="13">
        <f>BY44*VLOOKUP('Données projet'!$B$12,Paramètres!$A$1:$I$89,3,0)*VLOOKUP('Données projet'!$B$12,Paramètres!$A$1:$I$89,5,0)</f>
        <v>133.25469039999996</v>
      </c>
      <c r="CA44" s="13">
        <f t="shared" si="39"/>
        <v>34.747336968699585</v>
      </c>
      <c r="CB44" s="20">
        <f t="shared" si="10"/>
        <v>292.60353100048502</v>
      </c>
      <c r="CC44" s="59">
        <f t="shared" si="11"/>
        <v>585.93686433381833</v>
      </c>
      <c r="CD44" s="59">
        <f ca="1">AVERAGE(OFFSET($CC$3,0,0,'Données projet'!$E$12+1,1))-AVERAGE(OFFSET($H$3,0,0,'Données projet'!$E$12+1,1))</f>
        <v>292.52253679467469</v>
      </c>
      <c r="CE44" s="59">
        <f t="shared" si="40"/>
        <v>155.7114133976541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7.1428571428571432</v>
      </c>
      <c r="CT44" s="12">
        <f>IF('Données projet'!$A$140&gt;35,CT43+CS44-DB43,IF(A44&lt;'Données projet'!$A$140,$CQ$205^A44,IF(A44='Données projet'!$A$140,'Données projet'!$B$140,CT43+CS44-DB43)))</f>
        <v>126.00732600732603</v>
      </c>
      <c r="CU44" s="17">
        <f>CT44*VLOOKUP('Données projet'!$B$13,Paramètres!$A$1:$I$89,3,0)*VLOOKUP('Données projet'!$B$13,Paramètres!$A$1:$I$89,5,0)</f>
        <v>98.285714285714306</v>
      </c>
      <c r="CV44" s="13">
        <f t="shared" si="41"/>
        <v>26.553182521641848</v>
      </c>
      <c r="CW44" s="20">
        <f t="shared" si="13"/>
        <v>217.42774527281196</v>
      </c>
      <c r="CX44" s="59">
        <f t="shared" si="14"/>
        <v>510.76107860614525</v>
      </c>
      <c r="CY44" s="59">
        <f ca="1">AVERAGE(OFFSET($CX$3,0,0,'Données projet'!$E$13+1,1))-AVERAGE(OFFSET($H$3,0,0,'Données projet'!$E$13+1,1))</f>
        <v>100.54865094989304</v>
      </c>
      <c r="CZ44" s="59">
        <f t="shared" si="42"/>
        <v>99.95654161405389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3.7309387972089958</v>
      </c>
      <c r="DG44" s="21">
        <f>EXP(-LN(2)/25)*DG43+(1-EXP(-LN(2)/25))/(LN(2)/25)*Calculateur!DB44*Calculateur!DD44*VLOOKUP('Données projet'!$B$13,Paramètres!$A$1:$I$89,3,0)*0.475*44/12</f>
        <v>5.4601265486984349</v>
      </c>
      <c r="DH44" s="21">
        <f>EXP(-LN(2)/2)*DH43+(1-EXP(-LN(2)/2))/(LN(2)/2)*DB44*DE44*VLOOKUP('Données projet'!$B$13,Paramètres!$A$1:$I$89,3,0)*0.475*44/12</f>
        <v>1.2086695723862013</v>
      </c>
      <c r="DI44" s="22">
        <f t="shared" si="15"/>
        <v>10.399734918293632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4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36.691200000000009</v>
      </c>
      <c r="D45" s="11">
        <f t="shared" si="32"/>
        <v>11.117290999341371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369.04800069667027</v>
      </c>
      <c r="H45" s="67">
        <f t="shared" si="1"/>
        <v>376.59978849051953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584.37</v>
      </c>
      <c r="L45" s="12">
        <f>VLOOKUP(A45,'Données projet'!$A$35:$I$55,9,0)</f>
        <v>28.09833333333334</v>
      </c>
      <c r="M45" s="12">
        <f t="array" ref="M45">INDEX(L:L,MIN(IF(ISNUMBER(L45:L241),ROW(L45:L241),"")))</f>
        <v>28.09833333333334</v>
      </c>
      <c r="N45" s="13">
        <f>IF('Données projet'!$A$36&gt;35,N44+M45-V44,IF(A45&lt;'Données projet'!$A$36,$K$205^A45,IF(A45='Données projet'!$A$36,'Données projet'!$B$36,N44+M45-V44)))</f>
        <v>584.37000000000012</v>
      </c>
      <c r="O45" s="13">
        <f>N45*VLOOKUP('Données projet'!$B$9,Paramètres!$A$1:$I$89,3,0)*VLOOKUP('Données projet'!$B$9,Paramètres!$A$1:$I$89,5,0)</f>
        <v>326.6628300000001</v>
      </c>
      <c r="P45" s="13">
        <f t="shared" si="33"/>
        <v>76.738017937615012</v>
      </c>
      <c r="Q45" s="20">
        <f t="shared" si="53"/>
        <v>702.58981015801294</v>
      </c>
      <c r="R45" s="59">
        <f t="shared" si="0"/>
        <v>995.92314349134631</v>
      </c>
      <c r="S45" s="59">
        <f ca="1">AVERAGE(OFFSET($R$3,0,0,'Données projet'!$E$9+1,1))-AVERAGE(OFFSET($H$3,0,0,'Données projet'!$E$9+1,1))</f>
        <v>324.69474275039357</v>
      </c>
      <c r="T45" s="59">
        <f t="shared" si="34"/>
        <v>437.68177084535927</v>
      </c>
      <c r="U45" s="15">
        <f>IF(ISNA(VLOOKUP(A45,'Données projet'!$A$35:$I$55,3,0)),0,VLOOKUP(A45,'Données projet'!$A$35:$I$55,3,0))</f>
        <v>5</v>
      </c>
      <c r="V45" s="15">
        <f>IF(ISNA(VLOOKUP(A45,'Données projet'!$A$35:$I$55,4,0)),0,VLOOKUP(A45,'Données projet'!$A$35:$I$55,4,0))</f>
        <v>91.32</v>
      </c>
      <c r="W45" s="16">
        <f>IF(ISNA(VLOOKUP(A45,'Données projet'!$A$35:$I$55,5,0)),0%,VLOOKUP(A45,'Données projet'!$A$35:$I$55,5,0)*VLOOKUP('Données projet'!$B$9,Paramètres!$A$1:$I$89,7,0))</f>
        <v>0.33</v>
      </c>
      <c r="X45" s="16">
        <f>IF(ISNA(VLOOKUP(A45,'Données projet'!$A$35:$I$55,6,0)),0%,VLOOKUP(A45,'Données projet'!$A$35:$I$55,6,0)*VLOOKUP('Données projet'!$B$9,Paramètres!$A$1:$I$89,7,0))</f>
        <v>0.11000000000000001</v>
      </c>
      <c r="Y45" s="16">
        <f>IF(ISNA(VLOOKUP(A45,'Données projet'!$A$35:$I$55,7,0)),0%,VLOOKUP(A45,'Données projet'!$A$35:$I$55,7,0))</f>
        <v>0.2</v>
      </c>
      <c r="Z45" s="21">
        <f>EXP(-LN(2)/35)*Z44+(1-EXP(-LN(2)/35))/(LN(2)/35)*V45*W45*VLOOKUP('Données projet'!$B$9,Paramètres!$A$1:$I$89,3,0)*0.475*44/12</f>
        <v>65.054658699938173</v>
      </c>
      <c r="AA45" s="21">
        <f>EXP(-LN(2)/25)*AA44+(1-EXP(-LN(2)/25))/(LN(2)/25)*Calculateur!V45*Calculateur!X45*VLOOKUP('Données projet'!$B$9,Paramètres!$A$1:$I$89,3,0)*0.475*44/12</f>
        <v>28.520488300787161</v>
      </c>
      <c r="AB45" s="21">
        <f>EXP(-LN(2)/2)*AB44+(1-EXP(-LN(2)/2))/(LN(2)/2)*V45*Y45*VLOOKUP('Données projet'!$B$9,Paramètres!$A$1:$I$89,3,0)*0.475*44/12</f>
        <v>13.107687258581169</v>
      </c>
      <c r="AC45" s="22">
        <f t="shared" si="3"/>
        <v>106.6828342593065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16.583750000000002</v>
      </c>
      <c r="AI45" s="13">
        <f>IF('Données projet'!$A$62&gt;35,AI44+AH45-AQ44,IF(A45&lt;'Données projet'!$A$62,$AF$205^A45,IF(A45='Données projet'!$A$62,'Données projet'!$B$62,AI44+AH45-AQ44)))</f>
        <v>335.56250000000006</v>
      </c>
      <c r="AJ45" s="13">
        <f>AI45*VLOOKUP('Données projet'!$B$10,Paramètres!$A$1:$I$89,3,0)*VLOOKUP('Données projet'!$B$10,Paramètres!$A$1:$I$89,5,0)</f>
        <v>200.66637500000007</v>
      </c>
      <c r="AK45" s="13">
        <f t="shared" si="35"/>
        <v>49.890588417680917</v>
      </c>
      <c r="AL45" s="20">
        <f t="shared" si="4"/>
        <v>436.38671128579443</v>
      </c>
      <c r="AM45" s="59">
        <f t="shared" si="5"/>
        <v>729.72004461912775</v>
      </c>
      <c r="AN45" s="59">
        <f ca="1">AVERAGE(OFFSET($AM$3,0,0,'Données projet'!$E$10+1,1))-AVERAGE(OFFSET($H$3,0,0,'Données projet'!$E$10+1,1))</f>
        <v>214.93913810439858</v>
      </c>
      <c r="AO45" s="59">
        <f t="shared" si="36"/>
        <v>210.65603079265924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27.228500681312816</v>
      </c>
      <c r="AV45" s="21">
        <f>EXP(-LN(2)/25)*AV44+(1-EXP(-LN(2)/25))/(LN(2)/25)*Calculateur!AQ45*Calculateur!AS45*VLOOKUP('Données projet'!$B$10,Paramètres!$A$1:$I$89,3,0)*0.475*44/12</f>
        <v>15.528472006633466</v>
      </c>
      <c r="AW45" s="21">
        <f>EXP(-LN(2)/2)*AW44+(1-EXP(-LN(2)/2))/(LN(2)/2)*AQ45*AT45*VLOOKUP('Données projet'!$B$10,Paramètres!$A$1:$I$89,3,0)*0.475*44/12</f>
        <v>1.4004652224491345</v>
      </c>
      <c r="AX45" s="21">
        <f t="shared" si="6"/>
        <v>44.157437910395416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248.01</v>
      </c>
      <c r="BB45" s="12">
        <f>VLOOKUP(A45,'Données projet'!$A$87:$I$107,9,0)</f>
        <v>13.956249999999997</v>
      </c>
      <c r="BC45" s="12">
        <f t="array" ref="BC45">INDEX(BB:BB,MIN(IF(ISNUMBER(BB45:BB241),ROW(BB45:BB241),"")))</f>
        <v>13.956249999999997</v>
      </c>
      <c r="BD45" s="12">
        <f>IF('Données projet'!$A$88&gt;35,BD44+BC45-BL44,IF(A45&lt;'Données projet'!$A$88,$BA$205^A45,IF(A45='Données projet'!$A$88,'Données projet'!$B$88,BD44+BC45-BL44)))</f>
        <v>248.01000000000005</v>
      </c>
      <c r="BE45" s="13">
        <f>BD45*VLOOKUP('Données projet'!$B$11,Paramètres!$A$1:$I$89,3,0)*VLOOKUP('Données projet'!$B$11,Paramètres!$A$1:$I$89,5,0)</f>
        <v>224.39944800000004</v>
      </c>
      <c r="BF45" s="13">
        <f t="shared" si="37"/>
        <v>55.06997932657665</v>
      </c>
      <c r="BG45" s="20">
        <f t="shared" si="7"/>
        <v>486.74258592712107</v>
      </c>
      <c r="BH45" s="59">
        <f t="shared" si="8"/>
        <v>780.07591926045438</v>
      </c>
      <c r="BI45" s="59">
        <f ca="1">AVERAGE(OFFSET($BH$3,0,0,'Données projet'!$E$11+1,1))-AVERAGE(OFFSET($H$3,0,0,'Données projet'!$E$11+1,1))</f>
        <v>507.69556381324213</v>
      </c>
      <c r="BJ45" s="59">
        <f t="shared" si="38"/>
        <v>129.52638237044044</v>
      </c>
      <c r="BK45" s="15">
        <f>IF(ISNA(VLOOKUP(A45,'Données projet'!$A$87:$I$107,3,0)),0,VLOOKUP(A45,'Données projet'!$A$87:$I$107,3,0))</f>
        <v>2</v>
      </c>
      <c r="BL45" s="15">
        <f>IF(ISNA(VLOOKUP(A45,'Données projet'!$A$87:$I$107,4,0)),0,VLOOKUP(A45,'Données projet'!$A$87:$I$107,4,0))</f>
        <v>58.099999999999994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0.34400000000000003</v>
      </c>
      <c r="BO45" s="16">
        <f>IF(ISNA(VLOOKUP(A45,'Données projet'!$A$87:$I$107,7,0)),0%,VLOOKUP(A45,'Données projet'!$A$87:$I$107,7,0))</f>
        <v>0.2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29.982625570044064</v>
      </c>
      <c r="BR45" s="21">
        <f>EXP(-LN(2)/2)*BR44+(1-EXP(-LN(2)/2))/(LN(2)/2)*BL45*BO45*VLOOKUP('Données projet'!$B$11,Paramètres!$A$1:$I$89,3,0)*0.475*44/12</f>
        <v>10.311453525477758</v>
      </c>
      <c r="BS45" s="22">
        <f t="shared" si="9"/>
        <v>40.294079095521823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3.3603333333333336</v>
      </c>
      <c r="BY45" s="12">
        <f>IF('Données projet'!$A$114&gt;35,BY44+BX45-CG44,IF(A45&lt;'Données projet'!$A$114,$BV$205^A45,IF(A45='Données projet'!$A$114,'Données projet'!$B$114,BY44+BX45-CG44)))</f>
        <v>141.13399999999996</v>
      </c>
      <c r="BZ45" s="13">
        <f>BY45*VLOOKUP('Données projet'!$B$12,Paramètres!$A$1:$I$89,3,0)*VLOOKUP('Données projet'!$B$12,Paramètres!$A$1:$I$89,5,0)</f>
        <v>136.50480479999996</v>
      </c>
      <c r="CA45" s="13">
        <f t="shared" si="39"/>
        <v>35.49513098260995</v>
      </c>
      <c r="CB45" s="20">
        <f t="shared" si="10"/>
        <v>299.56655482137893</v>
      </c>
      <c r="CC45" s="59">
        <f t="shared" si="11"/>
        <v>592.89988815471224</v>
      </c>
      <c r="CD45" s="59">
        <f ca="1">AVERAGE(OFFSET($CC$3,0,0,'Données projet'!$E$12+1,1))-AVERAGE(OFFSET($H$3,0,0,'Données projet'!$E$12+1,1))</f>
        <v>292.52253679467469</v>
      </c>
      <c r="CE45" s="59">
        <f t="shared" si="40"/>
        <v>155.7114133976541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7.1428571428571432</v>
      </c>
      <c r="CT45" s="12">
        <f>IF('Données projet'!$A$140&gt;35,CT44+CS45-DB44,IF(A45&lt;'Données projet'!$A$140,$CQ$205^A45,IF(A45='Données projet'!$A$140,'Données projet'!$B$140,CT44+CS45-DB44)))</f>
        <v>133.15018315018318</v>
      </c>
      <c r="CU45" s="17">
        <f>CT45*VLOOKUP('Données projet'!$B$13,Paramètres!$A$1:$I$89,3,0)*VLOOKUP('Données projet'!$B$13,Paramètres!$A$1:$I$89,5,0)</f>
        <v>103.85714285714289</v>
      </c>
      <c r="CV45" s="13">
        <f t="shared" si="41"/>
        <v>27.878874840299215</v>
      </c>
      <c r="CW45" s="20">
        <f t="shared" si="13"/>
        <v>229.44023082304497</v>
      </c>
      <c r="CX45" s="59">
        <f t="shared" si="14"/>
        <v>522.77356415637826</v>
      </c>
      <c r="CY45" s="59">
        <f ca="1">AVERAGE(OFFSET($CX$3,0,0,'Données projet'!$E$13+1,1))-AVERAGE(OFFSET($H$3,0,0,'Données projet'!$E$13+1,1))</f>
        <v>100.54865094989304</v>
      </c>
      <c r="CZ45" s="59">
        <f t="shared" si="42"/>
        <v>99.95654161405389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3.6577773630436923</v>
      </c>
      <c r="DG45" s="21">
        <f>EXP(-LN(2)/25)*DG44+(1-EXP(-LN(2)/25))/(LN(2)/25)*Calculateur!DB45*Calculateur!DD45*VLOOKUP('Données projet'!$B$13,Paramètres!$A$1:$I$89,3,0)*0.475*44/12</f>
        <v>5.3108191010887005</v>
      </c>
      <c r="DH45" s="21">
        <f>EXP(-LN(2)/2)*DH44+(1-EXP(-LN(2)/2))/(LN(2)/2)*DB45*DE45*VLOOKUP('Données projet'!$B$13,Paramètres!$A$1:$I$89,3,0)*0.475*44/12</f>
        <v>0.85465845084812764</v>
      </c>
      <c r="DI45" s="22">
        <f t="shared" si="15"/>
        <v>9.8232549149805202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4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37.564800000000012</v>
      </c>
      <c r="D46" s="11">
        <f t="shared" si="32"/>
        <v>11.350856362116874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377.5945403391479</v>
      </c>
      <c r="H46" s="67">
        <f t="shared" si="1"/>
        <v>378.52810149735353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27.111666666666668</v>
      </c>
      <c r="N46" s="13">
        <f>IF('Données projet'!$A$36&gt;35,N45+M46-V45,IF(A46&lt;'Données projet'!$A$36,$K$205^A46,IF(A46='Données projet'!$A$36,'Données projet'!$B$36,N45+M46-V45)))</f>
        <v>520.16166666666686</v>
      </c>
      <c r="O46" s="13">
        <f>N46*VLOOKUP('Données projet'!$B$9,Paramètres!$A$1:$I$89,3,0)*VLOOKUP('Données projet'!$B$9,Paramètres!$A$1:$I$89,5,0)</f>
        <v>290.77037166666679</v>
      </c>
      <c r="P46" s="13">
        <f t="shared" si="33"/>
        <v>69.238074036654666</v>
      </c>
      <c r="Q46" s="20">
        <f t="shared" si="53"/>
        <v>627.01470959995152</v>
      </c>
      <c r="R46" s="59">
        <f t="shared" si="0"/>
        <v>920.34804293328489</v>
      </c>
      <c r="S46" s="59">
        <f ca="1">AVERAGE(OFFSET($R$3,0,0,'Données projet'!$E$9+1,1))-AVERAGE(OFFSET($H$3,0,0,'Données projet'!$E$9+1,1))</f>
        <v>324.69474275039357</v>
      </c>
      <c r="T46" s="59">
        <f t="shared" si="34"/>
        <v>437.68177084535927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63.778976522256173</v>
      </c>
      <c r="AA46" s="21">
        <f>EXP(-LN(2)/25)*AA45+(1-EXP(-LN(2)/25))/(LN(2)/25)*Calculateur!V46*Calculateur!X46*VLOOKUP('Données projet'!$B$9,Paramètres!$A$1:$I$89,3,0)*0.475*44/12</f>
        <v>27.740594048374842</v>
      </c>
      <c r="AB46" s="21">
        <f>EXP(-LN(2)/2)*AB45+(1-EXP(-LN(2)/2))/(LN(2)/2)*V46*Y46*VLOOKUP('Données projet'!$B$9,Paramètres!$A$1:$I$89,3,0)*0.475*44/12</f>
        <v>9.2685345462152533</v>
      </c>
      <c r="AC46" s="22">
        <f t="shared" si="3"/>
        <v>100.78810511684627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16.583750000000002</v>
      </c>
      <c r="AI46" s="13">
        <f>IF('Données projet'!$A$62&gt;35,AI45+AH46-AQ45,IF(A46&lt;'Données projet'!$A$62,$AF$205^A46,IF(A46='Données projet'!$A$62,'Données projet'!$B$62,AI45+AH46-AQ45)))</f>
        <v>352.14625000000007</v>
      </c>
      <c r="AJ46" s="13">
        <f>AI46*VLOOKUP('Données projet'!$B$10,Paramètres!$A$1:$I$89,3,0)*VLOOKUP('Données projet'!$B$10,Paramètres!$A$1:$I$89,5,0)</f>
        <v>210.58345750000007</v>
      </c>
      <c r="AK46" s="13">
        <f t="shared" si="35"/>
        <v>52.063065246002132</v>
      </c>
      <c r="AL46" s="20">
        <f t="shared" si="4"/>
        <v>457.44269378262044</v>
      </c>
      <c r="AM46" s="59">
        <f t="shared" si="5"/>
        <v>750.77602711595375</v>
      </c>
      <c r="AN46" s="59">
        <f ca="1">AVERAGE(OFFSET($AM$3,0,0,'Données projet'!$E$10+1,1))-AVERAGE(OFFSET($H$3,0,0,'Données projet'!$E$10+1,1))</f>
        <v>214.93913810439858</v>
      </c>
      <c r="AO46" s="59">
        <f t="shared" si="36"/>
        <v>210.65603079265924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26.694566390697808</v>
      </c>
      <c r="AV46" s="21">
        <f>EXP(-LN(2)/25)*AV45+(1-EXP(-LN(2)/25))/(LN(2)/25)*Calculateur!AQ46*Calculateur!AS46*VLOOKUP('Données projet'!$B$10,Paramètres!$A$1:$I$89,3,0)*0.475*44/12</f>
        <v>15.103845123005222</v>
      </c>
      <c r="AW46" s="21">
        <f>EXP(-LN(2)/2)*AW45+(1-EXP(-LN(2)/2))/(LN(2)/2)*AQ46*AT46*VLOOKUP('Données projet'!$B$10,Paramètres!$A$1:$I$89,3,0)*0.475*44/12</f>
        <v>0.99027845560970984</v>
      </c>
      <c r="AX46" s="21">
        <f t="shared" si="6"/>
        <v>42.788689969312742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14.351250000000004</v>
      </c>
      <c r="BD46" s="12">
        <f>IF('Données projet'!$A$88&gt;35,BD45+BC46-BL45,IF(A46&lt;'Données projet'!$A$88,$BA$205^A46,IF(A46='Données projet'!$A$88,'Données projet'!$B$88,BD45+BC46-BL45)))</f>
        <v>204.26125000000005</v>
      </c>
      <c r="BE46" s="13">
        <f>BD46*VLOOKUP('Données projet'!$B$11,Paramètres!$A$1:$I$89,3,0)*VLOOKUP('Données projet'!$B$11,Paramètres!$A$1:$I$89,5,0)</f>
        <v>184.81557900000004</v>
      </c>
      <c r="BF46" s="13">
        <f t="shared" si="37"/>
        <v>46.391911974203119</v>
      </c>
      <c r="BG46" s="20">
        <f t="shared" si="7"/>
        <v>402.6863801134038</v>
      </c>
      <c r="BH46" s="59">
        <f t="shared" si="8"/>
        <v>696.01971344673711</v>
      </c>
      <c r="BI46" s="59">
        <f ca="1">AVERAGE(OFFSET($BH$3,0,0,'Données projet'!$E$11+1,1))-AVERAGE(OFFSET($H$3,0,0,'Données projet'!$E$11+1,1))</f>
        <v>507.69556381324213</v>
      </c>
      <c r="BJ46" s="59">
        <f t="shared" si="38"/>
        <v>129.52638237044044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29.162749097113455</v>
      </c>
      <c r="BR46" s="21">
        <f>EXP(-LN(2)/2)*BR45+(1-EXP(-LN(2)/2))/(LN(2)/2)*BL46*BO46*VLOOKUP('Données projet'!$B$11,Paramètres!$A$1:$I$89,3,0)*0.475*44/12</f>
        <v>7.291298711755255</v>
      </c>
      <c r="BS46" s="22">
        <f t="shared" si="9"/>
        <v>36.454047808868708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3.3603333333333336</v>
      </c>
      <c r="BY46" s="12">
        <f>IF('Données projet'!$A$114&gt;35,BY45+BX46-CG45,IF(A46&lt;'Données projet'!$A$114,$BV$205^A46,IF(A46='Données projet'!$A$114,'Données projet'!$B$114,BY45+BX46-CG45)))</f>
        <v>144.49433333333329</v>
      </c>
      <c r="BZ46" s="13">
        <f>BY46*VLOOKUP('Données projet'!$B$12,Paramètres!$A$1:$I$89,3,0)*VLOOKUP('Données projet'!$B$12,Paramètres!$A$1:$I$89,5,0)</f>
        <v>139.75491919999996</v>
      </c>
      <c r="CA46" s="13">
        <f t="shared" si="39"/>
        <v>36.240855201325502</v>
      </c>
      <c r="CB46" s="20">
        <f t="shared" si="10"/>
        <v>306.52597374897516</v>
      </c>
      <c r="CC46" s="59">
        <f t="shared" si="11"/>
        <v>599.85930708230853</v>
      </c>
      <c r="CD46" s="59">
        <f ca="1">AVERAGE(OFFSET($CC$3,0,0,'Données projet'!$E$12+1,1))-AVERAGE(OFFSET($H$3,0,0,'Données projet'!$E$12+1,1))</f>
        <v>292.52253679467469</v>
      </c>
      <c r="CE46" s="59">
        <f t="shared" si="40"/>
        <v>155.7114133976541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7.1428571428571432</v>
      </c>
      <c r="CT46" s="12">
        <f>IF('Données projet'!$A$140&gt;35,CT45+CS46-DB45,IF(A46&lt;'Données projet'!$A$140,$CQ$205^A46,IF(A46='Données projet'!$A$140,'Données projet'!$B$140,CT45+CS46-DB45)))</f>
        <v>140.29304029304032</v>
      </c>
      <c r="CU46" s="17">
        <f>CT46*VLOOKUP('Données projet'!$B$13,Paramètres!$A$1:$I$89,3,0)*VLOOKUP('Données projet'!$B$13,Paramètres!$A$1:$I$89,5,0)</f>
        <v>109.42857142857146</v>
      </c>
      <c r="CV46" s="13">
        <f t="shared" si="41"/>
        <v>29.196310760611571</v>
      </c>
      <c r="CW46" s="20">
        <f t="shared" si="13"/>
        <v>241.43833647949381</v>
      </c>
      <c r="CX46" s="59">
        <f t="shared" si="14"/>
        <v>534.7716698128271</v>
      </c>
      <c r="CY46" s="59">
        <f ca="1">AVERAGE(OFFSET($CX$3,0,0,'Données projet'!$E$13+1,1))-AVERAGE(OFFSET($H$3,0,0,'Données projet'!$E$13+1,1))</f>
        <v>100.54865094989304</v>
      </c>
      <c r="CZ46" s="59">
        <f t="shared" si="42"/>
        <v>99.95654161405389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3.5860505799783016</v>
      </c>
      <c r="DG46" s="21">
        <f>EXP(-LN(2)/25)*DG45+(1-EXP(-LN(2)/25))/(LN(2)/25)*Calculateur!DB46*Calculateur!DD46*VLOOKUP('Données projet'!$B$13,Paramètres!$A$1:$I$89,3,0)*0.475*44/12</f>
        <v>5.1655944734855916</v>
      </c>
      <c r="DH46" s="21">
        <f>EXP(-LN(2)/2)*DH45+(1-EXP(-LN(2)/2))/(LN(2)/2)*DB46*DE46*VLOOKUP('Données projet'!$B$13,Paramètres!$A$1:$I$89,3,0)*0.475*44/12</f>
        <v>0.60433478619310066</v>
      </c>
      <c r="DI46" s="22">
        <f t="shared" si="15"/>
        <v>9.3559798396569942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4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38.438400000000016</v>
      </c>
      <c r="D47" s="11">
        <f t="shared" si="32"/>
        <v>11.583790263708345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386.13620554441542</v>
      </c>
      <c r="H47" s="67">
        <f t="shared" si="1"/>
        <v>380.45531470929205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27.111666666666668</v>
      </c>
      <c r="N47" s="13">
        <f>IF('Données projet'!$A$36&gt;35,N46+M47-V46,IF(A47&lt;'Données projet'!$A$36,$K$205^A47,IF(A47='Données projet'!$A$36,'Données projet'!$B$36,N46+M47-V46)))</f>
        <v>547.27333333333354</v>
      </c>
      <c r="O47" s="13">
        <f>N47*VLOOKUP('Données projet'!$B$9,Paramètres!$A$1:$I$89,3,0)*VLOOKUP('Données projet'!$B$9,Paramètres!$A$1:$I$89,5,0)</f>
        <v>305.92579333333344</v>
      </c>
      <c r="P47" s="13">
        <f t="shared" si="33"/>
        <v>72.417319636871426</v>
      </c>
      <c r="Q47" s="20">
        <f t="shared" si="53"/>
        <v>658.94758842310682</v>
      </c>
      <c r="R47" s="59">
        <f t="shared" si="0"/>
        <v>952.28092175644019</v>
      </c>
      <c r="S47" s="59">
        <f ca="1">AVERAGE(OFFSET($R$3,0,0,'Données projet'!$E$9+1,1))-AVERAGE(OFFSET($H$3,0,0,'Données projet'!$E$9+1,1))</f>
        <v>324.69474275039357</v>
      </c>
      <c r="T47" s="59">
        <f t="shared" si="34"/>
        <v>437.68177084535927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62.528309693989222</v>
      </c>
      <c r="AA47" s="21">
        <f>EXP(-LN(2)/25)*AA46+(1-EXP(-LN(2)/25))/(LN(2)/25)*Calculateur!V47*Calculateur!X47*VLOOKUP('Données projet'!$B$9,Paramètres!$A$1:$I$89,3,0)*0.475*44/12</f>
        <v>26.982026045307592</v>
      </c>
      <c r="AB47" s="21">
        <f>EXP(-LN(2)/2)*AB46+(1-EXP(-LN(2)/2))/(LN(2)/2)*V47*Y47*VLOOKUP('Données projet'!$B$9,Paramètres!$A$1:$I$89,3,0)*0.475*44/12</f>
        <v>6.5538436292905864</v>
      </c>
      <c r="AC47" s="22">
        <f t="shared" si="3"/>
        <v>96.064179368587389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>
        <f>VLOOKUP(A47,'Données projet'!$A$61:$I$81,2,0)</f>
        <v>368.73</v>
      </c>
      <c r="AG47" s="12">
        <f>VLOOKUP(A47,'Données projet'!$A$61:$I$81,9,0)</f>
        <v>16.583750000000002</v>
      </c>
      <c r="AH47" s="12">
        <f t="array" ref="AH47">INDEX(AG:AG,MIN(IF(ISNUMBER(AG47:AG243),ROW(AG47:AG243),"")))</f>
        <v>16.583750000000002</v>
      </c>
      <c r="AI47" s="13">
        <f>IF('Données projet'!$A$62&gt;35,AI46+AH47-AQ46,IF(A47&lt;'Données projet'!$A$62,$AF$205^A47,IF(A47='Données projet'!$A$62,'Données projet'!$B$62,AI46+AH47-AQ46)))</f>
        <v>368.73000000000008</v>
      </c>
      <c r="AJ47" s="13">
        <f>AI47*VLOOKUP('Données projet'!$B$10,Paramètres!$A$1:$I$89,3,0)*VLOOKUP('Données projet'!$B$10,Paramètres!$A$1:$I$89,5,0)</f>
        <v>220.50054000000006</v>
      </c>
      <c r="AK47" s="13">
        <f t="shared" si="35"/>
        <v>54.223661223229719</v>
      </c>
      <c r="AL47" s="20">
        <f t="shared" si="4"/>
        <v>478.47798379712521</v>
      </c>
      <c r="AM47" s="59">
        <f t="shared" si="5"/>
        <v>771.81131713045852</v>
      </c>
      <c r="AN47" s="59">
        <f ca="1">AVERAGE(OFFSET($AM$3,0,0,'Données projet'!$E$10+1,1))-AVERAGE(OFFSET($H$3,0,0,'Données projet'!$E$10+1,1))</f>
        <v>214.93913810439858</v>
      </c>
      <c r="AO47" s="59">
        <f t="shared" si="36"/>
        <v>210.65603079265924</v>
      </c>
      <c r="AP47" s="15">
        <f>IF(ISNA(VLOOKUP(A47,'Données projet'!$A$61:$I$81,3,0)),0,VLOOKUP(A47,'Données projet'!$A$61:$I$81,3,0))</f>
        <v>5</v>
      </c>
      <c r="AQ47" s="15">
        <f>IF(ISNA(VLOOKUP(A47,'Données projet'!$A$61:$I$81,4,0)),0,VLOOKUP(A47,'Données projet'!$A$61:$I$81,4,0))</f>
        <v>78.240000000000009</v>
      </c>
      <c r="AR47" s="16">
        <f>IF(ISNA(VLOOKUP(A47,'Données projet'!$A$61:$I$81,5,0)),0%,VLOOKUP(A47,'Données projet'!$A$61:$I$81,5,0)*VLOOKUP('Données projet'!$B$10,Paramètres!$A$1:$I$89,7,0))</f>
        <v>0.27</v>
      </c>
      <c r="AS47" s="16">
        <f>IF(ISNA(VLOOKUP(A47,'Données projet'!$A$61:$I$81,6,0)),0%,VLOOKUP(A47,'Données projet'!$A$61:$I$81,6,0)*VLOOKUP('Données projet'!$B$10,Paramètres!$A$1:$I$89,7,0))</f>
        <v>9.0000000000000011E-2</v>
      </c>
      <c r="AT47" s="16">
        <f>IF(ISNA(VLOOKUP(A47,'Données projet'!$A$61:$I$81,7,0)),0%,VLOOKUP(A47,'Données projet'!$A$61:$I$81,7,0))</f>
        <v>0.2</v>
      </c>
      <c r="AU47" s="21">
        <f>EXP(-LN(2)/35)*AU46+(1-EXP(-LN(2)/35))/(LN(2)/35)*AQ47*AR47*VLOOKUP('Données projet'!$B$10,Paramètres!$A$1:$I$89,3,0)*0.475*44/12</f>
        <v>42.92910069319899</v>
      </c>
      <c r="AV47" s="21">
        <f>EXP(-LN(2)/25)*AV46+(1-EXP(-LN(2)/25))/(LN(2)/25)*Calculateur!AQ47*Calculateur!AS47*VLOOKUP('Données projet'!$B$10,Paramètres!$A$1:$I$89,3,0)*0.475*44/12</f>
        <v>20.254834964533629</v>
      </c>
      <c r="AW47" s="21">
        <f>EXP(-LN(2)/2)*AW46+(1-EXP(-LN(2)/2))/(LN(2)/2)*AQ47*AT47*VLOOKUP('Données projet'!$B$10,Paramètres!$A$1:$I$89,3,0)*0.475*44/12</f>
        <v>11.295100864257664</v>
      </c>
      <c r="AX47" s="21">
        <f t="shared" si="6"/>
        <v>74.479036521990281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14.351250000000004</v>
      </c>
      <c r="BD47" s="12">
        <f>IF('Données projet'!$A$88&gt;35,BD46+BC47-BL46,IF(A47&lt;'Données projet'!$A$88,$BA$205^A47,IF(A47='Données projet'!$A$88,'Données projet'!$B$88,BD46+BC47-BL46)))</f>
        <v>218.61250000000004</v>
      </c>
      <c r="BE47" s="13">
        <f>BD47*VLOOKUP('Données projet'!$B$11,Paramètres!$A$1:$I$89,3,0)*VLOOKUP('Données projet'!$B$11,Paramètres!$A$1:$I$89,5,0)</f>
        <v>197.80059000000003</v>
      </c>
      <c r="BF47" s="13">
        <f t="shared" si="37"/>
        <v>49.260493336959819</v>
      </c>
      <c r="BG47" s="20">
        <f t="shared" si="7"/>
        <v>430.29805347853835</v>
      </c>
      <c r="BH47" s="59">
        <f t="shared" si="8"/>
        <v>723.63138681187161</v>
      </c>
      <c r="BI47" s="59">
        <f ca="1">AVERAGE(OFFSET($BH$3,0,0,'Données projet'!$E$11+1,1))-AVERAGE(OFFSET($H$3,0,0,'Données projet'!$E$11+1,1))</f>
        <v>507.69556381324213</v>
      </c>
      <c r="BJ47" s="59">
        <f t="shared" si="38"/>
        <v>129.52638237044044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28.365292189450564</v>
      </c>
      <c r="BR47" s="21">
        <f>EXP(-LN(2)/2)*BR46+(1-EXP(-LN(2)/2))/(LN(2)/2)*BL47*BO47*VLOOKUP('Données projet'!$B$11,Paramètres!$A$1:$I$89,3,0)*0.475*44/12</f>
        <v>5.1557267627388796</v>
      </c>
      <c r="BS47" s="22">
        <f t="shared" si="9"/>
        <v>33.521018952189443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3.3603333333333336</v>
      </c>
      <c r="BY47" s="12">
        <f>IF('Données projet'!$A$114&gt;35,BY46+BX47-CG46,IF(A47&lt;'Données projet'!$A$114,$BV$205^A47,IF(A47='Données projet'!$A$114,'Données projet'!$B$114,BY46+BX47-CG46)))</f>
        <v>147.85466666666662</v>
      </c>
      <c r="BZ47" s="13">
        <f>BY47*VLOOKUP('Données projet'!$B$12,Paramètres!$A$1:$I$89,3,0)*VLOOKUP('Données projet'!$B$12,Paramètres!$A$1:$I$89,5,0)</f>
        <v>143.00503359999996</v>
      </c>
      <c r="CA47" s="13">
        <f t="shared" si="39"/>
        <v>36.984563299617569</v>
      </c>
      <c r="CB47" s="20">
        <f t="shared" si="10"/>
        <v>313.48188126683385</v>
      </c>
      <c r="CC47" s="59">
        <f t="shared" si="11"/>
        <v>606.81521460016711</v>
      </c>
      <c r="CD47" s="59">
        <f ca="1">AVERAGE(OFFSET($CC$3,0,0,'Données projet'!$E$12+1,1))-AVERAGE(OFFSET($H$3,0,0,'Données projet'!$E$12+1,1))</f>
        <v>292.52253679467469</v>
      </c>
      <c r="CE47" s="59">
        <f t="shared" si="40"/>
        <v>155.7114133976541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>
        <f>VLOOKUP(A47,'Données projet'!$A$139:$I$159,2,0)</f>
        <v>147.43589743589743</v>
      </c>
      <c r="CR47" s="12">
        <f>VLOOKUP(A47,'Données projet'!$A$139:$I$159,9,0)</f>
        <v>7.1428571428571432</v>
      </c>
      <c r="CS47" s="12">
        <f t="array" ref="CS47">INDEX(CR:CR,MIN(IF(ISNUMBER(CR47:CR243),ROW(CR47:CR243),"")))</f>
        <v>7.1428571428571432</v>
      </c>
      <c r="CT47" s="12">
        <f>IF('Données projet'!$A$140&gt;35,CT46+CS47-DB46,IF(A47&lt;'Données projet'!$A$140,$CQ$205^A47,IF(A47='Données projet'!$A$140,'Données projet'!$B$140,CT46+CS47-DB46)))</f>
        <v>147.43589743589746</v>
      </c>
      <c r="CU47" s="17">
        <f>CT47*VLOOKUP('Données projet'!$B$13,Paramètres!$A$1:$I$89,3,0)*VLOOKUP('Données projet'!$B$13,Paramètres!$A$1:$I$89,5,0)</f>
        <v>115.00000000000003</v>
      </c>
      <c r="CV47" s="13">
        <f t="shared" si="41"/>
        <v>30.505958604729159</v>
      </c>
      <c r="CW47" s="20">
        <f t="shared" si="13"/>
        <v>253.42287790323667</v>
      </c>
      <c r="CX47" s="59">
        <f t="shared" si="14"/>
        <v>546.75621123656992</v>
      </c>
      <c r="CY47" s="59">
        <f ca="1">AVERAGE(OFFSET($CX$3,0,0,'Données projet'!$E$13+1,1))-AVERAGE(OFFSET($H$3,0,0,'Données projet'!$E$13+1,1))</f>
        <v>100.54865094989304</v>
      </c>
      <c r="CZ47" s="59">
        <f t="shared" si="42"/>
        <v>99.95654161405389</v>
      </c>
      <c r="DA47" s="15">
        <f>IF(ISNA(VLOOKUP(A47,'Données projet'!$A$139:$I$159,3,0)),0,VLOOKUP(A47,'Données projet'!$A$139:$I$159,3,0))</f>
        <v>6</v>
      </c>
      <c r="DB47" s="15">
        <f>IF(ISNA(VLOOKUP(A47,'Données projet'!$A$139:$I$159,4,0)),0,VLOOKUP(A47,'Données projet'!$A$139:$I$159,4,0))</f>
        <v>27.564102564102562</v>
      </c>
      <c r="DC47" s="16">
        <f>IF(ISNA(VLOOKUP(A47,'Données projet'!$A$139:$I$159,5,0)),0%,VLOOKUP(A47,'Données projet'!$A$139:$I$159,5,0)*VLOOKUP('Données projet'!$B$13,Paramètres!$A$1:$I$89,7,0))</f>
        <v>0.1075</v>
      </c>
      <c r="DD47" s="16">
        <f>IF(ISNA(VLOOKUP(A47,'Données projet'!$A$139:$I$159,6,0)),0%,VLOOKUP(A47,'Données projet'!$A$139:$I$159,6,0)*VLOOKUP('Données projet'!$B$13,Paramètres!$A$1:$I$89,7,0))</f>
        <v>0.1075</v>
      </c>
      <c r="DE47" s="16">
        <f>IF(ISNA(VLOOKUP(A47,'Données projet'!$A$139:$I$159,7,0)),0%,VLOOKUP(A47,'Données projet'!$A$139:$I$159,7,0))</f>
        <v>0.25</v>
      </c>
      <c r="DF47" s="21">
        <f>EXP(-LN(2)/35)*DF46+(1-EXP(-LN(2)/35))/(LN(2)/35)*DB47*DC47*VLOOKUP('Données projet'!$B$13,Paramètres!$A$1:$I$89,3,0)*0.475*44/12</f>
        <v>6.0707487300753362</v>
      </c>
      <c r="DG47" s="21">
        <f>EXP(-LN(2)/25)*DG46+(1-EXP(-LN(2)/25))/(LN(2)/25)*Calculateur!DB47*Calculateur!DD47*VLOOKUP('Données projet'!$B$13,Paramètres!$A$1:$I$89,3,0)*0.475*44/12</f>
        <v>7.5692993546198561</v>
      </c>
      <c r="DH47" s="21">
        <f>EXP(-LN(2)/2)*DH46+(1-EXP(-LN(2)/2))/(LN(2)/2)*DB47*DE47*VLOOKUP('Données projet'!$B$13,Paramètres!$A$1:$I$89,3,0)*0.475*44/12</f>
        <v>5.4987863914280251</v>
      </c>
      <c r="DI47" s="22">
        <f t="shared" si="15"/>
        <v>19.138834476123215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4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39.312000000000019</v>
      </c>
      <c r="D48" s="11">
        <f t="shared" si="32"/>
        <v>11.816108707618405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394.67311984828257</v>
      </c>
      <c r="H48" s="67">
        <f t="shared" si="1"/>
        <v>382.38145599910206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27.111666666666668</v>
      </c>
      <c r="N48" s="13">
        <f>IF('Données projet'!$A$36&gt;35,N47+M48-V47,IF(A48&lt;'Données projet'!$A$36,$K$205^A48,IF(A48='Données projet'!$A$36,'Données projet'!$B$36,N47+M48-V47)))</f>
        <v>574.38500000000022</v>
      </c>
      <c r="O48" s="13">
        <f>N48*VLOOKUP('Données projet'!$B$9,Paramètres!$A$1:$I$89,3,0)*VLOOKUP('Données projet'!$B$9,Paramètres!$A$1:$I$89,5,0)</f>
        <v>321.08121500000016</v>
      </c>
      <c r="P48" s="13">
        <f t="shared" si="33"/>
        <v>75.57827728734442</v>
      </c>
      <c r="Q48" s="20">
        <f t="shared" si="53"/>
        <v>690.84861573379169</v>
      </c>
      <c r="R48" s="59">
        <f t="shared" si="0"/>
        <v>984.18194906712506</v>
      </c>
      <c r="S48" s="59">
        <f ca="1">AVERAGE(OFFSET($R$3,0,0,'Données projet'!$E$9+1,1))-AVERAGE(OFFSET($H$3,0,0,'Données projet'!$E$9+1,1))</f>
        <v>324.69474275039357</v>
      </c>
      <c r="T48" s="59">
        <f t="shared" si="34"/>
        <v>437.68177084535927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61.302167679393143</v>
      </c>
      <c r="AA48" s="21">
        <f>EXP(-LN(2)/25)*AA47+(1-EXP(-LN(2)/25))/(LN(2)/25)*Calculateur!V48*Calculateur!X48*VLOOKUP('Données projet'!$B$9,Paramètres!$A$1:$I$89,3,0)*0.475*44/12</f>
        <v>26.244201124175575</v>
      </c>
      <c r="AB48" s="21">
        <f>EXP(-LN(2)/2)*AB47+(1-EXP(-LN(2)/2))/(LN(2)/2)*V48*Y48*VLOOKUP('Données projet'!$B$9,Paramètres!$A$1:$I$89,3,0)*0.475*44/12</f>
        <v>4.6342672731076275</v>
      </c>
      <c r="AC48" s="22">
        <f t="shared" si="3"/>
        <v>92.18063607667635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14.689999999999998</v>
      </c>
      <c r="AI48" s="13">
        <f>IF('Données projet'!$A$62&gt;35,AI47+AH48-AQ47,IF(A48&lt;'Données projet'!$A$62,$AF$205^A48,IF(A48='Données projet'!$A$62,'Données projet'!$B$62,AI47+AH48-AQ47)))</f>
        <v>305.18000000000006</v>
      </c>
      <c r="AJ48" s="13">
        <f>AI48*VLOOKUP('Données projet'!$B$10,Paramètres!$A$1:$I$89,3,0)*VLOOKUP('Données projet'!$B$10,Paramètres!$A$1:$I$89,5,0)</f>
        <v>182.49764000000005</v>
      </c>
      <c r="AK48" s="13">
        <f t="shared" si="35"/>
        <v>45.877418600848756</v>
      </c>
      <c r="AL48" s="20">
        <f t="shared" si="4"/>
        <v>397.753227063145</v>
      </c>
      <c r="AM48" s="59">
        <f t="shared" si="5"/>
        <v>691.08656039647826</v>
      </c>
      <c r="AN48" s="59">
        <f ca="1">AVERAGE(OFFSET($AM$3,0,0,'Données projet'!$E$10+1,1))-AVERAGE(OFFSET($H$3,0,0,'Données projet'!$E$10+1,1))</f>
        <v>214.93913810439858</v>
      </c>
      <c r="AO48" s="59">
        <f t="shared" si="36"/>
        <v>210.65603079265924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42.087287212771308</v>
      </c>
      <c r="AV48" s="21">
        <f>EXP(-LN(2)/25)*AV47+(1-EXP(-LN(2)/25))/(LN(2)/25)*Calculateur!AQ48*Calculateur!AS48*VLOOKUP('Données projet'!$B$10,Paramètres!$A$1:$I$89,3,0)*0.475*44/12</f>
        <v>19.700965437272981</v>
      </c>
      <c r="AW48" s="21">
        <f>EXP(-LN(2)/2)*AW47+(1-EXP(-LN(2)/2))/(LN(2)/2)*AQ48*AT48*VLOOKUP('Données projet'!$B$10,Paramètres!$A$1:$I$89,3,0)*0.475*44/12</f>
        <v>7.986842415302629</v>
      </c>
      <c r="AX48" s="21">
        <f t="shared" si="6"/>
        <v>69.775095065346918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14.351250000000004</v>
      </c>
      <c r="BD48" s="12">
        <f>IF('Données projet'!$A$88&gt;35,BD47+BC48-BL47,IF(A48&lt;'Données projet'!$A$88,$BA$205^A48,IF(A48='Données projet'!$A$88,'Données projet'!$B$88,BD47+BC48-BL47)))</f>
        <v>232.96375000000003</v>
      </c>
      <c r="BE48" s="13">
        <f>BD48*VLOOKUP('Données projet'!$B$11,Paramètres!$A$1:$I$89,3,0)*VLOOKUP('Données projet'!$B$11,Paramètres!$A$1:$I$89,5,0)</f>
        <v>210.78560100000001</v>
      </c>
      <c r="BF48" s="13">
        <f t="shared" si="37"/>
        <v>52.107221956756902</v>
      </c>
      <c r="BG48" s="20">
        <f t="shared" si="7"/>
        <v>457.87166664968487</v>
      </c>
      <c r="BH48" s="59">
        <f t="shared" si="8"/>
        <v>751.20499998301818</v>
      </c>
      <c r="BI48" s="59">
        <f ca="1">AVERAGE(OFFSET($BH$3,0,0,'Données projet'!$E$11+1,1))-AVERAGE(OFFSET($H$3,0,0,'Données projet'!$E$11+1,1))</f>
        <v>507.69556381324213</v>
      </c>
      <c r="BJ48" s="59">
        <f t="shared" si="38"/>
        <v>129.52638237044044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27.589641782864152</v>
      </c>
      <c r="BR48" s="21">
        <f>EXP(-LN(2)/2)*BR47+(1-EXP(-LN(2)/2))/(LN(2)/2)*BL48*BO48*VLOOKUP('Données projet'!$B$11,Paramètres!$A$1:$I$89,3,0)*0.475*44/12</f>
        <v>3.6456493558776284</v>
      </c>
      <c r="BS48" s="22">
        <f t="shared" si="9"/>
        <v>31.235291138741779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3.3603333333333336</v>
      </c>
      <c r="BY48" s="12">
        <f>IF('Données projet'!$A$114&gt;35,BY47+BX48-CG47,IF(A48&lt;'Données projet'!$A$114,$BV$205^A48,IF(A48='Données projet'!$A$114,'Données projet'!$B$114,BY47+BX48-CG47)))</f>
        <v>151.21499999999995</v>
      </c>
      <c r="BZ48" s="13">
        <f>BY48*VLOOKUP('Données projet'!$B$12,Paramètres!$A$1:$I$89,3,0)*VLOOKUP('Données projet'!$B$12,Paramètres!$A$1:$I$89,5,0)</f>
        <v>146.25514799999996</v>
      </c>
      <c r="CA48" s="13">
        <f t="shared" si="39"/>
        <v>37.726306373245144</v>
      </c>
      <c r="CB48" s="20">
        <f t="shared" si="10"/>
        <v>320.43436636673522</v>
      </c>
      <c r="CC48" s="59">
        <f t="shared" si="11"/>
        <v>613.76769970006853</v>
      </c>
      <c r="CD48" s="59">
        <f ca="1">AVERAGE(OFFSET($CC$3,0,0,'Données projet'!$E$12+1,1))-AVERAGE(OFFSET($H$3,0,0,'Données projet'!$E$12+1,1))</f>
        <v>292.52253679467469</v>
      </c>
      <c r="CE48" s="59">
        <f t="shared" si="40"/>
        <v>155.7114133976541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0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6.6506410256410255</v>
      </c>
      <c r="CT48" s="12">
        <f>IF('Données projet'!$A$140&gt;35,CT47+CS48-DB47,IF(A48&lt;'Données projet'!$A$140,$CQ$205^A48,IF(A48='Données projet'!$A$140,'Données projet'!$B$140,CT47+CS48-DB47)))</f>
        <v>126.52243589743591</v>
      </c>
      <c r="CU48" s="17">
        <f>CT48*VLOOKUP('Données projet'!$B$13,Paramètres!$A$1:$I$89,3,0)*VLOOKUP('Données projet'!$B$13,Paramètres!$A$1:$I$89,5,0)</f>
        <v>98.687500000000014</v>
      </c>
      <c r="CV48" s="13">
        <f t="shared" si="41"/>
        <v>26.649072495226527</v>
      </c>
      <c r="CW48" s="20">
        <f t="shared" si="13"/>
        <v>218.29453042918621</v>
      </c>
      <c r="CX48" s="59">
        <f t="shared" si="14"/>
        <v>511.6278637625195</v>
      </c>
      <c r="CY48" s="59">
        <f ca="1">AVERAGE(OFFSET($CX$3,0,0,'Données projet'!$E$13+1,1))-AVERAGE(OFFSET($H$3,0,0,'Données projet'!$E$13+1,1))</f>
        <v>100.54865094989304</v>
      </c>
      <c r="CZ48" s="59">
        <f t="shared" si="42"/>
        <v>99.95654161405389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5.9517050502696636</v>
      </c>
      <c r="DG48" s="21">
        <f>EXP(-LN(2)/25)*DG47+(1-EXP(-LN(2)/25))/(LN(2)/25)*Calculateur!DB48*Calculateur!DD48*VLOOKUP('Données projet'!$B$13,Paramètres!$A$1:$I$89,3,0)*0.475*44/12</f>
        <v>7.3623164657156233</v>
      </c>
      <c r="DH48" s="21">
        <f>EXP(-LN(2)/2)*DH47+(1-EXP(-LN(2)/2))/(LN(2)/2)*DB48*DE48*VLOOKUP('Données projet'!$B$13,Paramètres!$A$1:$I$89,3,0)*0.475*44/12</f>
        <v>3.8882291456750622</v>
      </c>
      <c r="DI48" s="22">
        <f t="shared" si="15"/>
        <v>17.202250661660351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4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40.185600000000022</v>
      </c>
      <c r="D49" s="11">
        <f t="shared" si="32"/>
        <v>12.047826945473741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403.20540098260454</v>
      </c>
      <c r="H49" s="67">
        <f t="shared" si="1"/>
        <v>384.30655193003344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27.111666666666668</v>
      </c>
      <c r="N49" s="13">
        <f>IF('Données projet'!$A$36&gt;35,N48+M49-V48,IF(A49&lt;'Données projet'!$A$36,$K$205^A49,IF(A49='Données projet'!$A$36,'Données projet'!$B$36,N48+M49-V48)))</f>
        <v>601.4966666666669</v>
      </c>
      <c r="O49" s="13">
        <f>N49*VLOOKUP('Données projet'!$B$9,Paramètres!$A$1:$I$89,3,0)*VLOOKUP('Données projet'!$B$9,Paramètres!$A$1:$I$89,5,0)</f>
        <v>336.23663666666675</v>
      </c>
      <c r="P49" s="13">
        <f t="shared" si="33"/>
        <v>78.721908767357917</v>
      </c>
      <c r="Q49" s="20">
        <f t="shared" si="53"/>
        <v>722.71946663092638</v>
      </c>
      <c r="R49" s="59">
        <f t="shared" si="0"/>
        <v>1016.0527999642597</v>
      </c>
      <c r="S49" s="59">
        <f ca="1">AVERAGE(OFFSET($R$3,0,0,'Données projet'!$E$9+1,1))-AVERAGE(OFFSET($H$3,0,0,'Données projet'!$E$9+1,1))</f>
        <v>324.69474275039357</v>
      </c>
      <c r="T49" s="59">
        <f t="shared" si="34"/>
        <v>437.68177084535927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60.100069561830509</v>
      </c>
      <c r="AA49" s="21">
        <f>EXP(-LN(2)/25)*AA48+(1-EXP(-LN(2)/25))/(LN(2)/25)*Calculateur!V49*Calculateur!X49*VLOOKUP('Données projet'!$B$9,Paramètres!$A$1:$I$89,3,0)*0.475*44/12</f>
        <v>25.52655206431244</v>
      </c>
      <c r="AB49" s="21">
        <f>EXP(-LN(2)/2)*AB48+(1-EXP(-LN(2)/2))/(LN(2)/2)*V49*Y49*VLOOKUP('Données projet'!$B$9,Paramètres!$A$1:$I$89,3,0)*0.475*44/12</f>
        <v>3.2769218146452936</v>
      </c>
      <c r="AC49" s="22">
        <f t="shared" si="3"/>
        <v>88.903543440788241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14.689999999999998</v>
      </c>
      <c r="AI49" s="13">
        <f>IF('Données projet'!$A$62&gt;35,AI48+AH49-AQ48,IF(A49&lt;'Données projet'!$A$62,$AF$205^A49,IF(A49='Données projet'!$A$62,'Données projet'!$B$62,AI48+AH49-AQ48)))</f>
        <v>319.87000000000006</v>
      </c>
      <c r="AJ49" s="13">
        <f>AI49*VLOOKUP('Données projet'!$B$10,Paramètres!$A$1:$I$89,3,0)*VLOOKUP('Données projet'!$B$10,Paramètres!$A$1:$I$89,5,0)</f>
        <v>191.28226000000004</v>
      </c>
      <c r="AK49" s="13">
        <f t="shared" si="35"/>
        <v>47.823331262073218</v>
      </c>
      <c r="AL49" s="20">
        <f t="shared" si="4"/>
        <v>416.44223811477758</v>
      </c>
      <c r="AM49" s="59">
        <f t="shared" si="5"/>
        <v>709.7755714481109</v>
      </c>
      <c r="AN49" s="59">
        <f ca="1">AVERAGE(OFFSET($AM$3,0,0,'Données projet'!$E$10+1,1))-AVERAGE(OFFSET($H$3,0,0,'Données projet'!$E$10+1,1))</f>
        <v>214.93913810439858</v>
      </c>
      <c r="AO49" s="59">
        <f t="shared" si="36"/>
        <v>210.65603079265924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41.261981181239292</v>
      </c>
      <c r="AV49" s="21">
        <f>EXP(-LN(2)/25)*AV48+(1-EXP(-LN(2)/25))/(LN(2)/25)*Calculateur!AQ49*Calculateur!AS49*VLOOKUP('Données projet'!$B$10,Paramètres!$A$1:$I$89,3,0)*0.475*44/12</f>
        <v>19.162241501362004</v>
      </c>
      <c r="AW49" s="21">
        <f>EXP(-LN(2)/2)*AW48+(1-EXP(-LN(2)/2))/(LN(2)/2)*AQ49*AT49*VLOOKUP('Données projet'!$B$10,Paramètres!$A$1:$I$89,3,0)*0.475*44/12</f>
        <v>5.647550432128833</v>
      </c>
      <c r="AX49" s="21">
        <f t="shared" si="6"/>
        <v>66.071773114730135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14.351250000000004</v>
      </c>
      <c r="BD49" s="12">
        <f>IF('Données projet'!$A$88&gt;35,BD48+BC49-BL48,IF(A49&lt;'Données projet'!$A$88,$BA$205^A49,IF(A49='Données projet'!$A$88,'Données projet'!$B$88,BD48+BC49-BL48)))</f>
        <v>247.31500000000003</v>
      </c>
      <c r="BE49" s="13">
        <f>BD49*VLOOKUP('Données projet'!$B$11,Paramètres!$A$1:$I$89,3,0)*VLOOKUP('Données projet'!$B$11,Paramètres!$A$1:$I$89,5,0)</f>
        <v>223.770612</v>
      </c>
      <c r="BF49" s="13">
        <f t="shared" si="37"/>
        <v>54.933597302380846</v>
      </c>
      <c r="BG49" s="20">
        <f t="shared" si="7"/>
        <v>485.40983120164657</v>
      </c>
      <c r="BH49" s="59">
        <f t="shared" si="8"/>
        <v>778.74316453497988</v>
      </c>
      <c r="BI49" s="59">
        <f ca="1">AVERAGE(OFFSET($BH$3,0,0,'Données projet'!$E$11+1,1))-AVERAGE(OFFSET($H$3,0,0,'Données projet'!$E$11+1,1))</f>
        <v>507.69556381324213</v>
      </c>
      <c r="BJ49" s="59">
        <f t="shared" si="38"/>
        <v>129.52638237044044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26.835201577435527</v>
      </c>
      <c r="BR49" s="21">
        <f>EXP(-LN(2)/2)*BR48+(1-EXP(-LN(2)/2))/(LN(2)/2)*BL49*BO49*VLOOKUP('Données projet'!$B$11,Paramètres!$A$1:$I$89,3,0)*0.475*44/12</f>
        <v>2.5778633813694403</v>
      </c>
      <c r="BS49" s="22">
        <f t="shared" si="9"/>
        <v>29.413064958804966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3.3603333333333336</v>
      </c>
      <c r="BY49" s="12">
        <f>IF('Données projet'!$A$114&gt;35,BY48+BX49-CG48,IF(A49&lt;'Données projet'!$A$114,$BV$205^A49,IF(A49='Données projet'!$A$114,'Données projet'!$B$114,BY48+BX49-CG48)))</f>
        <v>154.57533333333328</v>
      </c>
      <c r="BZ49" s="13">
        <f>BY49*VLOOKUP('Données projet'!$B$12,Paramètres!$A$1:$I$89,3,0)*VLOOKUP('Données projet'!$B$12,Paramètres!$A$1:$I$89,5,0)</f>
        <v>149.50526239999994</v>
      </c>
      <c r="CA49" s="13">
        <f t="shared" si="39"/>
        <v>38.466133117388303</v>
      </c>
      <c r="CB49" s="20">
        <f t="shared" si="10"/>
        <v>327.38351385945117</v>
      </c>
      <c r="CC49" s="59">
        <f t="shared" si="11"/>
        <v>620.71684719278448</v>
      </c>
      <c r="CD49" s="59">
        <f ca="1">AVERAGE(OFFSET($CC$3,0,0,'Données projet'!$E$12+1,1))-AVERAGE(OFFSET($H$3,0,0,'Données projet'!$E$12+1,1))</f>
        <v>292.52253679467469</v>
      </c>
      <c r="CE49" s="59">
        <f t="shared" si="40"/>
        <v>155.7114133976541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0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6.6506410256410255</v>
      </c>
      <c r="CT49" s="12">
        <f>IF('Données projet'!$A$140&gt;35,CT48+CS49-DB48,IF(A49&lt;'Données projet'!$A$140,$CQ$205^A49,IF(A49='Données projet'!$A$140,'Données projet'!$B$140,CT48+CS49-DB48)))</f>
        <v>133.17307692307693</v>
      </c>
      <c r="CU49" s="17">
        <f>CT49*VLOOKUP('Données projet'!$B$13,Paramètres!$A$1:$I$89,3,0)*VLOOKUP('Données projet'!$B$13,Paramètres!$A$1:$I$89,5,0)</f>
        <v>103.87500000000001</v>
      </c>
      <c r="CV49" s="13">
        <f t="shared" si="41"/>
        <v>27.883110316110333</v>
      </c>
      <c r="CW49" s="20">
        <f t="shared" si="13"/>
        <v>229.47870880055882</v>
      </c>
      <c r="CX49" s="59">
        <f t="shared" si="14"/>
        <v>522.81204213389219</v>
      </c>
      <c r="CY49" s="59">
        <f ca="1">AVERAGE(OFFSET($CX$3,0,0,'Données projet'!$E$13+1,1))-AVERAGE(OFFSET($H$3,0,0,'Données projet'!$E$13+1,1))</f>
        <v>100.54865094989304</v>
      </c>
      <c r="CZ49" s="59">
        <f t="shared" si="42"/>
        <v>99.95654161405389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5.8349957444155054</v>
      </c>
      <c r="DG49" s="21">
        <f>EXP(-LN(2)/25)*DG48+(1-EXP(-LN(2)/25))/(LN(2)/25)*Calculateur!DB49*Calculateur!DD49*VLOOKUP('Données projet'!$B$13,Paramètres!$A$1:$I$89,3,0)*0.475*44/12</f>
        <v>7.1609935347932332</v>
      </c>
      <c r="DH49" s="21">
        <f>EXP(-LN(2)/2)*DH48+(1-EXP(-LN(2)/2))/(LN(2)/2)*DB49*DE49*VLOOKUP('Données projet'!$B$13,Paramètres!$A$1:$I$89,3,0)*0.475*44/12</f>
        <v>2.749393195714013</v>
      </c>
      <c r="DI49" s="22">
        <f t="shared" si="15"/>
        <v>15.745382474922753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4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41.059200000000025</v>
      </c>
      <c r="D50" s="11">
        <f t="shared" si="32"/>
        <v>12.278959527914754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411.73316126811415</v>
      </c>
      <c r="H50" s="67">
        <f t="shared" si="1"/>
        <v>386.23062784445153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27.111666666666668</v>
      </c>
      <c r="N50" s="13">
        <f>IF('Données projet'!$A$36&gt;35,N49+M50-V49,IF(A50&lt;'Données projet'!$A$36,$K$205^A50,IF(A50='Données projet'!$A$36,'Données projet'!$B$36,N49+M50-V49)))</f>
        <v>628.60833333333358</v>
      </c>
      <c r="O50" s="13">
        <f>N50*VLOOKUP('Données projet'!$B$9,Paramètres!$A$1:$I$89,3,0)*VLOOKUP('Données projet'!$B$9,Paramètres!$A$1:$I$89,5,0)</f>
        <v>351.39205833333347</v>
      </c>
      <c r="P50" s="13">
        <f t="shared" si="33"/>
        <v>81.849084253039365</v>
      </c>
      <c r="Q50" s="20">
        <f t="shared" si="53"/>
        <v>754.56165667126595</v>
      </c>
      <c r="R50" s="59">
        <f t="shared" si="0"/>
        <v>1047.8949900045993</v>
      </c>
      <c r="S50" s="59">
        <f ca="1">AVERAGE(OFFSET($R$3,0,0,'Données projet'!$E$9+1,1))-AVERAGE(OFFSET($H$3,0,0,'Données projet'!$E$9+1,1))</f>
        <v>324.69474275039357</v>
      </c>
      <c r="T50" s="59">
        <f t="shared" si="34"/>
        <v>437.68177084535927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58.921543855145828</v>
      </c>
      <c r="AA50" s="21">
        <f>EXP(-LN(2)/25)*AA49+(1-EXP(-LN(2)/25))/(LN(2)/25)*Calculateur!V50*Calculateur!X50*VLOOKUP('Données projet'!$B$9,Paramètres!$A$1:$I$89,3,0)*0.475*44/12</f>
        <v>24.828527155730786</v>
      </c>
      <c r="AB50" s="21">
        <f>EXP(-LN(2)/2)*AB49+(1-EXP(-LN(2)/2))/(LN(2)/2)*V50*Y50*VLOOKUP('Données projet'!$B$9,Paramètres!$A$1:$I$89,3,0)*0.475*44/12</f>
        <v>2.3171336365538142</v>
      </c>
      <c r="AC50" s="22">
        <f t="shared" si="3"/>
        <v>86.06720464743043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14.689999999999998</v>
      </c>
      <c r="AI50" s="13">
        <f>IF('Données projet'!$A$62&gt;35,AI49+AH50-AQ49,IF(A50&lt;'Données projet'!$A$62,$AF$205^A50,IF(A50='Données projet'!$A$62,'Données projet'!$B$62,AI49+AH50-AQ49)))</f>
        <v>334.56000000000006</v>
      </c>
      <c r="AJ50" s="13">
        <f>AI50*VLOOKUP('Données projet'!$B$10,Paramètres!$A$1:$I$89,3,0)*VLOOKUP('Données projet'!$B$10,Paramètres!$A$1:$I$89,5,0)</f>
        <v>200.06688000000005</v>
      </c>
      <c r="AK50" s="13">
        <f t="shared" si="35"/>
        <v>49.758865639104997</v>
      </c>
      <c r="AL50" s="20">
        <f t="shared" si="4"/>
        <v>435.11317365477458</v>
      </c>
      <c r="AM50" s="59">
        <f t="shared" si="5"/>
        <v>728.4465069881079</v>
      </c>
      <c r="AN50" s="59">
        <f ca="1">AVERAGE(OFFSET($AM$3,0,0,'Données projet'!$E$10+1,1))-AVERAGE(OFFSET($H$3,0,0,'Données projet'!$E$10+1,1))</f>
        <v>214.93913810439858</v>
      </c>
      <c r="AO50" s="59">
        <f t="shared" si="36"/>
        <v>210.65603079265924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40.452858897598645</v>
      </c>
      <c r="AV50" s="21">
        <f>EXP(-LN(2)/25)*AV49+(1-EXP(-LN(2)/25))/(LN(2)/25)*Calculateur!AQ50*Calculateur!AS50*VLOOKUP('Données projet'!$B$10,Paramètres!$A$1:$I$89,3,0)*0.475*44/12</f>
        <v>18.638248999808777</v>
      </c>
      <c r="AW50" s="21">
        <f>EXP(-LN(2)/2)*AW49+(1-EXP(-LN(2)/2))/(LN(2)/2)*AQ50*AT50*VLOOKUP('Données projet'!$B$10,Paramètres!$A$1:$I$89,3,0)*0.475*44/12</f>
        <v>3.9934212076513149</v>
      </c>
      <c r="AX50" s="21">
        <f t="shared" si="6"/>
        <v>63.084529105058742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14.351250000000004</v>
      </c>
      <c r="BD50" s="12">
        <f>IF('Données projet'!$A$88&gt;35,BD49+BC50-BL49,IF(A50&lt;'Données projet'!$A$88,$BA$205^A50,IF(A50='Données projet'!$A$88,'Données projet'!$B$88,BD49+BC50-BL49)))</f>
        <v>261.66625000000005</v>
      </c>
      <c r="BE50" s="13">
        <f>BD50*VLOOKUP('Données projet'!$B$11,Paramètres!$A$1:$I$89,3,0)*VLOOKUP('Données projet'!$B$11,Paramètres!$A$1:$I$89,5,0)</f>
        <v>236.75562300000004</v>
      </c>
      <c r="BF50" s="13">
        <f t="shared" si="37"/>
        <v>57.740934989627185</v>
      </c>
      <c r="BG50" s="20">
        <f t="shared" si="7"/>
        <v>512.91483849860072</v>
      </c>
      <c r="BH50" s="59">
        <f t="shared" si="8"/>
        <v>806.24817183193409</v>
      </c>
      <c r="BI50" s="59">
        <f ca="1">AVERAGE(OFFSET($BH$3,0,0,'Données projet'!$E$11+1,1))-AVERAGE(OFFSET($H$3,0,0,'Données projet'!$E$11+1,1))</f>
        <v>507.69556381324213</v>
      </c>
      <c r="BJ50" s="59">
        <f t="shared" si="38"/>
        <v>129.52638237044044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26.101391579098635</v>
      </c>
      <c r="BR50" s="21">
        <f>EXP(-LN(2)/2)*BR49+(1-EXP(-LN(2)/2))/(LN(2)/2)*BL50*BO50*VLOOKUP('Données projet'!$B$11,Paramètres!$A$1:$I$89,3,0)*0.475*44/12</f>
        <v>1.8228246779388144</v>
      </c>
      <c r="BS50" s="22">
        <f t="shared" si="9"/>
        <v>27.92421625703745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3.3603333333333336</v>
      </c>
      <c r="BY50" s="12">
        <f>IF('Données projet'!$A$114&gt;35,BY49+BX50-CG49,IF(A50&lt;'Données projet'!$A$114,$BV$205^A50,IF(A50='Données projet'!$A$114,'Données projet'!$B$114,BY49+BX50-CG49)))</f>
        <v>157.93566666666661</v>
      </c>
      <c r="BZ50" s="13">
        <f>BY50*VLOOKUP('Données projet'!$B$12,Paramètres!$A$1:$I$89,3,0)*VLOOKUP('Données projet'!$B$12,Paramètres!$A$1:$I$89,5,0)</f>
        <v>152.75537679999994</v>
      </c>
      <c r="CA50" s="13">
        <f t="shared" si="39"/>
        <v>39.204089989127873</v>
      </c>
      <c r="CB50" s="20">
        <f t="shared" si="10"/>
        <v>334.32940465773095</v>
      </c>
      <c r="CC50" s="59">
        <f t="shared" si="11"/>
        <v>627.6627379910642</v>
      </c>
      <c r="CD50" s="59">
        <f ca="1">AVERAGE(OFFSET($CC$3,0,0,'Données projet'!$E$12+1,1))-AVERAGE(OFFSET($H$3,0,0,'Données projet'!$E$12+1,1))</f>
        <v>292.52253679467469</v>
      </c>
      <c r="CE50" s="59">
        <f t="shared" si="40"/>
        <v>155.7114133976541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0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6.6506410256410255</v>
      </c>
      <c r="CT50" s="12">
        <f>IF('Données projet'!$A$140&gt;35,CT49+CS50-DB49,IF(A50&lt;'Données projet'!$A$140,$CQ$205^A50,IF(A50='Données projet'!$A$140,'Données projet'!$B$140,CT49+CS50-DB49)))</f>
        <v>139.82371794871796</v>
      </c>
      <c r="CU50" s="17">
        <f>CT50*VLOOKUP('Données projet'!$B$13,Paramètres!$A$1:$I$89,3,0)*VLOOKUP('Données projet'!$B$13,Paramètres!$A$1:$I$89,5,0)</f>
        <v>109.06250000000001</v>
      </c>
      <c r="CV50" s="13">
        <f t="shared" si="41"/>
        <v>29.10999234861896</v>
      </c>
      <c r="CW50" s="20">
        <f t="shared" si="13"/>
        <v>240.6504241738447</v>
      </c>
      <c r="CX50" s="59">
        <f t="shared" si="14"/>
        <v>533.98375750717798</v>
      </c>
      <c r="CY50" s="59">
        <f ca="1">AVERAGE(OFFSET($CX$3,0,0,'Données projet'!$E$13+1,1))-AVERAGE(OFFSET($H$3,0,0,'Données projet'!$E$13+1,1))</f>
        <v>100.54865094989304</v>
      </c>
      <c r="CZ50" s="59">
        <f t="shared" si="42"/>
        <v>99.95654161405389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5.7205750368635</v>
      </c>
      <c r="DG50" s="21">
        <f>EXP(-LN(2)/25)*DG49+(1-EXP(-LN(2)/25))/(LN(2)/25)*Calculateur!DB50*Calculateur!DD50*VLOOKUP('Données projet'!$B$13,Paramètres!$A$1:$I$89,3,0)*0.475*44/12</f>
        <v>6.9651757900040288</v>
      </c>
      <c r="DH50" s="21">
        <f>EXP(-LN(2)/2)*DH49+(1-EXP(-LN(2)/2))/(LN(2)/2)*DB50*DE50*VLOOKUP('Données projet'!$B$13,Paramètres!$A$1:$I$89,3,0)*0.475*44/12</f>
        <v>1.9441145728375313</v>
      </c>
      <c r="DI50" s="22">
        <f t="shared" si="15"/>
        <v>14.629865399705061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4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41.932800000000029</v>
      </c>
      <c r="D51" s="11">
        <f t="shared" si="32"/>
        <v>12.50952035103195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420.25650797287852</v>
      </c>
      <c r="H51" s="67">
        <f t="shared" si="1"/>
        <v>388.15370794471403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655.72</v>
      </c>
      <c r="L51" s="12">
        <f>VLOOKUP(A51,'Données projet'!$A$35:$I$55,9,0)</f>
        <v>27.111666666666668</v>
      </c>
      <c r="M51" s="12">
        <f t="array" ref="M51">INDEX(L:L,MIN(IF(ISNUMBER(L51:L247),ROW(L51:L247),"")))</f>
        <v>27.111666666666668</v>
      </c>
      <c r="N51" s="13">
        <f>IF('Données projet'!$A$36&gt;35,N50+M51-V50,IF(A51&lt;'Données projet'!$A$36,$K$205^A51,IF(A51='Données projet'!$A$36,'Données projet'!$B$36,N50+M51-V50)))</f>
        <v>655.72000000000025</v>
      </c>
      <c r="O51" s="13">
        <f>N51*VLOOKUP('Données projet'!$B$9,Paramètres!$A$1:$I$89,3,0)*VLOOKUP('Données projet'!$B$9,Paramètres!$A$1:$I$89,5,0)</f>
        <v>366.54748000000012</v>
      </c>
      <c r="P51" s="13">
        <f t="shared" si="33"/>
        <v>84.960594614663748</v>
      </c>
      <c r="Q51" s="20">
        <f t="shared" si="53"/>
        <v>786.3765632872063</v>
      </c>
      <c r="R51" s="59">
        <f t="shared" si="0"/>
        <v>1079.7098966205397</v>
      </c>
      <c r="S51" s="59">
        <f ca="1">AVERAGE(OFFSET($R$3,0,0,'Données projet'!$E$9+1,1))-AVERAGE(OFFSET($H$3,0,0,'Données projet'!$E$9+1,1))</f>
        <v>324.69474275039357</v>
      </c>
      <c r="T51" s="59">
        <f t="shared" si="34"/>
        <v>437.68177084535927</v>
      </c>
      <c r="U51" s="15">
        <f>IF(ISNA(VLOOKUP(A51,'Données projet'!$A$35:$I$55,3,0)),0,VLOOKUP(A51,'Données projet'!$A$35:$I$55,3,0))</f>
        <v>6</v>
      </c>
      <c r="V51" s="15">
        <f>IF(ISNA(VLOOKUP(A51,'Données projet'!$A$35:$I$55,4,0)),0,VLOOKUP(A51,'Données projet'!$A$35:$I$55,4,0))</f>
        <v>101.43000000000006</v>
      </c>
      <c r="W51" s="16">
        <f>IF(ISNA(VLOOKUP(A51,'Données projet'!$A$35:$I$55,5,0)),0%,VLOOKUP(A51,'Données projet'!$A$35:$I$55,5,0)*VLOOKUP('Données projet'!$B$9,Paramètres!$A$1:$I$89,7,0))</f>
        <v>0.33</v>
      </c>
      <c r="X51" s="16">
        <f>IF(ISNA(VLOOKUP(A51,'Données projet'!$A$35:$I$55,6,0)),0%,VLOOKUP(A51,'Données projet'!$A$35:$I$55,6,0)*VLOOKUP('Données projet'!$B$9,Paramètres!$A$1:$I$89,7,0))</f>
        <v>0.11000000000000001</v>
      </c>
      <c r="Y51" s="16">
        <f>IF(ISNA(VLOOKUP(A51,'Données projet'!$A$35:$I$55,7,0)),0%,VLOOKUP(A51,'Données projet'!$A$35:$I$55,7,0))</f>
        <v>0.2</v>
      </c>
      <c r="Z51" s="21">
        <f>EXP(-LN(2)/35)*Z50+(1-EXP(-LN(2)/35))/(LN(2)/35)*V51*W51*VLOOKUP('Données projet'!$B$9,Paramètres!$A$1:$I$89,3,0)*0.475*44/12</f>
        <v>82.587200051718497</v>
      </c>
      <c r="AA51" s="21">
        <f>EXP(-LN(2)/25)*AA50+(1-EXP(-LN(2)/25))/(LN(2)/25)*Calculateur!V51*Calculateur!X51*VLOOKUP('Données projet'!$B$9,Paramètres!$A$1:$I$89,3,0)*0.475*44/12</f>
        <v>32.390703680313976</v>
      </c>
      <c r="AB51" s="21">
        <f>EXP(-LN(2)/2)*AB50+(1-EXP(-LN(2)/2))/(LN(2)/2)*V51*Y51*VLOOKUP('Données projet'!$B$9,Paramètres!$A$1:$I$89,3,0)*0.475*44/12</f>
        <v>14.47783250000329</v>
      </c>
      <c r="AC51" s="22">
        <f t="shared" si="3"/>
        <v>129.45573623203578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14.689999999999998</v>
      </c>
      <c r="AI51" s="13">
        <f>IF('Données projet'!$A$62&gt;35,AI50+AH51-AQ50,IF(A51&lt;'Données projet'!$A$62,$AF$205^A51,IF(A51='Données projet'!$A$62,'Données projet'!$B$62,AI50+AH51-AQ50)))</f>
        <v>349.25000000000006</v>
      </c>
      <c r="AJ51" s="13">
        <f>AI51*VLOOKUP('Données projet'!$B$10,Paramètres!$A$1:$I$89,3,0)*VLOOKUP('Données projet'!$B$10,Paramètres!$A$1:$I$89,5,0)</f>
        <v>208.85150000000004</v>
      </c>
      <c r="AK51" s="13">
        <f t="shared" si="35"/>
        <v>51.684529504057373</v>
      </c>
      <c r="AL51" s="20">
        <f t="shared" si="4"/>
        <v>453.76691805289994</v>
      </c>
      <c r="AM51" s="59">
        <f t="shared" si="5"/>
        <v>747.10025138623325</v>
      </c>
      <c r="AN51" s="59">
        <f ca="1">AVERAGE(OFFSET($AM$3,0,0,'Données projet'!$E$10+1,1))-AVERAGE(OFFSET($H$3,0,0,'Données projet'!$E$10+1,1))</f>
        <v>214.93913810439858</v>
      </c>
      <c r="AO51" s="59">
        <f t="shared" si="36"/>
        <v>210.65603079265924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39.659603008424327</v>
      </c>
      <c r="AV51" s="21">
        <f>EXP(-LN(2)/25)*AV50+(1-EXP(-LN(2)/25))/(LN(2)/25)*Calculateur!AQ51*Calculateur!AS51*VLOOKUP('Données projet'!$B$10,Paramètres!$A$1:$I$89,3,0)*0.475*44/12</f>
        <v>18.128585100766088</v>
      </c>
      <c r="AW51" s="21">
        <f>EXP(-LN(2)/2)*AW50+(1-EXP(-LN(2)/2))/(LN(2)/2)*AQ51*AT51*VLOOKUP('Données projet'!$B$10,Paramètres!$A$1:$I$89,3,0)*0.475*44/12</f>
        <v>2.8237752160644169</v>
      </c>
      <c r="AX51" s="21">
        <f t="shared" si="6"/>
        <v>60.611963325254834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14.351250000000004</v>
      </c>
      <c r="BD51" s="12">
        <f>IF('Données projet'!$A$88&gt;35,BD50+BC51-BL50,IF(A51&lt;'Données projet'!$A$88,$BA$205^A51,IF(A51='Données projet'!$A$88,'Données projet'!$B$88,BD50+BC51-BL50)))</f>
        <v>276.01750000000004</v>
      </c>
      <c r="BE51" s="13">
        <f>BD51*VLOOKUP('Données projet'!$B$11,Paramètres!$A$1:$I$89,3,0)*VLOOKUP('Données projet'!$B$11,Paramètres!$A$1:$I$89,5,0)</f>
        <v>249.74063400000006</v>
      </c>
      <c r="BF51" s="13">
        <f t="shared" si="37"/>
        <v>60.530398172289644</v>
      </c>
      <c r="BG51" s="20">
        <f t="shared" si="7"/>
        <v>540.38871436673799</v>
      </c>
      <c r="BH51" s="59">
        <f t="shared" si="8"/>
        <v>833.72204770007124</v>
      </c>
      <c r="BI51" s="59">
        <f ca="1">AVERAGE(OFFSET($BH$3,0,0,'Données projet'!$E$11+1,1))-AVERAGE(OFFSET($H$3,0,0,'Données projet'!$E$11+1,1))</f>
        <v>507.69556381324213</v>
      </c>
      <c r="BJ51" s="59">
        <f t="shared" si="38"/>
        <v>129.52638237044044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25.387647653755657</v>
      </c>
      <c r="BR51" s="21">
        <f>EXP(-LN(2)/2)*BR50+(1-EXP(-LN(2)/2))/(LN(2)/2)*BL51*BO51*VLOOKUP('Données projet'!$B$11,Paramètres!$A$1:$I$89,3,0)*0.475*44/12</f>
        <v>1.2889316906847204</v>
      </c>
      <c r="BS51" s="22">
        <f t="shared" si="9"/>
        <v>26.676579344440377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3.3603333333333336</v>
      </c>
      <c r="BY51" s="12">
        <f>IF('Données projet'!$A$114&gt;35,BY50+BX51-CG50,IF(A51&lt;'Données projet'!$A$114,$BV$205^A51,IF(A51='Données projet'!$A$114,'Données projet'!$B$114,BY50+BX51-CG50)))</f>
        <v>161.29599999999994</v>
      </c>
      <c r="BZ51" s="13">
        <f>BY51*VLOOKUP('Données projet'!$B$12,Paramètres!$A$1:$I$89,3,0)*VLOOKUP('Données projet'!$B$12,Paramètres!$A$1:$I$89,5,0)</f>
        <v>156.00549119999997</v>
      </c>
      <c r="CA51" s="13">
        <f t="shared" si="39"/>
        <v>39.940221355707003</v>
      </c>
      <c r="CB51" s="20">
        <f t="shared" si="10"/>
        <v>341.27211603452292</v>
      </c>
      <c r="CC51" s="59">
        <f t="shared" si="11"/>
        <v>634.60544936785618</v>
      </c>
      <c r="CD51" s="59">
        <f ca="1">AVERAGE(OFFSET($CC$3,0,0,'Données projet'!$E$12+1,1))-AVERAGE(OFFSET($H$3,0,0,'Données projet'!$E$12+1,1))</f>
        <v>292.52253679467469</v>
      </c>
      <c r="CE51" s="59">
        <f t="shared" si="40"/>
        <v>155.7114133976541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0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6.6506410256410255</v>
      </c>
      <c r="CT51" s="12">
        <f>IF('Données projet'!$A$140&gt;35,CT50+CS51-DB50,IF(A51&lt;'Données projet'!$A$140,$CQ$205^A51,IF(A51='Données projet'!$A$140,'Données projet'!$B$140,CT50+CS51-DB50)))</f>
        <v>146.47435897435898</v>
      </c>
      <c r="CU51" s="17">
        <f>CT51*VLOOKUP('Données projet'!$B$13,Paramètres!$A$1:$I$89,3,0)*VLOOKUP('Données projet'!$B$13,Paramètres!$A$1:$I$89,5,0)</f>
        <v>114.25</v>
      </c>
      <c r="CV51" s="13">
        <f t="shared" si="41"/>
        <v>30.330097814653229</v>
      </c>
      <c r="CW51" s="20">
        <f t="shared" si="13"/>
        <v>251.81033702718767</v>
      </c>
      <c r="CX51" s="59">
        <f t="shared" si="14"/>
        <v>545.14367036052101</v>
      </c>
      <c r="CY51" s="59">
        <f ca="1">AVERAGE(OFFSET($CX$3,0,0,'Données projet'!$E$13+1,1))-AVERAGE(OFFSET($H$3,0,0,'Données projet'!$E$13+1,1))</f>
        <v>100.54865094989304</v>
      </c>
      <c r="CZ51" s="59">
        <f t="shared" si="42"/>
        <v>99.95654161405389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5.6083980495968486</v>
      </c>
      <c r="DG51" s="21">
        <f>EXP(-LN(2)/25)*DG50+(1-EXP(-LN(2)/25))/(LN(2)/25)*Calculateur!DB51*Calculateur!DD51*VLOOKUP('Données projet'!$B$13,Paramètres!$A$1:$I$89,3,0)*0.475*44/12</f>
        <v>6.7747126917436926</v>
      </c>
      <c r="DH51" s="21">
        <f>EXP(-LN(2)/2)*DH50+(1-EXP(-LN(2)/2))/(LN(2)/2)*DB51*DE51*VLOOKUP('Données projet'!$B$13,Paramètres!$A$1:$I$89,3,0)*0.475*44/12</f>
        <v>1.3746965978570067</v>
      </c>
      <c r="DI51" s="22">
        <f t="shared" si="15"/>
        <v>13.757807339197548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4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42.806400000000032</v>
      </c>
      <c r="D52" s="11">
        <f t="shared" si="32"/>
        <v>12.739522698823436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428.77554364004078</v>
      </c>
      <c r="H52" s="67">
        <f t="shared" si="1"/>
        <v>390.07581536711751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25.72000000000001</v>
      </c>
      <c r="N52" s="13">
        <f>IF('Données projet'!$A$36&gt;35,N51+M52-V51,IF(A52&lt;'Données projet'!$A$36,$K$205^A52,IF(A52='Données projet'!$A$36,'Données projet'!$B$36,N51+M52-V51)))</f>
        <v>580.01000000000022</v>
      </c>
      <c r="O52" s="13">
        <f>N52*VLOOKUP('Données projet'!$B$9,Paramètres!$A$1:$I$89,3,0)*VLOOKUP('Données projet'!$B$9,Paramètres!$A$1:$I$89,5,0)</f>
        <v>324.22559000000012</v>
      </c>
      <c r="P52" s="13">
        <f t="shared" si="33"/>
        <v>76.231897434877695</v>
      </c>
      <c r="Q52" s="20">
        <f t="shared" si="53"/>
        <v>697.46345728241215</v>
      </c>
      <c r="R52" s="59">
        <f t="shared" si="0"/>
        <v>990.79679061574552</v>
      </c>
      <c r="S52" s="59">
        <f ca="1">AVERAGE(OFFSET($R$3,0,0,'Données projet'!$E$9+1,1))-AVERAGE(OFFSET($H$3,0,0,'Données projet'!$E$9+1,1))</f>
        <v>324.69474275039357</v>
      </c>
      <c r="T52" s="59">
        <f t="shared" si="34"/>
        <v>437.68177084535927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80.967715431922386</v>
      </c>
      <c r="AA52" s="21">
        <f>EXP(-LN(2)/25)*AA51+(1-EXP(-LN(2)/25))/(LN(2)/25)*Calculateur!V52*Calculateur!X52*VLOOKUP('Données projet'!$B$9,Paramètres!$A$1:$I$89,3,0)*0.475*44/12</f>
        <v>31.504978184822715</v>
      </c>
      <c r="AB52" s="21">
        <f>EXP(-LN(2)/2)*AB51+(1-EXP(-LN(2)/2))/(LN(2)/2)*V52*Y52*VLOOKUP('Données projet'!$B$9,Paramètres!$A$1:$I$89,3,0)*0.475*44/12</f>
        <v>10.237373537635314</v>
      </c>
      <c r="AC52" s="22">
        <f t="shared" si="3"/>
        <v>122.71006715438043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14.689999999999998</v>
      </c>
      <c r="AI52" s="13">
        <f>IF('Données projet'!$A$62&gt;35,AI51+AH52-AQ51,IF(A52&lt;'Données projet'!$A$62,$AF$205^A52,IF(A52='Données projet'!$A$62,'Données projet'!$B$62,AI51+AH52-AQ51)))</f>
        <v>363.94000000000005</v>
      </c>
      <c r="AJ52" s="13">
        <f>AI52*VLOOKUP('Données projet'!$B$10,Paramètres!$A$1:$I$89,3,0)*VLOOKUP('Données projet'!$B$10,Paramètres!$A$1:$I$89,5,0)</f>
        <v>217.63612000000003</v>
      </c>
      <c r="AK52" s="13">
        <f t="shared" si="35"/>
        <v>53.600785497261654</v>
      </c>
      <c r="AL52" s="20">
        <f t="shared" si="4"/>
        <v>472.40427707439738</v>
      </c>
      <c r="AM52" s="59">
        <f t="shared" si="5"/>
        <v>765.7376104077307</v>
      </c>
      <c r="AN52" s="59">
        <f ca="1">AVERAGE(OFFSET($AM$3,0,0,'Données projet'!$E$10+1,1))-AVERAGE(OFFSET($H$3,0,0,'Données projet'!$E$10+1,1))</f>
        <v>214.93913810439858</v>
      </c>
      <c r="AO52" s="59">
        <f t="shared" si="36"/>
        <v>210.65603079265924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38.881902383398398</v>
      </c>
      <c r="AV52" s="21">
        <f>EXP(-LN(2)/25)*AV51+(1-EXP(-LN(2)/25))/(LN(2)/25)*Calculateur!AQ52*Calculateur!AS52*VLOOKUP('Données projet'!$B$10,Paramètres!$A$1:$I$89,3,0)*0.475*44/12</f>
        <v>17.632857987844783</v>
      </c>
      <c r="AW52" s="21">
        <f>EXP(-LN(2)/2)*AW51+(1-EXP(-LN(2)/2))/(LN(2)/2)*AQ52*AT52*VLOOKUP('Données projet'!$B$10,Paramètres!$A$1:$I$89,3,0)*0.475*44/12</f>
        <v>1.9967106038256577</v>
      </c>
      <c r="AX52" s="21">
        <f t="shared" si="6"/>
        <v>58.511470975068839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14.351250000000004</v>
      </c>
      <c r="BD52" s="12">
        <f>IF('Données projet'!$A$88&gt;35,BD51+BC52-BL51,IF(A52&lt;'Données projet'!$A$88,$BA$205^A52,IF(A52='Données projet'!$A$88,'Données projet'!$B$88,BD51+BC52-BL51)))</f>
        <v>290.36875000000003</v>
      </c>
      <c r="BE52" s="13">
        <f>BD52*VLOOKUP('Données projet'!$B$11,Paramètres!$A$1:$I$89,3,0)*VLOOKUP('Données projet'!$B$11,Paramètres!$A$1:$I$89,5,0)</f>
        <v>262.72564500000004</v>
      </c>
      <c r="BF52" s="13">
        <f t="shared" si="37"/>
        <v>63.303022218516737</v>
      </c>
      <c r="BG52" s="20">
        <f t="shared" si="7"/>
        <v>567.83326207225002</v>
      </c>
      <c r="BH52" s="59">
        <f t="shared" si="8"/>
        <v>861.16659540558339</v>
      </c>
      <c r="BI52" s="59">
        <f ca="1">AVERAGE(OFFSET($BH$3,0,0,'Données projet'!$E$11+1,1))-AVERAGE(OFFSET($H$3,0,0,'Données projet'!$E$11+1,1))</f>
        <v>507.69556381324213</v>
      </c>
      <c r="BJ52" s="59">
        <f t="shared" si="38"/>
        <v>129.52638237044044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24.693421093585343</v>
      </c>
      <c r="BR52" s="21">
        <f>EXP(-LN(2)/2)*BR51+(1-EXP(-LN(2)/2))/(LN(2)/2)*BL52*BO52*VLOOKUP('Données projet'!$B$11,Paramètres!$A$1:$I$89,3,0)*0.475*44/12</f>
        <v>0.91141233896940732</v>
      </c>
      <c r="BS52" s="22">
        <f t="shared" si="9"/>
        <v>25.604833432554749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3.3603333333333336</v>
      </c>
      <c r="BY52" s="12">
        <f>IF('Données projet'!$A$114&gt;35,BY51+BX52-CG51,IF(A52&lt;'Données projet'!$A$114,$BV$205^A52,IF(A52='Données projet'!$A$114,'Données projet'!$B$114,BY51+BX52-CG51)))</f>
        <v>164.65633333333327</v>
      </c>
      <c r="BZ52" s="13">
        <f>BY52*VLOOKUP('Données projet'!$B$12,Paramètres!$A$1:$I$89,3,0)*VLOOKUP('Données projet'!$B$12,Paramètres!$A$1:$I$89,5,0)</f>
        <v>159.25560559999994</v>
      </c>
      <c r="CA52" s="13">
        <f t="shared" si="39"/>
        <v>40.674569630088818</v>
      </c>
      <c r="CB52" s="20">
        <f t="shared" si="10"/>
        <v>348.21172185907125</v>
      </c>
      <c r="CC52" s="59">
        <f t="shared" si="11"/>
        <v>641.54505519240456</v>
      </c>
      <c r="CD52" s="59">
        <f ca="1">AVERAGE(OFFSET($CC$3,0,0,'Données projet'!$E$12+1,1))-AVERAGE(OFFSET($H$3,0,0,'Données projet'!$E$12+1,1))</f>
        <v>292.52253679467469</v>
      </c>
      <c r="CE52" s="59">
        <f t="shared" si="40"/>
        <v>155.7114133976541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0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6.6506410256410255</v>
      </c>
      <c r="CT52" s="12">
        <f>IF('Données projet'!$A$140&gt;35,CT51+CS52-DB51,IF(A52&lt;'Données projet'!$A$140,$CQ$205^A52,IF(A52='Données projet'!$A$140,'Données projet'!$B$140,CT51+CS52-DB51)))</f>
        <v>153.125</v>
      </c>
      <c r="CU52" s="17">
        <f>CT52*VLOOKUP('Données projet'!$B$13,Paramètres!$A$1:$I$89,3,0)*VLOOKUP('Données projet'!$B$13,Paramètres!$A$1:$I$89,5,0)</f>
        <v>119.4375</v>
      </c>
      <c r="CV52" s="13">
        <f t="shared" si="41"/>
        <v>31.5437695525004</v>
      </c>
      <c r="CW52" s="20">
        <f t="shared" si="13"/>
        <v>262.95904447060485</v>
      </c>
      <c r="CX52" s="59">
        <f t="shared" si="14"/>
        <v>556.29237780393817</v>
      </c>
      <c r="CY52" s="59">
        <f ca="1">AVERAGE(OFFSET($CX$3,0,0,'Données projet'!$E$13+1,1))-AVERAGE(OFFSET($H$3,0,0,'Données projet'!$E$13+1,1))</f>
        <v>100.54865094989304</v>
      </c>
      <c r="CZ52" s="59">
        <f t="shared" si="42"/>
        <v>99.95654161405389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5.4984207846292898</v>
      </c>
      <c r="DG52" s="21">
        <f>EXP(-LN(2)/25)*DG51+(1-EXP(-LN(2)/25))/(LN(2)/25)*Calculateur!DB52*Calculateur!DD52*VLOOKUP('Données projet'!$B$13,Paramètres!$A$1:$I$89,3,0)*0.475*44/12</f>
        <v>6.5894578169213043</v>
      </c>
      <c r="DH52" s="21">
        <f>EXP(-LN(2)/2)*DH51+(1-EXP(-LN(2)/2))/(LN(2)/2)*DB52*DE52*VLOOKUP('Données projet'!$B$13,Paramètres!$A$1:$I$89,3,0)*0.475*44/12</f>
        <v>0.97205728641876588</v>
      </c>
      <c r="DI52" s="22">
        <f t="shared" si="15"/>
        <v>13.05993588796936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4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43.680000000000035</v>
      </c>
      <c r="D53" s="11">
        <f t="shared" si="32"/>
        <v>12.96897928208859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437.29036638805263</v>
      </c>
      <c r="H53" s="67">
        <f t="shared" si="1"/>
        <v>391.99697224963768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25.72000000000001</v>
      </c>
      <c r="N53" s="13">
        <f>IF('Données projet'!$A$36&gt;35,N52+M53-V52,IF(A53&lt;'Données projet'!$A$36,$K$205^A53,IF(A53='Données projet'!$A$36,'Données projet'!$B$36,N52+M53-V52)))</f>
        <v>605.73000000000025</v>
      </c>
      <c r="O53" s="13">
        <f>N53*VLOOKUP('Données projet'!$B$9,Paramètres!$A$1:$I$89,3,0)*VLOOKUP('Données projet'!$B$9,Paramètres!$A$1:$I$89,5,0)</f>
        <v>338.60307000000012</v>
      </c>
      <c r="P53" s="13">
        <f t="shared" si="33"/>
        <v>79.211262719631009</v>
      </c>
      <c r="Q53" s="20">
        <f t="shared" si="53"/>
        <v>727.69329615335755</v>
      </c>
      <c r="R53" s="59">
        <f t="shared" si="0"/>
        <v>1021.0266294866908</v>
      </c>
      <c r="S53" s="59">
        <f ca="1">AVERAGE(OFFSET($R$3,0,0,'Données projet'!$E$9+1,1))-AVERAGE(OFFSET($H$3,0,0,'Données projet'!$E$9+1,1))</f>
        <v>324.69474275039357</v>
      </c>
      <c r="T53" s="59">
        <f t="shared" si="34"/>
        <v>437.68177084535927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79.379987917732393</v>
      </c>
      <c r="AA53" s="21">
        <f>EXP(-LN(2)/25)*AA52+(1-EXP(-LN(2)/25))/(LN(2)/25)*Calculateur!V53*Calculateur!X53*VLOOKUP('Données projet'!$B$9,Paramètres!$A$1:$I$89,3,0)*0.475*44/12</f>
        <v>30.643472899583941</v>
      </c>
      <c r="AB53" s="21">
        <f>EXP(-LN(2)/2)*AB52+(1-EXP(-LN(2)/2))/(LN(2)/2)*V53*Y53*VLOOKUP('Données projet'!$B$9,Paramètres!$A$1:$I$89,3,0)*0.475*44/12</f>
        <v>7.2389162500016466</v>
      </c>
      <c r="AC53" s="22">
        <f t="shared" si="3"/>
        <v>117.26237706731798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14.689999999999998</v>
      </c>
      <c r="AI53" s="13">
        <f>IF('Données projet'!$A$62&gt;35,AI52+AH53-AQ52,IF(A53&lt;'Données projet'!$A$62,$AF$205^A53,IF(A53='Données projet'!$A$62,'Données projet'!$B$62,AI52+AH53-AQ52)))</f>
        <v>378.63000000000005</v>
      </c>
      <c r="AJ53" s="13">
        <f>AI53*VLOOKUP('Données projet'!$B$10,Paramètres!$A$1:$I$89,3,0)*VLOOKUP('Données projet'!$B$10,Paramètres!$A$1:$I$89,5,0)</f>
        <v>226.42074000000005</v>
      </c>
      <c r="AK53" s="13">
        <f t="shared" si="35"/>
        <v>55.508056797434847</v>
      </c>
      <c r="AL53" s="20">
        <f t="shared" si="4"/>
        <v>491.0259877555323</v>
      </c>
      <c r="AM53" s="59">
        <f t="shared" si="5"/>
        <v>784.35932108886561</v>
      </c>
      <c r="AN53" s="59">
        <f ca="1">AVERAGE(OFFSET($AM$3,0,0,'Données projet'!$E$10+1,1))-AVERAGE(OFFSET($H$3,0,0,'Données projet'!$E$10+1,1))</f>
        <v>214.93913810439858</v>
      </c>
      <c r="AO53" s="59">
        <f t="shared" si="36"/>
        <v>210.65603079265924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38.119451993278687</v>
      </c>
      <c r="AV53" s="21">
        <f>EXP(-LN(2)/25)*AV52+(1-EXP(-LN(2)/25))/(LN(2)/25)*Calculateur!AQ53*Calculateur!AS53*VLOOKUP('Données projet'!$B$10,Paramètres!$A$1:$I$89,3,0)*0.475*44/12</f>
        <v>17.150686558895465</v>
      </c>
      <c r="AW53" s="21">
        <f>EXP(-LN(2)/2)*AW52+(1-EXP(-LN(2)/2))/(LN(2)/2)*AQ53*AT53*VLOOKUP('Données projet'!$B$10,Paramètres!$A$1:$I$89,3,0)*0.475*44/12</f>
        <v>1.4118876080322087</v>
      </c>
      <c r="AX53" s="21">
        <f t="shared" si="6"/>
        <v>56.682026160206362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304.72000000000003</v>
      </c>
      <c r="BB53" s="12">
        <f>VLOOKUP(A53,'Données projet'!$A$87:$I$107,9,0)</f>
        <v>14.351250000000004</v>
      </c>
      <c r="BC53" s="12">
        <f t="array" ref="BC53">INDEX(BB:BB,MIN(IF(ISNUMBER(BB53:BB249),ROW(BB53:BB249),"")))</f>
        <v>14.351250000000004</v>
      </c>
      <c r="BD53" s="12">
        <f>IF('Données projet'!$A$88&gt;35,BD52+BC53-BL52,IF(A53&lt;'Données projet'!$A$88,$BA$205^A53,IF(A53='Données projet'!$A$88,'Données projet'!$B$88,BD52+BC53-BL52)))</f>
        <v>304.72000000000003</v>
      </c>
      <c r="BE53" s="13">
        <f>BD53*VLOOKUP('Données projet'!$B$11,Paramètres!$A$1:$I$89,3,0)*VLOOKUP('Données projet'!$B$11,Paramètres!$A$1:$I$89,5,0)</f>
        <v>275.71065600000003</v>
      </c>
      <c r="BF53" s="13">
        <f t="shared" si="37"/>
        <v>66.059734370197603</v>
      </c>
      <c r="BG53" s="20">
        <f t="shared" si="7"/>
        <v>595.25009656142754</v>
      </c>
      <c r="BH53" s="59">
        <f t="shared" si="8"/>
        <v>888.58342989476091</v>
      </c>
      <c r="BI53" s="59">
        <f ca="1">AVERAGE(OFFSET($BH$3,0,0,'Données projet'!$E$11+1,1))-AVERAGE(OFFSET($H$3,0,0,'Données projet'!$E$11+1,1))</f>
        <v>507.69556381324213</v>
      </c>
      <c r="BJ53" s="59">
        <f t="shared" si="38"/>
        <v>129.52638237044044</v>
      </c>
      <c r="BK53" s="15">
        <f>IF(ISNA(VLOOKUP(A53,'Données projet'!$A$87:$I$107,3,0)),0,VLOOKUP(A53,'Données projet'!$A$87:$I$107,3,0))</f>
        <v>3</v>
      </c>
      <c r="BL53" s="15">
        <f>IF(ISNA(VLOOKUP(A53,'Données projet'!$A$87:$I$107,4,0)),0,VLOOKUP(A53,'Données projet'!$A$87:$I$107,4,0))</f>
        <v>70.730000000000018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0.34400000000000003</v>
      </c>
      <c r="BO53" s="16">
        <f>IF(ISNA(VLOOKUP(A53,'Données projet'!$A$87:$I$107,7,0)),0%,VLOOKUP(A53,'Données projet'!$A$87:$I$107,7,0))</f>
        <v>0.2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48.259061719647775</v>
      </c>
      <c r="BR53" s="21">
        <f>EXP(-LN(2)/2)*BR52+(1-EXP(-LN(2)/2))/(LN(2)/2)*BL53*BO53*VLOOKUP('Données projet'!$B$11,Paramètres!$A$1:$I$89,3,0)*0.475*44/12</f>
        <v>12.720950638272642</v>
      </c>
      <c r="BS53" s="22">
        <f t="shared" si="9"/>
        <v>60.980012357920415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3.3603333333333336</v>
      </c>
      <c r="BY53" s="12">
        <f>IF('Données projet'!$A$114&gt;35,BY52+BX53-CG52,IF(A53&lt;'Données projet'!$A$114,$BV$205^A53,IF(A53='Données projet'!$A$114,'Données projet'!$B$114,BY52+BX53-CG52)))</f>
        <v>168.01666666666659</v>
      </c>
      <c r="BZ53" s="13">
        <f>BY53*VLOOKUP('Données projet'!$B$12,Paramètres!$A$1:$I$89,3,0)*VLOOKUP('Données projet'!$B$12,Paramètres!$A$1:$I$89,5,0)</f>
        <v>162.50571999999994</v>
      </c>
      <c r="CA53" s="13">
        <f t="shared" si="39"/>
        <v>41.407175395135489</v>
      </c>
      <c r="CB53" s="20">
        <f t="shared" si="10"/>
        <v>355.14829281319425</v>
      </c>
      <c r="CC53" s="59">
        <f t="shared" si="11"/>
        <v>648.48162614652756</v>
      </c>
      <c r="CD53" s="59">
        <f ca="1">AVERAGE(OFFSET($CC$3,0,0,'Données projet'!$E$12+1,1))-AVERAGE(OFFSET($H$3,0,0,'Données projet'!$E$12+1,1))</f>
        <v>292.52253679467469</v>
      </c>
      <c r="CE53" s="59">
        <f t="shared" si="40"/>
        <v>155.7114133976541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0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6.6506410256410255</v>
      </c>
      <c r="CT53" s="12">
        <f>IF('Données projet'!$A$140&gt;35,CT52+CS53-DB52,IF(A53&lt;'Données projet'!$A$140,$CQ$205^A53,IF(A53='Données projet'!$A$140,'Données projet'!$B$140,CT52+CS53-DB52)))</f>
        <v>159.77564102564102</v>
      </c>
      <c r="CU53" s="17">
        <f>CT53*VLOOKUP('Données projet'!$B$13,Paramètres!$A$1:$I$89,3,0)*VLOOKUP('Données projet'!$B$13,Paramètres!$A$1:$I$89,5,0)</f>
        <v>124.625</v>
      </c>
      <c r="CV53" s="13">
        <f t="shared" si="41"/>
        <v>32.751318935498368</v>
      </c>
      <c r="CW53" s="20">
        <f t="shared" si="13"/>
        <v>274.09708881265965</v>
      </c>
      <c r="CX53" s="59">
        <f t="shared" si="14"/>
        <v>567.43042214599291</v>
      </c>
      <c r="CY53" s="59">
        <f ca="1">AVERAGE(OFFSET($CX$3,0,0,'Données projet'!$E$13+1,1))-AVERAGE(OFFSET($H$3,0,0,'Données projet'!$E$13+1,1))</f>
        <v>100.54865094989304</v>
      </c>
      <c r="CZ53" s="59">
        <f t="shared" si="42"/>
        <v>99.95654161405389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5.390600106748237</v>
      </c>
      <c r="DG53" s="21">
        <f>EXP(-LN(2)/25)*DG52+(1-EXP(-LN(2)/25))/(LN(2)/25)*Calculateur!DB53*Calculateur!DD53*VLOOKUP('Données projet'!$B$13,Paramètres!$A$1:$I$89,3,0)*0.475*44/12</f>
        <v>6.4092687463930647</v>
      </c>
      <c r="DH53" s="21">
        <f>EXP(-LN(2)/2)*DH52+(1-EXP(-LN(2)/2))/(LN(2)/2)*DB53*DE53*VLOOKUP('Données projet'!$B$13,Paramètres!$A$1:$I$89,3,0)*0.475*44/12</f>
        <v>0.68734829892850346</v>
      </c>
      <c r="DI53" s="22">
        <f t="shared" si="15"/>
        <v>12.487217152069805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4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44.553600000000039</v>
      </c>
      <c r="D54" s="11">
        <f t="shared" si="32"/>
        <v>13.19790227412237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445.80107018620811</v>
      </c>
      <c r="H54" s="67">
        <f t="shared" si="1"/>
        <v>393.91719979409652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25.72000000000001</v>
      </c>
      <c r="N54" s="13">
        <f>IF('Données projet'!$A$36&gt;35,N53+M54-V53,IF(A54&lt;'Données projet'!$A$36,$K$205^A54,IF(A54='Données projet'!$A$36,'Données projet'!$B$36,N53+M54-V53)))</f>
        <v>631.45000000000027</v>
      </c>
      <c r="O54" s="13">
        <f>N54*VLOOKUP('Données projet'!$B$9,Paramètres!$A$1:$I$89,3,0)*VLOOKUP('Données projet'!$B$9,Paramètres!$A$1:$I$89,5,0)</f>
        <v>352.98055000000016</v>
      </c>
      <c r="P54" s="13">
        <f t="shared" si="33"/>
        <v>82.175934220475256</v>
      </c>
      <c r="Q54" s="20">
        <f t="shared" si="53"/>
        <v>757.89754335066129</v>
      </c>
      <c r="R54" s="59">
        <f t="shared" si="0"/>
        <v>1051.2308766839947</v>
      </c>
      <c r="S54" s="59">
        <f ca="1">AVERAGE(OFFSET($R$3,0,0,'Données projet'!$E$9+1,1))-AVERAGE(OFFSET($H$3,0,0,'Données projet'!$E$9+1,1))</f>
        <v>324.69474275039357</v>
      </c>
      <c r="T54" s="59">
        <f t="shared" si="34"/>
        <v>437.68177084535927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77.823394771677513</v>
      </c>
      <c r="AA54" s="21">
        <f>EXP(-LN(2)/25)*AA53+(1-EXP(-LN(2)/25))/(LN(2)/25)*Calculateur!V54*Calculateur!X54*VLOOKUP('Données projet'!$B$9,Paramètres!$A$1:$I$89,3,0)*0.475*44/12</f>
        <v>29.805525521674614</v>
      </c>
      <c r="AB54" s="21">
        <f>EXP(-LN(2)/2)*AB53+(1-EXP(-LN(2)/2))/(LN(2)/2)*V54*Y54*VLOOKUP('Données projet'!$B$9,Paramètres!$A$1:$I$89,3,0)*0.475*44/12</f>
        <v>5.1186867688176578</v>
      </c>
      <c r="AC54" s="22">
        <f t="shared" si="3"/>
        <v>112.74760706216978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14.689999999999998</v>
      </c>
      <c r="AI54" s="13">
        <f>IF('Données projet'!$A$62&gt;35,AI53+AH54-AQ53,IF(A54&lt;'Données projet'!$A$62,$AF$205^A54,IF(A54='Données projet'!$A$62,'Données projet'!$B$62,AI53+AH54-AQ53)))</f>
        <v>393.32000000000005</v>
      </c>
      <c r="AJ54" s="13">
        <f>AI54*VLOOKUP('Données projet'!$B$10,Paramètres!$A$1:$I$89,3,0)*VLOOKUP('Données projet'!$B$10,Paramètres!$A$1:$I$89,5,0)</f>
        <v>235.20536000000004</v>
      </c>
      <c r="AK54" s="13">
        <f t="shared" si="35"/>
        <v>57.406731887132807</v>
      </c>
      <c r="AL54" s="20">
        <f t="shared" si="4"/>
        <v>509.63272670342303</v>
      </c>
      <c r="AM54" s="59">
        <f t="shared" si="5"/>
        <v>802.96606003675629</v>
      </c>
      <c r="AN54" s="59">
        <f ca="1">AVERAGE(OFFSET($AM$3,0,0,'Données projet'!$E$10+1,1))-AVERAGE(OFFSET($H$3,0,0,'Données projet'!$E$10+1,1))</f>
        <v>214.93913810439858</v>
      </c>
      <c r="AO54" s="59">
        <f t="shared" si="36"/>
        <v>210.65603079265924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37.371952790260409</v>
      </c>
      <c r="AV54" s="21">
        <f>EXP(-LN(2)/25)*AV53+(1-EXP(-LN(2)/25))/(LN(2)/25)*Calculateur!AQ54*Calculateur!AS54*VLOOKUP('Données projet'!$B$10,Paramètres!$A$1:$I$89,3,0)*0.475*44/12</f>
        <v>16.681700133027061</v>
      </c>
      <c r="AW54" s="21">
        <f>EXP(-LN(2)/2)*AW53+(1-EXP(-LN(2)/2))/(LN(2)/2)*AQ54*AT54*VLOOKUP('Données projet'!$B$10,Paramètres!$A$1:$I$89,3,0)*0.475*44/12</f>
        <v>0.99835530191282906</v>
      </c>
      <c r="AX54" s="21">
        <f t="shared" si="6"/>
        <v>55.052008225200304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14.073749999999997</v>
      </c>
      <c r="BD54" s="12">
        <f>IF('Données projet'!$A$88&gt;35,BD53+BC54-BL53,IF(A54&lt;'Données projet'!$A$88,$BA$205^A54,IF(A54='Données projet'!$A$88,'Données projet'!$B$88,BD53+BC54-BL53)))</f>
        <v>248.06375000000003</v>
      </c>
      <c r="BE54" s="13">
        <f>BD54*VLOOKUP('Données projet'!$B$11,Paramètres!$A$1:$I$89,3,0)*VLOOKUP('Données projet'!$B$11,Paramètres!$A$1:$I$89,5,0)</f>
        <v>224.44808100000003</v>
      </c>
      <c r="BF54" s="13">
        <f t="shared" si="37"/>
        <v>55.080525002460227</v>
      </c>
      <c r="BG54" s="20">
        <f t="shared" si="7"/>
        <v>486.84565545428495</v>
      </c>
      <c r="BH54" s="59">
        <f t="shared" si="8"/>
        <v>780.17898878761821</v>
      </c>
      <c r="BI54" s="59">
        <f ca="1">AVERAGE(OFFSET($BH$3,0,0,'Données projet'!$E$11+1,1))-AVERAGE(OFFSET($H$3,0,0,'Données projet'!$E$11+1,1))</f>
        <v>507.69556381324213</v>
      </c>
      <c r="BJ54" s="59">
        <f t="shared" si="38"/>
        <v>129.52638237044044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46.939415139090251</v>
      </c>
      <c r="BR54" s="21">
        <f>EXP(-LN(2)/2)*BR53+(1-EXP(-LN(2)/2))/(LN(2)/2)*BL54*BO54*VLOOKUP('Données projet'!$B$11,Paramètres!$A$1:$I$89,3,0)*0.475*44/12</f>
        <v>8.9950704594619264</v>
      </c>
      <c r="BS54" s="22">
        <f t="shared" si="9"/>
        <v>55.934485598552179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3.3603333333333336</v>
      </c>
      <c r="BY54" s="12">
        <f>IF('Données projet'!$A$114&gt;35,BY53+BX54-CG53,IF(A54&lt;'Données projet'!$A$114,$BV$205^A54,IF(A54='Données projet'!$A$114,'Données projet'!$B$114,BY53+BX54-CG53)))</f>
        <v>171.37699999999992</v>
      </c>
      <c r="BZ54" s="13">
        <f>BY54*VLOOKUP('Données projet'!$B$12,Paramètres!$A$1:$I$89,3,0)*VLOOKUP('Données projet'!$B$12,Paramètres!$A$1:$I$89,5,0)</f>
        <v>165.75583439999994</v>
      </c>
      <c r="CA54" s="13">
        <f t="shared" si="39"/>
        <v>42.13807751757264</v>
      </c>
      <c r="CB54" s="20">
        <f t="shared" si="10"/>
        <v>362.08189658977221</v>
      </c>
      <c r="CC54" s="59">
        <f t="shared" si="11"/>
        <v>655.41522992310547</v>
      </c>
      <c r="CD54" s="59">
        <f ca="1">AVERAGE(OFFSET($CC$3,0,0,'Données projet'!$E$12+1,1))-AVERAGE(OFFSET($H$3,0,0,'Données projet'!$E$12+1,1))</f>
        <v>292.52253679467469</v>
      </c>
      <c r="CE54" s="59">
        <f t="shared" si="40"/>
        <v>155.7114133976541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0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6.6506410256410255</v>
      </c>
      <c r="CT54" s="12">
        <f>IF('Données projet'!$A$140&gt;35,CT53+CS54-DB53,IF(A54&lt;'Données projet'!$A$140,$CQ$205^A54,IF(A54='Données projet'!$A$140,'Données projet'!$B$140,CT53+CS54-DB53)))</f>
        <v>166.42628205128204</v>
      </c>
      <c r="CU54" s="17">
        <f>CT54*VLOOKUP('Données projet'!$B$13,Paramètres!$A$1:$I$89,3,0)*VLOOKUP('Données projet'!$B$13,Paramètres!$A$1:$I$89,5,0)</f>
        <v>129.8125</v>
      </c>
      <c r="CV54" s="13">
        <f t="shared" si="41"/>
        <v>33.953029948668728</v>
      </c>
      <c r="CW54" s="20">
        <f t="shared" si="13"/>
        <v>285.224964660598</v>
      </c>
      <c r="CX54" s="59">
        <f t="shared" si="14"/>
        <v>578.55829799393132</v>
      </c>
      <c r="CY54" s="59">
        <f ca="1">AVERAGE(OFFSET($CX$3,0,0,'Données projet'!$E$13+1,1))-AVERAGE(OFFSET($H$3,0,0,'Données projet'!$E$13+1,1))</f>
        <v>100.54865094989304</v>
      </c>
      <c r="CZ54" s="59">
        <f t="shared" si="42"/>
        <v>99.95654161405389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5.2848937265963123</v>
      </c>
      <c r="DG54" s="21">
        <f>EXP(-LN(2)/25)*DG53+(1-EXP(-LN(2)/25))/(LN(2)/25)*Calculateur!DB54*Calculateur!DD54*VLOOKUP('Données projet'!$B$13,Paramètres!$A$1:$I$89,3,0)*0.475*44/12</f>
        <v>6.2340069554741513</v>
      </c>
      <c r="DH54" s="21">
        <f>EXP(-LN(2)/2)*DH53+(1-EXP(-LN(2)/2))/(LN(2)/2)*DB54*DE54*VLOOKUP('Données projet'!$B$13,Paramètres!$A$1:$I$89,3,0)*0.475*44/12</f>
        <v>0.48602864320938299</v>
      </c>
      <c r="DI54" s="22">
        <f t="shared" si="15"/>
        <v>12.004929325279846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4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45.427200000000042</v>
      </c>
      <c r="D55" s="11">
        <f t="shared" si="32"/>
        <v>13.42630334353094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454.30774510795845</v>
      </c>
      <c r="H55" s="67">
        <f t="shared" si="1"/>
        <v>395.83651832331645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25.72000000000001</v>
      </c>
      <c r="N55" s="13">
        <f>IF('Données projet'!$A$36&gt;35,N54+M55-V54,IF(A55&lt;'Données projet'!$A$36,$K$205^A55,IF(A55='Données projet'!$A$36,'Données projet'!$B$36,N54+M55-V54)))</f>
        <v>657.1700000000003</v>
      </c>
      <c r="O55" s="13">
        <f>N55*VLOOKUP('Données projet'!$B$9,Paramètres!$A$1:$I$89,3,0)*VLOOKUP('Données projet'!$B$9,Paramètres!$A$1:$I$89,5,0)</f>
        <v>367.35803000000016</v>
      </c>
      <c r="P55" s="13">
        <f t="shared" si="33"/>
        <v>85.126578899620242</v>
      </c>
      <c r="Q55" s="20">
        <f t="shared" si="53"/>
        <v>788.07736050017218</v>
      </c>
      <c r="R55" s="59">
        <f t="shared" si="0"/>
        <v>1081.4106938335055</v>
      </c>
      <c r="S55" s="59">
        <f ca="1">AVERAGE(OFFSET($R$3,0,0,'Données projet'!$E$9+1,1))-AVERAGE(OFFSET($H$3,0,0,'Données projet'!$E$9+1,1))</f>
        <v>324.69474275039357</v>
      </c>
      <c r="T55" s="59">
        <f t="shared" si="34"/>
        <v>437.68177084535927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76.297325467788696</v>
      </c>
      <c r="AA55" s="21">
        <f>EXP(-LN(2)/25)*AA54+(1-EXP(-LN(2)/25))/(LN(2)/25)*Calculateur!V55*Calculateur!X55*VLOOKUP('Données projet'!$B$9,Paramètres!$A$1:$I$89,3,0)*0.475*44/12</f>
        <v>28.990491858879956</v>
      </c>
      <c r="AB55" s="21">
        <f>EXP(-LN(2)/2)*AB54+(1-EXP(-LN(2)/2))/(LN(2)/2)*V55*Y55*VLOOKUP('Données projet'!$B$9,Paramètres!$A$1:$I$89,3,0)*0.475*44/12</f>
        <v>3.6194581250008238</v>
      </c>
      <c r="AC55" s="22">
        <f t="shared" si="3"/>
        <v>108.90727545166948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>
        <f>VLOOKUP(A55,'Données projet'!$A$61:$I$81,2,0)</f>
        <v>408.01</v>
      </c>
      <c r="AG55" s="12">
        <f>VLOOKUP(A55,'Données projet'!$A$61:$I$81,9,0)</f>
        <v>14.689999999999998</v>
      </c>
      <c r="AH55" s="12">
        <f t="array" ref="AH55">INDEX(AG:AG,MIN(IF(ISNUMBER(AG55:AG251),ROW(AG55:AG251),"")))</f>
        <v>14.689999999999998</v>
      </c>
      <c r="AI55" s="13">
        <f>IF('Données projet'!$A$62&gt;35,AI54+AH55-AQ54,IF(A55&lt;'Données projet'!$A$62,$AF$205^A55,IF(A55='Données projet'!$A$62,'Données projet'!$B$62,AI54+AH55-AQ54)))</f>
        <v>408.01000000000005</v>
      </c>
      <c r="AJ55" s="13">
        <f>AI55*VLOOKUP('Données projet'!$B$10,Paramètres!$A$1:$I$89,3,0)*VLOOKUP('Données projet'!$B$10,Paramètres!$A$1:$I$89,5,0)</f>
        <v>243.98998000000003</v>
      </c>
      <c r="AK55" s="13">
        <f t="shared" si="35"/>
        <v>59.297168586253541</v>
      </c>
      <c r="AL55" s="20">
        <f t="shared" si="4"/>
        <v>528.22511712105825</v>
      </c>
      <c r="AM55" s="59">
        <f t="shared" si="5"/>
        <v>821.5584504543915</v>
      </c>
      <c r="AN55" s="59">
        <f ca="1">AVERAGE(OFFSET($AM$3,0,0,'Données projet'!$E$10+1,1))-AVERAGE(OFFSET($H$3,0,0,'Données projet'!$E$10+1,1))</f>
        <v>214.93913810439858</v>
      </c>
      <c r="AO55" s="59">
        <f t="shared" si="36"/>
        <v>210.65603079265924</v>
      </c>
      <c r="AP55" s="15">
        <f>IF(ISNA(VLOOKUP(A55,'Données projet'!$A$61:$I$81,3,0)),0,VLOOKUP(A55,'Données projet'!$A$61:$I$81,3,0))</f>
        <v>6</v>
      </c>
      <c r="AQ55" s="15">
        <f>IF(ISNA(VLOOKUP(A55,'Données projet'!$A$61:$I$81,4,0)),0,VLOOKUP(A55,'Données projet'!$A$61:$I$81,4,0))</f>
        <v>75.70999999999998</v>
      </c>
      <c r="AR55" s="16">
        <f>IF(ISNA(VLOOKUP(A55,'Données projet'!$A$61:$I$81,5,0)),0%,VLOOKUP(A55,'Données projet'!$A$61:$I$81,5,0)*VLOOKUP('Données projet'!$B$10,Paramètres!$A$1:$I$89,7,0))</f>
        <v>0.27</v>
      </c>
      <c r="AS55" s="16">
        <f>IF(ISNA(VLOOKUP(A55,'Données projet'!$A$61:$I$81,6,0)),0%,VLOOKUP(A55,'Données projet'!$A$61:$I$81,6,0)*VLOOKUP('Données projet'!$B$10,Paramètres!$A$1:$I$89,7,0))</f>
        <v>9.0000000000000011E-2</v>
      </c>
      <c r="AT55" s="16">
        <f>IF(ISNA(VLOOKUP(A55,'Données projet'!$A$61:$I$81,7,0)),0%,VLOOKUP(A55,'Données projet'!$A$61:$I$81,7,0))</f>
        <v>0.2</v>
      </c>
      <c r="AU55" s="21">
        <f>EXP(-LN(2)/35)*AU54+(1-EXP(-LN(2)/35))/(LN(2)/35)*AQ55*AR55*VLOOKUP('Données projet'!$B$10,Paramètres!$A$1:$I$89,3,0)*0.475*44/12</f>
        <v>52.855216702681361</v>
      </c>
      <c r="AV55" s="21">
        <f>EXP(-LN(2)/25)*AV54+(1-EXP(-LN(2)/25))/(LN(2)/25)*Calculateur!AQ55*Calculateur!AS55*VLOOKUP('Données projet'!$B$10,Paramètres!$A$1:$I$89,3,0)*0.475*44/12</f>
        <v>21.609623541420671</v>
      </c>
      <c r="AW55" s="21">
        <f>EXP(-LN(2)/2)*AW54+(1-EXP(-LN(2)/2))/(LN(2)/2)*AQ55*AT55*VLOOKUP('Données projet'!$B$10,Paramètres!$A$1:$I$89,3,0)*0.475*44/12</f>
        <v>10.958212150605259</v>
      </c>
      <c r="AX55" s="21">
        <f t="shared" si="6"/>
        <v>85.423052394707298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14.073749999999997</v>
      </c>
      <c r="BD55" s="12">
        <f>IF('Données projet'!$A$88&gt;35,BD54+BC55-BL54,IF(A55&lt;'Données projet'!$A$88,$BA$205^A55,IF(A55='Données projet'!$A$88,'Données projet'!$B$88,BD54+BC55-BL54)))</f>
        <v>262.13750000000005</v>
      </c>
      <c r="BE55" s="13">
        <f>BD55*VLOOKUP('Données projet'!$B$11,Paramètres!$A$1:$I$89,3,0)*VLOOKUP('Données projet'!$B$11,Paramètres!$A$1:$I$89,5,0)</f>
        <v>237.18201000000005</v>
      </c>
      <c r="BF55" s="13">
        <f t="shared" si="37"/>
        <v>57.832810058824109</v>
      </c>
      <c r="BG55" s="20">
        <f t="shared" si="7"/>
        <v>513.81747826911885</v>
      </c>
      <c r="BH55" s="59">
        <f t="shared" si="8"/>
        <v>807.15081160245222</v>
      </c>
      <c r="BI55" s="59">
        <f ca="1">AVERAGE(OFFSET($BH$3,0,0,'Données projet'!$E$11+1,1))-AVERAGE(OFFSET($H$3,0,0,'Données projet'!$E$11+1,1))</f>
        <v>507.69556381324213</v>
      </c>
      <c r="BJ55" s="59">
        <f t="shared" si="38"/>
        <v>129.52638237044044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45.655854363675267</v>
      </c>
      <c r="BR55" s="21">
        <f>EXP(-LN(2)/2)*BR54+(1-EXP(-LN(2)/2))/(LN(2)/2)*BL55*BO55*VLOOKUP('Données projet'!$B$11,Paramètres!$A$1:$I$89,3,0)*0.475*44/12</f>
        <v>6.3604753191363219</v>
      </c>
      <c r="BS55" s="22">
        <f t="shared" si="9"/>
        <v>52.016329682811588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3.3603333333333336</v>
      </c>
      <c r="BY55" s="12">
        <f>IF('Données projet'!$A$114&gt;35,BY54+BX55-CG54,IF(A55&lt;'Données projet'!$A$114,$BV$205^A55,IF(A55='Données projet'!$A$114,'Données projet'!$B$114,BY54+BX55-CG54)))</f>
        <v>174.73733333333325</v>
      </c>
      <c r="BZ55" s="13">
        <f>BY55*VLOOKUP('Données projet'!$B$12,Paramètres!$A$1:$I$89,3,0)*VLOOKUP('Données projet'!$B$12,Paramètres!$A$1:$I$89,5,0)</f>
        <v>169.00594879999991</v>
      </c>
      <c r="CA55" s="13">
        <f t="shared" si="39"/>
        <v>42.867313252762536</v>
      </c>
      <c r="CB55" s="20">
        <f t="shared" si="10"/>
        <v>369.01259807522791</v>
      </c>
      <c r="CC55" s="59">
        <f t="shared" si="11"/>
        <v>662.34593140856123</v>
      </c>
      <c r="CD55" s="59">
        <f ca="1">AVERAGE(OFFSET($CC$3,0,0,'Données projet'!$E$12+1,1))-AVERAGE(OFFSET($H$3,0,0,'Données projet'!$E$12+1,1))</f>
        <v>292.52253679467469</v>
      </c>
      <c r="CE55" s="59">
        <f t="shared" si="40"/>
        <v>155.7114133976541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0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>
        <f>VLOOKUP(A55,'Données projet'!$A$139:$I$159,2,0)</f>
        <v>173.07692307692307</v>
      </c>
      <c r="CR55" s="12">
        <f>VLOOKUP(A55,'Données projet'!$A$139:$I$159,9,0)</f>
        <v>6.6506410256410255</v>
      </c>
      <c r="CS55" s="12">
        <f t="array" ref="CS55">INDEX(CR:CR,MIN(IF(ISNUMBER(CR55:CR251),ROW(CR55:CR251),"")))</f>
        <v>6.6506410256410255</v>
      </c>
      <c r="CT55" s="12">
        <f>IF('Données projet'!$A$140&gt;35,CT54+CS55-DB54,IF(A55&lt;'Données projet'!$A$140,$CQ$205^A55,IF(A55='Données projet'!$A$140,'Données projet'!$B$140,CT54+CS55-DB54)))</f>
        <v>173.07692307692307</v>
      </c>
      <c r="CU55" s="17">
        <f>CT55*VLOOKUP('Données projet'!$B$13,Paramètres!$A$1:$I$89,3,0)*VLOOKUP('Données projet'!$B$13,Paramètres!$A$1:$I$89,5,0)</f>
        <v>135</v>
      </c>
      <c r="CV55" s="13">
        <f t="shared" si="41"/>
        <v>35.149162595374243</v>
      </c>
      <c r="CW55" s="20">
        <f t="shared" si="13"/>
        <v>296.34312485361016</v>
      </c>
      <c r="CX55" s="59">
        <f t="shared" si="14"/>
        <v>589.67645818694348</v>
      </c>
      <c r="CY55" s="59">
        <f ca="1">AVERAGE(OFFSET($CX$3,0,0,'Données projet'!$E$13+1,1))-AVERAGE(OFFSET($H$3,0,0,'Données projet'!$E$13+1,1))</f>
        <v>100.54865094989304</v>
      </c>
      <c r="CZ55" s="59">
        <f t="shared" si="42"/>
        <v>99.95654161405389</v>
      </c>
      <c r="DA55" s="15">
        <f>IF(ISNA(VLOOKUP(A55,'Données projet'!$A$139:$I$159,3,0)),0,VLOOKUP(A55,'Données projet'!$A$139:$I$159,3,0))</f>
        <v>7</v>
      </c>
      <c r="DB55" s="15">
        <f>IF(ISNA(VLOOKUP(A55,'Données projet'!$A$139:$I$159,4,0)),0,VLOOKUP(A55,'Données projet'!$A$139:$I$159,4,0))</f>
        <v>30.769230769230766</v>
      </c>
      <c r="DC55" s="16">
        <f>IF(ISNA(VLOOKUP(A55,'Données projet'!$A$139:$I$159,5,0)),0%,VLOOKUP(A55,'Données projet'!$A$139:$I$159,5,0)*VLOOKUP('Données projet'!$B$13,Paramètres!$A$1:$I$89,7,0))</f>
        <v>0.1075</v>
      </c>
      <c r="DD55" s="16">
        <f>IF(ISNA(VLOOKUP(A55,'Données projet'!$A$139:$I$159,6,0)),0%,VLOOKUP(A55,'Données projet'!$A$139:$I$159,6,0)*VLOOKUP('Données projet'!$B$13,Paramètres!$A$1:$I$89,7,0))</f>
        <v>0.1075</v>
      </c>
      <c r="DE55" s="16">
        <f>IF(ISNA(VLOOKUP(A55,'Données projet'!$A$139:$I$159,7,0)),0%,VLOOKUP(A55,'Données projet'!$A$139:$I$159,7,0))</f>
        <v>0.25</v>
      </c>
      <c r="DF55" s="21">
        <f>EXP(-LN(2)/35)*DF54+(1-EXP(-LN(2)/35))/(LN(2)/35)*DB55*DC55*VLOOKUP('Données projet'!$B$13,Paramètres!$A$1:$I$89,3,0)*0.475*44/12</f>
        <v>8.033373763279652</v>
      </c>
      <c r="DG55" s="21">
        <f>EXP(-LN(2)/25)*DG54+(1-EXP(-LN(2)/25))/(LN(2)/25)*Calculateur!DB55*Calculateur!DD55*VLOOKUP('Données projet'!$B$13,Paramètres!$A$1:$I$89,3,0)*0.475*44/12</f>
        <v>8.9044214287377805</v>
      </c>
      <c r="DH55" s="21">
        <f>EXP(-LN(2)/2)*DH54+(1-EXP(-LN(2)/2))/(LN(2)/2)*DB55*DE55*VLOOKUP('Données projet'!$B$13,Paramètres!$A$1:$I$89,3,0)*0.475*44/12</f>
        <v>6.0048356370965799</v>
      </c>
      <c r="DI55" s="22">
        <f t="shared" si="15"/>
        <v>22.942630829114012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4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46.300800000000045</v>
      </c>
      <c r="D56" s="11">
        <f t="shared" si="32"/>
        <v>13.654193684451673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462.81047756418883</v>
      </c>
      <c r="H56" s="67">
        <f t="shared" si="1"/>
        <v>397.75494733375336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25.72000000000001</v>
      </c>
      <c r="N56" s="13">
        <f>IF('Données projet'!$A$36&gt;35,N55+M56-V55,IF(A56&lt;'Données projet'!$A$36,$K$205^A56,IF(A56='Données projet'!$A$36,'Données projet'!$B$36,N55+M56-V55)))</f>
        <v>682.89000000000033</v>
      </c>
      <c r="O56" s="13">
        <f>N56*VLOOKUP('Données projet'!$B$9,Paramètres!$A$1:$I$89,3,0)*VLOOKUP('Données projet'!$B$9,Paramètres!$A$1:$I$89,5,0)</f>
        <v>381.7355100000002</v>
      </c>
      <c r="P56" s="13">
        <f t="shared" si="33"/>
        <v>88.063808556932955</v>
      </c>
      <c r="Q56" s="20">
        <f t="shared" si="53"/>
        <v>818.23381315332517</v>
      </c>
      <c r="R56" s="59">
        <f t="shared" si="0"/>
        <v>1111.5671464866584</v>
      </c>
      <c r="S56" s="59">
        <f ca="1">AVERAGE(OFFSET($R$3,0,0,'Données projet'!$E$9+1,1))-AVERAGE(OFFSET($H$3,0,0,'Données projet'!$E$9+1,1))</f>
        <v>324.69474275039357</v>
      </c>
      <c r="T56" s="59">
        <f t="shared" si="34"/>
        <v>437.68177084535927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74.801181452138763</v>
      </c>
      <c r="AA56" s="21">
        <f>EXP(-LN(2)/25)*AA55+(1-EXP(-LN(2)/25))/(LN(2)/25)*Calculateur!V56*Calculateur!X56*VLOOKUP('Données projet'!$B$9,Paramètres!$A$1:$I$89,3,0)*0.475*44/12</f>
        <v>28.197745334455174</v>
      </c>
      <c r="AB56" s="21">
        <f>EXP(-LN(2)/2)*AB55+(1-EXP(-LN(2)/2))/(LN(2)/2)*V56*Y56*VLOOKUP('Données projet'!$B$9,Paramètres!$A$1:$I$89,3,0)*0.475*44/12</f>
        <v>2.5593433844088294</v>
      </c>
      <c r="AC56" s="22">
        <f t="shared" si="3"/>
        <v>105.55827017100277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13.18</v>
      </c>
      <c r="AI56" s="13">
        <f>IF('Données projet'!$A$62&gt;35,AI55+AH56-AQ55,IF(A56&lt;'Données projet'!$A$62,$AF$205^A56,IF(A56='Données projet'!$A$62,'Données projet'!$B$62,AI55+AH56-AQ55)))</f>
        <v>345.48000000000008</v>
      </c>
      <c r="AJ56" s="13">
        <f>AI56*VLOOKUP('Données projet'!$B$10,Paramètres!$A$1:$I$89,3,0)*VLOOKUP('Données projet'!$B$10,Paramètres!$A$1:$I$89,5,0)</f>
        <v>206.59704000000005</v>
      </c>
      <c r="AK56" s="13">
        <f t="shared" si="35"/>
        <v>51.191247731076885</v>
      </c>
      <c r="AL56" s="20">
        <f t="shared" si="4"/>
        <v>448.98126779829232</v>
      </c>
      <c r="AM56" s="59">
        <f t="shared" si="5"/>
        <v>742.31460113162564</v>
      </c>
      <c r="AN56" s="59">
        <f ca="1">AVERAGE(OFFSET($AM$3,0,0,'Données projet'!$E$10+1,1))-AVERAGE(OFFSET($H$3,0,0,'Données projet'!$E$10+1,1))</f>
        <v>214.93913810439858</v>
      </c>
      <c r="AO56" s="59">
        <f t="shared" si="36"/>
        <v>210.65603079265924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51.818758141640679</v>
      </c>
      <c r="AV56" s="21">
        <f>EXP(-LN(2)/25)*AV55+(1-EXP(-LN(2)/25))/(LN(2)/25)*Calculateur!AQ56*Calculateur!AS56*VLOOKUP('Données projet'!$B$10,Paramètres!$A$1:$I$89,3,0)*0.475*44/12</f>
        <v>21.01870724927981</v>
      </c>
      <c r="AW56" s="21">
        <f>EXP(-LN(2)/2)*AW55+(1-EXP(-LN(2)/2))/(LN(2)/2)*AQ56*AT56*VLOOKUP('Données projet'!$B$10,Paramètres!$A$1:$I$89,3,0)*0.475*44/12</f>
        <v>7.7486261213737997</v>
      </c>
      <c r="AX56" s="21">
        <f t="shared" si="6"/>
        <v>80.586091512294288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14.073749999999997</v>
      </c>
      <c r="BD56" s="12">
        <f>IF('Données projet'!$A$88&gt;35,BD55+BC56-BL55,IF(A56&lt;'Données projet'!$A$88,$BA$205^A56,IF(A56='Données projet'!$A$88,'Données projet'!$B$88,BD55+BC56-BL55)))</f>
        <v>276.21125000000006</v>
      </c>
      <c r="BE56" s="13">
        <f>BD56*VLOOKUP('Données projet'!$B$11,Paramètres!$A$1:$I$89,3,0)*VLOOKUP('Données projet'!$B$11,Paramètres!$A$1:$I$89,5,0)</f>
        <v>249.91593900000007</v>
      </c>
      <c r="BF56" s="13">
        <f t="shared" si="37"/>
        <v>60.567940102066487</v>
      </c>
      <c r="BG56" s="20">
        <f t="shared" si="7"/>
        <v>540.7594227694326</v>
      </c>
      <c r="BH56" s="59">
        <f t="shared" si="8"/>
        <v>834.09275610276586</v>
      </c>
      <c r="BI56" s="59">
        <f ca="1">AVERAGE(OFFSET($BH$3,0,0,'Données projet'!$E$11+1,1))-AVERAGE(OFFSET($H$3,0,0,'Données projet'!$E$11+1,1))</f>
        <v>507.69556381324213</v>
      </c>
      <c r="BJ56" s="59">
        <f t="shared" si="38"/>
        <v>129.52638237044044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44.407392625163531</v>
      </c>
      <c r="BR56" s="21">
        <f>EXP(-LN(2)/2)*BR55+(1-EXP(-LN(2)/2))/(LN(2)/2)*BL56*BO56*VLOOKUP('Données projet'!$B$11,Paramètres!$A$1:$I$89,3,0)*0.475*44/12</f>
        <v>4.4975352297309632</v>
      </c>
      <c r="BS56" s="22">
        <f t="shared" si="9"/>
        <v>48.904927854894495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3.3603333333333336</v>
      </c>
      <c r="BY56" s="12">
        <f>IF('Données projet'!$A$114&gt;35,BY55+BX56-CG55,IF(A56&lt;'Données projet'!$A$114,$BV$205^A56,IF(A56='Données projet'!$A$114,'Données projet'!$B$114,BY55+BX56-CG55)))</f>
        <v>178.09766666666658</v>
      </c>
      <c r="BZ56" s="13">
        <f>BY56*VLOOKUP('Données projet'!$B$12,Paramètres!$A$1:$I$89,3,0)*VLOOKUP('Données projet'!$B$12,Paramètres!$A$1:$I$89,5,0)</f>
        <v>172.25606319999994</v>
      </c>
      <c r="CA56" s="13">
        <f t="shared" si="39"/>
        <v>43.594918341190329</v>
      </c>
      <c r="CB56" s="20">
        <f t="shared" si="10"/>
        <v>375.94045951757306</v>
      </c>
      <c r="CC56" s="59">
        <f t="shared" si="11"/>
        <v>669.27379285090637</v>
      </c>
      <c r="CD56" s="59">
        <f ca="1">AVERAGE(OFFSET($CC$3,0,0,'Données projet'!$E$12+1,1))-AVERAGE(OFFSET($H$3,0,0,'Données projet'!$E$12+1,1))</f>
        <v>292.52253679467469</v>
      </c>
      <c r="CE56" s="59">
        <f t="shared" si="40"/>
        <v>155.7114133976541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0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6.0096153846153868</v>
      </c>
      <c r="CT56" s="12">
        <f>IF('Données projet'!$A$140&gt;35,CT55+CS56-DB55,IF(A56&lt;'Données projet'!$A$140,$CQ$205^A56,IF(A56='Données projet'!$A$140,'Données projet'!$B$140,CT55+CS56-DB55)))</f>
        <v>148.31730769230768</v>
      </c>
      <c r="CU56" s="17">
        <f>CT56*VLOOKUP('Données projet'!$B$13,Paramètres!$A$1:$I$89,3,0)*VLOOKUP('Données projet'!$B$13,Paramètres!$A$1:$I$89,5,0)</f>
        <v>115.6875</v>
      </c>
      <c r="CV56" s="13">
        <f t="shared" si="41"/>
        <v>30.667047071789558</v>
      </c>
      <c r="CW56" s="20">
        <f t="shared" si="13"/>
        <v>254.90083615003348</v>
      </c>
      <c r="CX56" s="59">
        <f t="shared" si="14"/>
        <v>548.23416948336683</v>
      </c>
      <c r="CY56" s="59">
        <f ca="1">AVERAGE(OFFSET($CX$3,0,0,'Données projet'!$E$13+1,1))-AVERAGE(OFFSET($H$3,0,0,'Données projet'!$E$13+1,1))</f>
        <v>100.54865094989304</v>
      </c>
      <c r="CZ56" s="59">
        <f t="shared" si="42"/>
        <v>99.95654161405389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7.8758442036559115</v>
      </c>
      <c r="DG56" s="21">
        <f>EXP(-LN(2)/25)*DG55+(1-EXP(-LN(2)/25))/(LN(2)/25)*Calculateur!DB56*Calculateur!DD56*VLOOKUP('Données projet'!$B$13,Paramètres!$A$1:$I$89,3,0)*0.475*44/12</f>
        <v>8.6609295565057742</v>
      </c>
      <c r="DH56" s="21">
        <f>EXP(-LN(2)/2)*DH55+(1-EXP(-LN(2)/2))/(LN(2)/2)*DB56*DE56*VLOOKUP('Données projet'!$B$13,Paramètres!$A$1:$I$89,3,0)*0.475*44/12</f>
        <v>4.2460599989016341</v>
      </c>
      <c r="DI56" s="22">
        <f t="shared" si="15"/>
        <v>20.782833759063323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4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47.174400000000048</v>
      </c>
      <c r="D57" s="11">
        <f t="shared" si="32"/>
        <v>13.881584044427944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471.30935051839151</v>
      </c>
      <c r="H57" s="67">
        <f t="shared" si="1"/>
        <v>399.67250554404541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708.61</v>
      </c>
      <c r="L57" s="12">
        <f>VLOOKUP(A57,'Données projet'!$A$35:$I$55,9,0)</f>
        <v>25.72000000000001</v>
      </c>
      <c r="M57" s="12">
        <f t="array" ref="M57">INDEX(L:L,MIN(IF(ISNUMBER(L57:L253),ROW(L57:L253),"")))</f>
        <v>25.72000000000001</v>
      </c>
      <c r="N57" s="13">
        <f>IF('Données projet'!$A$36&gt;35,N56+M57-V56,IF(A57&lt;'Données projet'!$A$36,$K$205^A57,IF(A57='Données projet'!$A$36,'Données projet'!$B$36,N56+M57-V56)))</f>
        <v>708.61000000000035</v>
      </c>
      <c r="O57" s="13">
        <f>N57*VLOOKUP('Données projet'!$B$9,Paramètres!$A$1:$I$89,3,0)*VLOOKUP('Données projet'!$B$9,Paramètres!$A$1:$I$89,5,0)</f>
        <v>396.1129900000002</v>
      </c>
      <c r="P57" s="13">
        <f t="shared" si="33"/>
        <v>90.988186296707582</v>
      </c>
      <c r="Q57" s="20">
        <f t="shared" si="53"/>
        <v>848.36788205009941</v>
      </c>
      <c r="R57" s="59">
        <f t="shared" si="0"/>
        <v>1141.7012153834328</v>
      </c>
      <c r="S57" s="59">
        <f ca="1">AVERAGE(OFFSET($R$3,0,0,'Données projet'!$E$9+1,1))-AVERAGE(OFFSET($H$3,0,0,'Données projet'!$E$9+1,1))</f>
        <v>324.69474275039357</v>
      </c>
      <c r="T57" s="59">
        <f t="shared" si="34"/>
        <v>437.68177084535927</v>
      </c>
      <c r="U57" s="15">
        <f>IF(ISNA(VLOOKUP(A57,'Données projet'!$A$35:$I$55,3,0)),0,VLOOKUP(A57,'Données projet'!$A$35:$I$55,3,0))</f>
        <v>7</v>
      </c>
      <c r="V57" s="15">
        <f>IF(ISNA(VLOOKUP(A57,'Données projet'!$A$35:$I$55,4,0)),0,VLOOKUP(A57,'Données projet'!$A$35:$I$55,4,0))</f>
        <v>708.61</v>
      </c>
      <c r="W57" s="16">
        <f>IF(ISNA(VLOOKUP(A57,'Données projet'!$A$35:$I$55,5,0)),0%,VLOOKUP(A57,'Données projet'!$A$35:$I$55,5,0)*VLOOKUP('Données projet'!$B$9,Paramètres!$A$1:$I$89,7,0))</f>
        <v>0.33</v>
      </c>
      <c r="X57" s="16">
        <f>IF(ISNA(VLOOKUP(A57,'Données projet'!$A$35:$I$55,6,0)),0%,VLOOKUP(A57,'Données projet'!$A$35:$I$55,6,0)*VLOOKUP('Données projet'!$B$9,Paramètres!$A$1:$I$89,7,0))</f>
        <v>0.11000000000000001</v>
      </c>
      <c r="Y57" s="16">
        <f>IF(ISNA(VLOOKUP(A57,'Données projet'!$A$35:$I$55,7,0)),0%,VLOOKUP(A57,'Données projet'!$A$35:$I$55,7,0))</f>
        <v>0.2</v>
      </c>
      <c r="Z57" s="21">
        <f>EXP(-LN(2)/35)*Z56+(1-EXP(-LN(2)/35))/(LN(2)/35)*V57*W57*VLOOKUP('Données projet'!$B$9,Paramètres!$A$1:$I$89,3,0)*0.475*44/12</f>
        <v>246.73928215579772</v>
      </c>
      <c r="AA57" s="21">
        <f>EXP(-LN(2)/25)*AA56+(1-EXP(-LN(2)/25))/(LN(2)/25)*Calculateur!V57*Calculateur!X57*VLOOKUP('Données projet'!$B$9,Paramètres!$A$1:$I$89,3,0)*0.475*44/12</f>
        <v>85.000724858553923</v>
      </c>
      <c r="AB57" s="21">
        <f>EXP(-LN(2)/2)*AB56+(1-EXP(-LN(2)/2))/(LN(2)/2)*V57*Y57*VLOOKUP('Données projet'!$B$9,Paramètres!$A$1:$I$89,3,0)*0.475*44/12</f>
        <v>91.508113212056003</v>
      </c>
      <c r="AC57" s="22">
        <f t="shared" si="3"/>
        <v>423.24812022640765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13.18</v>
      </c>
      <c r="AI57" s="13">
        <f>IF('Données projet'!$A$62&gt;35,AI56+AH57-AQ56,IF(A57&lt;'Données projet'!$A$62,$AF$205^A57,IF(A57='Données projet'!$A$62,'Données projet'!$B$62,AI56+AH57-AQ56)))</f>
        <v>358.66000000000008</v>
      </c>
      <c r="AJ57" s="13">
        <f>AI57*VLOOKUP('Données projet'!$B$10,Paramètres!$A$1:$I$89,3,0)*VLOOKUP('Données projet'!$B$10,Paramètres!$A$1:$I$89,5,0)</f>
        <v>214.47868000000008</v>
      </c>
      <c r="AK57" s="13">
        <f t="shared" si="35"/>
        <v>52.913084692982125</v>
      </c>
      <c r="AL57" s="20">
        <f t="shared" si="4"/>
        <v>465.70732350694396</v>
      </c>
      <c r="AM57" s="59">
        <f t="shared" si="5"/>
        <v>759.04065684027728</v>
      </c>
      <c r="AN57" s="59">
        <f ca="1">AVERAGE(OFFSET($AM$3,0,0,'Données projet'!$E$10+1,1))-AVERAGE(OFFSET($H$3,0,0,'Données projet'!$E$10+1,1))</f>
        <v>214.93913810439858</v>
      </c>
      <c r="AO57" s="59">
        <f t="shared" si="36"/>
        <v>210.65603079265924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50.802623900804704</v>
      </c>
      <c r="AV57" s="21">
        <f>EXP(-LN(2)/25)*AV56+(1-EXP(-LN(2)/25))/(LN(2)/25)*Calculateur!AQ57*Calculateur!AS57*VLOOKUP('Données projet'!$B$10,Paramètres!$A$1:$I$89,3,0)*0.475*44/12</f>
        <v>20.443949594222477</v>
      </c>
      <c r="AW57" s="21">
        <f>EXP(-LN(2)/2)*AW56+(1-EXP(-LN(2)/2))/(LN(2)/2)*AQ57*AT57*VLOOKUP('Données projet'!$B$10,Paramètres!$A$1:$I$89,3,0)*0.475*44/12</f>
        <v>5.4791060753026306</v>
      </c>
      <c r="AX57" s="21">
        <f t="shared" si="6"/>
        <v>76.725679570329802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14.073749999999997</v>
      </c>
      <c r="BD57" s="12">
        <f>IF('Données projet'!$A$88&gt;35,BD56+BC57-BL56,IF(A57&lt;'Données projet'!$A$88,$BA$205^A57,IF(A57='Données projet'!$A$88,'Données projet'!$B$88,BD56+BC57-BL56)))</f>
        <v>290.28500000000008</v>
      </c>
      <c r="BE57" s="13">
        <f>BD57*VLOOKUP('Données projet'!$B$11,Paramètres!$A$1:$I$89,3,0)*VLOOKUP('Données projet'!$B$11,Paramètres!$A$1:$I$89,5,0)</f>
        <v>262.64986800000008</v>
      </c>
      <c r="BF57" s="13">
        <f t="shared" si="37"/>
        <v>63.286888949205185</v>
      </c>
      <c r="BG57" s="20">
        <f t="shared" si="7"/>
        <v>567.67318501986585</v>
      </c>
      <c r="BH57" s="59">
        <f t="shared" si="8"/>
        <v>861.00651835319923</v>
      </c>
      <c r="BI57" s="59">
        <f ca="1">AVERAGE(OFFSET($BH$3,0,0,'Données projet'!$E$11+1,1))-AVERAGE(OFFSET($H$3,0,0,'Données projet'!$E$11+1,1))</f>
        <v>507.69556381324213</v>
      </c>
      <c r="BJ57" s="59">
        <f t="shared" si="38"/>
        <v>129.52638237044044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43.193070138545153</v>
      </c>
      <c r="BR57" s="21">
        <f>EXP(-LN(2)/2)*BR56+(1-EXP(-LN(2)/2))/(LN(2)/2)*BL57*BO57*VLOOKUP('Données projet'!$B$11,Paramètres!$A$1:$I$89,3,0)*0.475*44/12</f>
        <v>3.180237659568161</v>
      </c>
      <c r="BS57" s="22">
        <f t="shared" si="9"/>
        <v>46.373307798113316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3.3603333333333336</v>
      </c>
      <c r="BY57" s="12">
        <f>IF('Données projet'!$A$114&gt;35,BY56+BX57-CG56,IF(A57&lt;'Données projet'!$A$114,$BV$205^A57,IF(A57='Données projet'!$A$114,'Données projet'!$B$114,BY56+BX57-CG56)))</f>
        <v>181.45799999999991</v>
      </c>
      <c r="BZ57" s="13">
        <f>BY57*VLOOKUP('Données projet'!$B$12,Paramètres!$A$1:$I$89,3,0)*VLOOKUP('Données projet'!$B$12,Paramètres!$A$1:$I$89,5,0)</f>
        <v>175.50617759999992</v>
      </c>
      <c r="CA57" s="13">
        <f t="shared" si="39"/>
        <v>44.320927097461883</v>
      </c>
      <c r="CB57" s="20">
        <f t="shared" si="10"/>
        <v>382.8655406814126</v>
      </c>
      <c r="CC57" s="59">
        <f t="shared" si="11"/>
        <v>676.19887401474591</v>
      </c>
      <c r="CD57" s="59">
        <f ca="1">AVERAGE(OFFSET($CC$3,0,0,'Données projet'!$E$12+1,1))-AVERAGE(OFFSET($H$3,0,0,'Données projet'!$E$12+1,1))</f>
        <v>292.52253679467469</v>
      </c>
      <c r="CE57" s="59">
        <f t="shared" si="40"/>
        <v>155.7114133976541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0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6.0096153846153868</v>
      </c>
      <c r="CT57" s="12">
        <f>IF('Données projet'!$A$140&gt;35,CT56+CS57-DB56,IF(A57&lt;'Données projet'!$A$140,$CQ$205^A57,IF(A57='Données projet'!$A$140,'Données projet'!$B$140,CT56+CS57-DB56)))</f>
        <v>154.32692307692307</v>
      </c>
      <c r="CU57" s="17">
        <f>CT57*VLOOKUP('Données projet'!$B$13,Paramètres!$A$1:$I$89,3,0)*VLOOKUP('Données projet'!$B$13,Paramètres!$A$1:$I$89,5,0)</f>
        <v>120.375</v>
      </c>
      <c r="CV57" s="13">
        <f t="shared" si="41"/>
        <v>31.762445997133341</v>
      </c>
      <c r="CW57" s="20">
        <f t="shared" si="13"/>
        <v>264.97271844500727</v>
      </c>
      <c r="CX57" s="59">
        <f t="shared" si="14"/>
        <v>558.30605177834059</v>
      </c>
      <c r="CY57" s="59">
        <f ca="1">AVERAGE(OFFSET($CX$3,0,0,'Données projet'!$E$13+1,1))-AVERAGE(OFFSET($H$3,0,0,'Données projet'!$E$13+1,1))</f>
        <v>100.54865094989304</v>
      </c>
      <c r="CZ57" s="59">
        <f t="shared" si="42"/>
        <v>99.95654161405389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7.7214037026128484</v>
      </c>
      <c r="DG57" s="21">
        <f>EXP(-LN(2)/25)*DG56+(1-EXP(-LN(2)/25))/(LN(2)/25)*Calculateur!DB57*Calculateur!DD57*VLOOKUP('Données projet'!$B$13,Paramètres!$A$1:$I$89,3,0)*0.475*44/12</f>
        <v>8.4240959823246335</v>
      </c>
      <c r="DH57" s="21">
        <f>EXP(-LN(2)/2)*DH56+(1-EXP(-LN(2)/2))/(LN(2)/2)*DB57*DE57*VLOOKUP('Données projet'!$B$13,Paramètres!$A$1:$I$89,3,0)*0.475*44/12</f>
        <v>3.0024178185482904</v>
      </c>
      <c r="DI57" s="22">
        <f t="shared" si="15"/>
        <v>19.147917503485775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4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48.048000000000052</v>
      </c>
      <c r="D58" s="11">
        <f t="shared" si="32"/>
        <v>14.108484750160635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479.80444368545096</v>
      </c>
      <c r="H58" s="67">
        <f t="shared" si="1"/>
        <v>401.58921093986316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3.4106051316484809E-13</v>
      </c>
      <c r="O58" s="13">
        <f>N58*VLOOKUP('Données projet'!$B$9,Paramètres!$A$1:$I$89,3,0)*VLOOKUP('Données projet'!$B$9,Paramètres!$A$1:$I$89,5,0)</f>
        <v>1.9065282685915009E-13</v>
      </c>
      <c r="P58" s="13">
        <f t="shared" si="33"/>
        <v>2.6568987209435707E-12</v>
      </c>
      <c r="Q58" s="20">
        <f t="shared" si="53"/>
        <v>4.959485612423072E-12</v>
      </c>
      <c r="R58" s="59">
        <f t="shared" si="0"/>
        <v>293.33333333333826</v>
      </c>
      <c r="S58" s="59">
        <f ca="1">AVERAGE(OFFSET($R$3,0,0,'Données projet'!$E$9+1,1))-AVERAGE(OFFSET($H$3,0,0,'Données projet'!$E$9+1,1))</f>
        <v>324.69474275039357</v>
      </c>
      <c r="T58" s="59">
        <f t="shared" si="34"/>
        <v>437.68177084535927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241.90087532882438</v>
      </c>
      <c r="AA58" s="21">
        <f>EXP(-LN(2)/25)*AA57+(1-EXP(-LN(2)/25))/(LN(2)/25)*Calculateur!V58*Calculateur!X58*VLOOKUP('Données projet'!$B$9,Paramètres!$A$1:$I$89,3,0)*0.475*44/12</f>
        <v>82.676375567302912</v>
      </c>
      <c r="AB58" s="21">
        <f>EXP(-LN(2)/2)*AB57+(1-EXP(-LN(2)/2))/(LN(2)/2)*V58*Y58*VLOOKUP('Données projet'!$B$9,Paramètres!$A$1:$I$89,3,0)*0.475*44/12</f>
        <v>64.7060073858311</v>
      </c>
      <c r="AC58" s="22">
        <f t="shared" si="3"/>
        <v>389.28325828195841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13.18</v>
      </c>
      <c r="AI58" s="13">
        <f>IF('Données projet'!$A$62&gt;35,AI57+AH58-AQ57,IF(A58&lt;'Données projet'!$A$62,$AF$205^A58,IF(A58='Données projet'!$A$62,'Données projet'!$B$62,AI57+AH58-AQ57)))</f>
        <v>371.84000000000009</v>
      </c>
      <c r="AJ58" s="13">
        <f>AI58*VLOOKUP('Données projet'!$B$10,Paramètres!$A$1:$I$89,3,0)*VLOOKUP('Données projet'!$B$10,Paramètres!$A$1:$I$89,5,0)</f>
        <v>222.36032000000009</v>
      </c>
      <c r="AK58" s="13">
        <f t="shared" si="35"/>
        <v>54.627570556659869</v>
      </c>
      <c r="AL58" s="20">
        <f t="shared" si="4"/>
        <v>482.42057605284941</v>
      </c>
      <c r="AM58" s="59">
        <f t="shared" si="5"/>
        <v>775.75390938618273</v>
      </c>
      <c r="AN58" s="59">
        <f ca="1">AVERAGE(OFFSET($AM$3,0,0,'Données projet'!$E$10+1,1))-AVERAGE(OFFSET($H$3,0,0,'Données projet'!$E$10+1,1))</f>
        <v>214.93913810439858</v>
      </c>
      <c r="AO58" s="59">
        <f t="shared" si="36"/>
        <v>210.65603079265924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49.806415432650837</v>
      </c>
      <c r="AV58" s="21">
        <f>EXP(-LN(2)/25)*AV57+(1-EXP(-LN(2)/25))/(LN(2)/25)*Calculateur!AQ58*Calculateur!AS58*VLOOKUP('Données projet'!$B$10,Paramètres!$A$1:$I$89,3,0)*0.475*44/12</f>
        <v>19.88490871746788</v>
      </c>
      <c r="AW58" s="21">
        <f>EXP(-LN(2)/2)*AW57+(1-EXP(-LN(2)/2))/(LN(2)/2)*AQ58*AT58*VLOOKUP('Données projet'!$B$10,Paramètres!$A$1:$I$89,3,0)*0.475*44/12</f>
        <v>3.8743130606869007</v>
      </c>
      <c r="AX58" s="21">
        <f t="shared" si="6"/>
        <v>73.565637210805619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14.073749999999997</v>
      </c>
      <c r="BD58" s="12">
        <f>IF('Données projet'!$A$88&gt;35,BD57+BC58-BL57,IF(A58&lt;'Données projet'!$A$88,$BA$205^A58,IF(A58='Données projet'!$A$88,'Données projet'!$B$88,BD57+BC58-BL57)))</f>
        <v>304.3587500000001</v>
      </c>
      <c r="BE58" s="13">
        <f>BD58*VLOOKUP('Données projet'!$B$11,Paramètres!$A$1:$I$89,3,0)*VLOOKUP('Données projet'!$B$11,Paramètres!$A$1:$I$89,5,0)</f>
        <v>275.38379700000007</v>
      </c>
      <c r="BF58" s="13">
        <f t="shared" si="37"/>
        <v>65.990530656055242</v>
      </c>
      <c r="BG58" s="20">
        <f t="shared" si="7"/>
        <v>594.56028733429628</v>
      </c>
      <c r="BH58" s="59">
        <f t="shared" si="8"/>
        <v>887.89362066762965</v>
      </c>
      <c r="BI58" s="59">
        <f ca="1">AVERAGE(OFFSET($BH$3,0,0,'Données projet'!$E$11+1,1))-AVERAGE(OFFSET($H$3,0,0,'Données projet'!$E$11+1,1))</f>
        <v>507.69556381324213</v>
      </c>
      <c r="BJ58" s="59">
        <f t="shared" si="38"/>
        <v>129.52638237044044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42.011953364181799</v>
      </c>
      <c r="BR58" s="21">
        <f>EXP(-LN(2)/2)*BR57+(1-EXP(-LN(2)/2))/(LN(2)/2)*BL58*BO58*VLOOKUP('Données projet'!$B$11,Paramètres!$A$1:$I$89,3,0)*0.475*44/12</f>
        <v>2.2487676148654816</v>
      </c>
      <c r="BS58" s="22">
        <f t="shared" si="9"/>
        <v>44.260720979047278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3.3603333333333336</v>
      </c>
      <c r="BY58" s="12">
        <f>IF('Données projet'!$A$114&gt;35,BY57+BX58-CG57,IF(A58&lt;'Données projet'!$A$114,$BV$205^A58,IF(A58='Données projet'!$A$114,'Données projet'!$B$114,BY57+BX58-CG57)))</f>
        <v>184.81833333333324</v>
      </c>
      <c r="BZ58" s="13">
        <f>BY58*VLOOKUP('Données projet'!$B$12,Paramètres!$A$1:$I$89,3,0)*VLOOKUP('Données projet'!$B$12,Paramètres!$A$1:$I$89,5,0)</f>
        <v>178.75629199999992</v>
      </c>
      <c r="CA58" s="13">
        <f t="shared" si="39"/>
        <v>45.045372492523107</v>
      </c>
      <c r="CB58" s="20">
        <f t="shared" si="10"/>
        <v>389.78789899114423</v>
      </c>
      <c r="CC58" s="59">
        <f t="shared" si="11"/>
        <v>683.12123232447755</v>
      </c>
      <c r="CD58" s="59">
        <f ca="1">AVERAGE(OFFSET($CC$3,0,0,'Données projet'!$E$12+1,1))-AVERAGE(OFFSET($H$3,0,0,'Données projet'!$E$12+1,1))</f>
        <v>292.52253679467469</v>
      </c>
      <c r="CE58" s="59">
        <f t="shared" si="40"/>
        <v>155.7114133976541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0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6.0096153846153868</v>
      </c>
      <c r="CT58" s="12">
        <f>IF('Données projet'!$A$140&gt;35,CT57+CS58-DB57,IF(A58&lt;'Données projet'!$A$140,$CQ$205^A58,IF(A58='Données projet'!$A$140,'Données projet'!$B$140,CT57+CS58-DB57)))</f>
        <v>160.33653846153845</v>
      </c>
      <c r="CU58" s="17">
        <f>CT58*VLOOKUP('Données projet'!$B$13,Paramètres!$A$1:$I$89,3,0)*VLOOKUP('Données projet'!$B$13,Paramètres!$A$1:$I$89,5,0)</f>
        <v>125.0625</v>
      </c>
      <c r="CV58" s="13">
        <f t="shared" si="41"/>
        <v>32.852889709555718</v>
      </c>
      <c r="CW58" s="20">
        <f t="shared" si="13"/>
        <v>275.03597041080951</v>
      </c>
      <c r="CX58" s="59">
        <f t="shared" si="14"/>
        <v>568.36930374414283</v>
      </c>
      <c r="CY58" s="59">
        <f ca="1">AVERAGE(OFFSET($CX$3,0,0,'Données projet'!$E$13+1,1))-AVERAGE(OFFSET($H$3,0,0,'Données projet'!$E$13+1,1))</f>
        <v>100.54865094989304</v>
      </c>
      <c r="CZ58" s="59">
        <f t="shared" si="42"/>
        <v>99.95654161405389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7.5699916855958351</v>
      </c>
      <c r="DG58" s="21">
        <f>EXP(-LN(2)/25)*DG57+(1-EXP(-LN(2)/25))/(LN(2)/25)*Calculateur!DB58*Calculateur!DD58*VLOOKUP('Données projet'!$B$13,Paramètres!$A$1:$I$89,3,0)*0.475*44/12</f>
        <v>8.1937386346840118</v>
      </c>
      <c r="DH58" s="21">
        <f>EXP(-LN(2)/2)*DH57+(1-EXP(-LN(2)/2))/(LN(2)/2)*DB58*DE58*VLOOKUP('Données projet'!$B$13,Paramètres!$A$1:$I$89,3,0)*0.475*44/12</f>
        <v>2.1230299994508175</v>
      </c>
      <c r="DI58" s="22">
        <f t="shared" si="15"/>
        <v>17.886760319730666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4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48.921600000000055</v>
      </c>
      <c r="D59" s="11">
        <f t="shared" si="32"/>
        <v>14.334905731333885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488.29583371556026</v>
      </c>
      <c r="H59" s="67">
        <f t="shared" si="1"/>
        <v>403.50508081540659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3.4106051316484809E-13</v>
      </c>
      <c r="O59" s="13">
        <f>N59*VLOOKUP('Données projet'!$B$9,Paramètres!$A$1:$I$89,3,0)*VLOOKUP('Données projet'!$B$9,Paramètres!$A$1:$I$89,5,0)</f>
        <v>1.9065282685915009E-13</v>
      </c>
      <c r="P59" s="13">
        <f t="shared" si="33"/>
        <v>2.6568987209435707E-12</v>
      </c>
      <c r="Q59" s="20">
        <f t="shared" si="53"/>
        <v>4.959485612423072E-12</v>
      </c>
      <c r="R59" s="59">
        <f t="shared" si="0"/>
        <v>293.33333333333826</v>
      </c>
      <c r="S59" s="59">
        <f ca="1">AVERAGE(OFFSET($R$3,0,0,'Données projet'!$E$9+1,1))-AVERAGE(OFFSET($H$3,0,0,'Données projet'!$E$9+1,1))</f>
        <v>324.69474275039357</v>
      </c>
      <c r="T59" s="59">
        <f t="shared" si="34"/>
        <v>437.68177084535927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237.15734670859123</v>
      </c>
      <c r="AA59" s="21">
        <f>EXP(-LN(2)/25)*AA58+(1-EXP(-LN(2)/25))/(LN(2)/25)*Calculateur!V59*Calculateur!X59*VLOOKUP('Données projet'!$B$9,Paramètres!$A$1:$I$89,3,0)*0.475*44/12</f>
        <v>80.415585729653387</v>
      </c>
      <c r="AB59" s="21">
        <f>EXP(-LN(2)/2)*AB58+(1-EXP(-LN(2)/2))/(LN(2)/2)*V59*Y59*VLOOKUP('Données projet'!$B$9,Paramètres!$A$1:$I$89,3,0)*0.475*44/12</f>
        <v>45.754056606028001</v>
      </c>
      <c r="AC59" s="22">
        <f t="shared" si="3"/>
        <v>363.32698904427264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13.18</v>
      </c>
      <c r="AI59" s="13">
        <f>IF('Données projet'!$A$62&gt;35,AI58+AH59-AQ58,IF(A59&lt;'Données projet'!$A$62,$AF$205^A59,IF(A59='Données projet'!$A$62,'Données projet'!$B$62,AI58+AH59-AQ58)))</f>
        <v>385.0200000000001</v>
      </c>
      <c r="AJ59" s="13">
        <f>AI59*VLOOKUP('Données projet'!$B$10,Paramètres!$A$1:$I$89,3,0)*VLOOKUP('Données projet'!$B$10,Paramètres!$A$1:$I$89,5,0)</f>
        <v>230.24196000000006</v>
      </c>
      <c r="AK59" s="13">
        <f t="shared" si="35"/>
        <v>56.334995738213507</v>
      </c>
      <c r="AL59" s="20">
        <f t="shared" si="4"/>
        <v>499.12153124405523</v>
      </c>
      <c r="AM59" s="59">
        <f t="shared" si="5"/>
        <v>792.45486457738855</v>
      </c>
      <c r="AN59" s="59">
        <f ca="1">AVERAGE(OFFSET($AM$3,0,0,'Données projet'!$E$10+1,1))-AVERAGE(OFFSET($H$3,0,0,'Données projet'!$E$10+1,1))</f>
        <v>214.93913810439858</v>
      </c>
      <c r="AO59" s="59">
        <f t="shared" si="36"/>
        <v>210.65603079265924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48.829742004930303</v>
      </c>
      <c r="AV59" s="21">
        <f>EXP(-LN(2)/25)*AV58+(1-EXP(-LN(2)/25))/(LN(2)/25)*Calculateur!AQ59*Calculateur!AS59*VLOOKUP('Données projet'!$B$10,Paramètres!$A$1:$I$89,3,0)*0.475*44/12</f>
        <v>19.341154842886819</v>
      </c>
      <c r="AW59" s="21">
        <f>EXP(-LN(2)/2)*AW58+(1-EXP(-LN(2)/2))/(LN(2)/2)*AQ59*AT59*VLOOKUP('Données projet'!$B$10,Paramètres!$A$1:$I$89,3,0)*0.475*44/12</f>
        <v>2.7395530376513157</v>
      </c>
      <c r="AX59" s="21">
        <f t="shared" si="6"/>
        <v>70.910449885468438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14.073749999999997</v>
      </c>
      <c r="BD59" s="12">
        <f>IF('Données projet'!$A$88&gt;35,BD58+BC59-BL58,IF(A59&lt;'Données projet'!$A$88,$BA$205^A59,IF(A59='Données projet'!$A$88,'Données projet'!$B$88,BD58+BC59-BL58)))</f>
        <v>318.43250000000012</v>
      </c>
      <c r="BE59" s="13">
        <f>BD59*VLOOKUP('Données projet'!$B$11,Paramètres!$A$1:$I$89,3,0)*VLOOKUP('Données projet'!$B$11,Paramètres!$A$1:$I$89,5,0)</f>
        <v>288.11772600000012</v>
      </c>
      <c r="BF59" s="13">
        <f t="shared" si="37"/>
        <v>68.679653876016673</v>
      </c>
      <c r="BG59" s="20">
        <f t="shared" si="7"/>
        <v>621.42210328406259</v>
      </c>
      <c r="BH59" s="59">
        <f t="shared" si="8"/>
        <v>914.75543661739584</v>
      </c>
      <c r="BI59" s="59">
        <f ca="1">AVERAGE(OFFSET($BH$3,0,0,'Données projet'!$E$11+1,1))-AVERAGE(OFFSET($H$3,0,0,'Données projet'!$E$11+1,1))</f>
        <v>507.69556381324213</v>
      </c>
      <c r="BJ59" s="59">
        <f t="shared" si="38"/>
        <v>129.52638237044044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40.863134290125643</v>
      </c>
      <c r="BR59" s="21">
        <f>EXP(-LN(2)/2)*BR58+(1-EXP(-LN(2)/2))/(LN(2)/2)*BL59*BO59*VLOOKUP('Données projet'!$B$11,Paramètres!$A$1:$I$89,3,0)*0.475*44/12</f>
        <v>1.5901188297840805</v>
      </c>
      <c r="BS59" s="22">
        <f t="shared" si="9"/>
        <v>42.453253119909725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3.3603333333333336</v>
      </c>
      <c r="BY59" s="12">
        <f>IF('Données projet'!$A$114&gt;35,BY58+BX59-CG58,IF(A59&lt;'Données projet'!$A$114,$BV$205^A59,IF(A59='Données projet'!$A$114,'Données projet'!$B$114,BY58+BX59-CG58)))</f>
        <v>188.17866666666657</v>
      </c>
      <c r="BZ59" s="13">
        <f>BY59*VLOOKUP('Données projet'!$B$12,Paramètres!$A$1:$I$89,3,0)*VLOOKUP('Données projet'!$B$12,Paramètres!$A$1:$I$89,5,0)</f>
        <v>182.00640639999992</v>
      </c>
      <c r="CA59" s="13">
        <f t="shared" si="39"/>
        <v>45.768286229730428</v>
      </c>
      <c r="CB59" s="20">
        <f t="shared" si="10"/>
        <v>396.70758966344698</v>
      </c>
      <c r="CC59" s="59">
        <f t="shared" si="11"/>
        <v>690.0409229967803</v>
      </c>
      <c r="CD59" s="59">
        <f ca="1">AVERAGE(OFFSET($CC$3,0,0,'Données projet'!$E$12+1,1))-AVERAGE(OFFSET($H$3,0,0,'Données projet'!$E$12+1,1))</f>
        <v>292.52253679467469</v>
      </c>
      <c r="CE59" s="59">
        <f t="shared" si="40"/>
        <v>155.7114133976541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0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6.0096153846153868</v>
      </c>
      <c r="CT59" s="12">
        <f>IF('Données projet'!$A$140&gt;35,CT58+CS59-DB58,IF(A59&lt;'Données projet'!$A$140,$CQ$205^A59,IF(A59='Données projet'!$A$140,'Données projet'!$B$140,CT58+CS59-DB58)))</f>
        <v>166.34615384615384</v>
      </c>
      <c r="CU59" s="17">
        <f>CT59*VLOOKUP('Données projet'!$B$13,Paramètres!$A$1:$I$89,3,0)*VLOOKUP('Données projet'!$B$13,Paramètres!$A$1:$I$89,5,0)</f>
        <v>129.75</v>
      </c>
      <c r="CV59" s="13">
        <f t="shared" si="41"/>
        <v>33.938585202364465</v>
      </c>
      <c r="CW59" s="20">
        <f t="shared" si="13"/>
        <v>285.09095256078473</v>
      </c>
      <c r="CX59" s="59">
        <f t="shared" si="14"/>
        <v>578.42428589411804</v>
      </c>
      <c r="CY59" s="59">
        <f ca="1">AVERAGE(OFFSET($CX$3,0,0,'Données projet'!$E$13+1,1))-AVERAGE(OFFSET($H$3,0,0,'Données projet'!$E$13+1,1))</f>
        <v>100.54865094989304</v>
      </c>
      <c r="CZ59" s="59">
        <f t="shared" si="42"/>
        <v>99.95654161405389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7.4215487658803143</v>
      </c>
      <c r="DG59" s="21">
        <f>EXP(-LN(2)/25)*DG58+(1-EXP(-LN(2)/25))/(LN(2)/25)*Calculateur!DB59*Calculateur!DD59*VLOOKUP('Données projet'!$B$13,Paramètres!$A$1:$I$89,3,0)*0.475*44/12</f>
        <v>7.9696804208285901</v>
      </c>
      <c r="DH59" s="21">
        <f>EXP(-LN(2)/2)*DH58+(1-EXP(-LN(2)/2))/(LN(2)/2)*DB59*DE59*VLOOKUP('Données projet'!$B$13,Paramètres!$A$1:$I$89,3,0)*0.475*44/12</f>
        <v>1.5012089092741454</v>
      </c>
      <c r="DI59" s="22">
        <f t="shared" si="15"/>
        <v>16.892438095983049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4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49.795200000000058</v>
      </c>
      <c r="D60" s="11">
        <f t="shared" si="32"/>
        <v>14.560856542690793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496.78359436463114</v>
      </c>
      <c r="H60" s="67">
        <f t="shared" si="1"/>
        <v>405.4201318118532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3.4106051316484809E-13</v>
      </c>
      <c r="O60" s="13">
        <f>N60*VLOOKUP('Données projet'!$B$9,Paramètres!$A$1:$I$89,3,0)*VLOOKUP('Données projet'!$B$9,Paramètres!$A$1:$I$89,5,0)</f>
        <v>1.9065282685915009E-13</v>
      </c>
      <c r="P60" s="13">
        <f t="shared" si="33"/>
        <v>2.6568987209435707E-12</v>
      </c>
      <c r="Q60" s="20">
        <f t="shared" si="53"/>
        <v>4.959485612423072E-12</v>
      </c>
      <c r="R60" s="59">
        <f t="shared" si="0"/>
        <v>293.33333333333826</v>
      </c>
      <c r="S60" s="59">
        <f ca="1">AVERAGE(OFFSET($R$3,0,0,'Données projet'!$E$9+1,1))-AVERAGE(OFFSET($H$3,0,0,'Données projet'!$E$9+1,1))</f>
        <v>324.69474275039357</v>
      </c>
      <c r="T60" s="59">
        <f t="shared" si="34"/>
        <v>437.68177084535927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232.50683579133408</v>
      </c>
      <c r="AA60" s="21">
        <f>EXP(-LN(2)/25)*AA59+(1-EXP(-LN(2)/25))/(LN(2)/25)*Calculateur!V60*Calculateur!X60*VLOOKUP('Données projet'!$B$9,Paramètres!$A$1:$I$89,3,0)*0.475*44/12</f>
        <v>78.21661730900415</v>
      </c>
      <c r="AB60" s="21">
        <f>EXP(-LN(2)/2)*AB59+(1-EXP(-LN(2)/2))/(LN(2)/2)*V60*Y60*VLOOKUP('Données projet'!$B$9,Paramètres!$A$1:$I$89,3,0)*0.475*44/12</f>
        <v>32.35300369291555</v>
      </c>
      <c r="AC60" s="22">
        <f t="shared" si="3"/>
        <v>343.07645679325378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13.18</v>
      </c>
      <c r="AI60" s="13">
        <f>IF('Données projet'!$A$62&gt;35,AI59+AH60-AQ59,IF(A60&lt;'Données projet'!$A$62,$AF$205^A60,IF(A60='Données projet'!$A$62,'Données projet'!$B$62,AI59+AH60-AQ59)))</f>
        <v>398.2000000000001</v>
      </c>
      <c r="AJ60" s="13">
        <f>AI60*VLOOKUP('Données projet'!$B$10,Paramètres!$A$1:$I$89,3,0)*VLOOKUP('Données projet'!$B$10,Paramètres!$A$1:$I$89,5,0)</f>
        <v>238.12360000000007</v>
      </c>
      <c r="AK60" s="13">
        <f t="shared" si="35"/>
        <v>58.035629642885198</v>
      </c>
      <c r="AL60" s="20">
        <f t="shared" si="4"/>
        <v>515.81065829469196</v>
      </c>
      <c r="AM60" s="59">
        <f t="shared" si="5"/>
        <v>809.14399162802533</v>
      </c>
      <c r="AN60" s="59">
        <f ca="1">AVERAGE(OFFSET($AM$3,0,0,'Données projet'!$E$10+1,1))-AVERAGE(OFFSET($H$3,0,0,'Données projet'!$E$10+1,1))</f>
        <v>214.93913810439858</v>
      </c>
      <c r="AO60" s="59">
        <f t="shared" si="36"/>
        <v>210.65603079265924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47.872220547415395</v>
      </c>
      <c r="AV60" s="21">
        <f>EXP(-LN(2)/25)*AV59+(1-EXP(-LN(2)/25))/(LN(2)/25)*Calculateur!AQ60*Calculateur!AS60*VLOOKUP('Données projet'!$B$10,Paramètres!$A$1:$I$89,3,0)*0.475*44/12</f>
        <v>18.812269946600949</v>
      </c>
      <c r="AW60" s="21">
        <f>EXP(-LN(2)/2)*AW59+(1-EXP(-LN(2)/2))/(LN(2)/2)*AQ60*AT60*VLOOKUP('Données projet'!$B$10,Paramètres!$A$1:$I$89,3,0)*0.475*44/12</f>
        <v>1.9371565303434506</v>
      </c>
      <c r="AX60" s="21">
        <f t="shared" si="6"/>
        <v>68.621647024359788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14.073749999999997</v>
      </c>
      <c r="BD60" s="12">
        <f>IF('Données projet'!$A$88&gt;35,BD59+BC60-BL59,IF(A60&lt;'Données projet'!$A$88,$BA$205^A60,IF(A60='Données projet'!$A$88,'Données projet'!$B$88,BD59+BC60-BL59)))</f>
        <v>332.50625000000014</v>
      </c>
      <c r="BE60" s="13">
        <f>BD60*VLOOKUP('Données projet'!$B$11,Paramètres!$A$1:$I$89,3,0)*VLOOKUP('Données projet'!$B$11,Paramètres!$A$1:$I$89,5,0)</f>
        <v>300.85165500000011</v>
      </c>
      <c r="BF60" s="13">
        <f t="shared" si="37"/>
        <v>71.354973608730333</v>
      </c>
      <c r="BG60" s="20">
        <f t="shared" si="7"/>
        <v>648.25987816020552</v>
      </c>
      <c r="BH60" s="59">
        <f t="shared" si="8"/>
        <v>941.59321149353877</v>
      </c>
      <c r="BI60" s="59">
        <f ca="1">AVERAGE(OFFSET($BH$3,0,0,'Données projet'!$E$11+1,1))-AVERAGE(OFFSET($H$3,0,0,'Données projet'!$E$11+1,1))</f>
        <v>507.69556381324213</v>
      </c>
      <c r="BJ60" s="59">
        <f t="shared" si="38"/>
        <v>129.52638237044044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39.745729734063318</v>
      </c>
      <c r="BR60" s="21">
        <f>EXP(-LN(2)/2)*BR59+(1-EXP(-LN(2)/2))/(LN(2)/2)*BL60*BO60*VLOOKUP('Données projet'!$B$11,Paramètres!$A$1:$I$89,3,0)*0.475*44/12</f>
        <v>1.1243838074327408</v>
      </c>
      <c r="BS60" s="22">
        <f t="shared" si="9"/>
        <v>40.87011354149606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3.3603333333333336</v>
      </c>
      <c r="BY60" s="12">
        <f>IF('Données projet'!$A$114&gt;35,BY59+BX60-CG59,IF(A60&lt;'Données projet'!$A$114,$BV$205^A60,IF(A60='Données projet'!$A$114,'Données projet'!$B$114,BY59+BX60-CG59)))</f>
        <v>191.5389999999999</v>
      </c>
      <c r="BZ60" s="13">
        <f>BY60*VLOOKUP('Données projet'!$B$12,Paramètres!$A$1:$I$89,3,0)*VLOOKUP('Données projet'!$B$12,Paramètres!$A$1:$I$89,5,0)</f>
        <v>185.25652079999989</v>
      </c>
      <c r="CA60" s="13">
        <f t="shared" si="39"/>
        <v>46.489698815333881</v>
      </c>
      <c r="CB60" s="20">
        <f t="shared" si="10"/>
        <v>403.62466583003965</v>
      </c>
      <c r="CC60" s="59">
        <f t="shared" si="11"/>
        <v>696.95799916337296</v>
      </c>
      <c r="CD60" s="59">
        <f ca="1">AVERAGE(OFFSET($CC$3,0,0,'Données projet'!$E$12+1,1))-AVERAGE(OFFSET($H$3,0,0,'Données projet'!$E$12+1,1))</f>
        <v>292.52253679467469</v>
      </c>
      <c r="CE60" s="59">
        <f t="shared" si="40"/>
        <v>155.7114133976541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0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6.0096153846153868</v>
      </c>
      <c r="CT60" s="12">
        <f>IF('Données projet'!$A$140&gt;35,CT59+CS60-DB59,IF(A60&lt;'Données projet'!$A$140,$CQ$205^A60,IF(A60='Données projet'!$A$140,'Données projet'!$B$140,CT59+CS60-DB59)))</f>
        <v>172.35576923076923</v>
      </c>
      <c r="CU60" s="17">
        <f>CT60*VLOOKUP('Données projet'!$B$13,Paramètres!$A$1:$I$89,3,0)*VLOOKUP('Données projet'!$B$13,Paramètres!$A$1:$I$89,5,0)</f>
        <v>134.4375</v>
      </c>
      <c r="CV60" s="13">
        <f t="shared" si="41"/>
        <v>35.019723665000747</v>
      </c>
      <c r="CW60" s="20">
        <f t="shared" si="13"/>
        <v>295.13799788320961</v>
      </c>
      <c r="CX60" s="59">
        <f t="shared" si="14"/>
        <v>588.47133121654292</v>
      </c>
      <c r="CY60" s="59">
        <f ca="1">AVERAGE(OFFSET($CX$3,0,0,'Données projet'!$E$13+1,1))-AVERAGE(OFFSET($H$3,0,0,'Données projet'!$E$13+1,1))</f>
        <v>100.54865094989304</v>
      </c>
      <c r="CZ60" s="59">
        <f t="shared" si="42"/>
        <v>99.95654161405389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7.2760167212791744</v>
      </c>
      <c r="DG60" s="21">
        <f>EXP(-LN(2)/25)*DG59+(1-EXP(-LN(2)/25))/(LN(2)/25)*Calculateur!DB60*Calculateur!DD60*VLOOKUP('Données projet'!$B$13,Paramètres!$A$1:$I$89,3,0)*0.475*44/12</f>
        <v>7.7517490906137541</v>
      </c>
      <c r="DH60" s="21">
        <f>EXP(-LN(2)/2)*DH59+(1-EXP(-LN(2)/2))/(LN(2)/2)*DB60*DE60*VLOOKUP('Données projet'!$B$13,Paramètres!$A$1:$I$89,3,0)*0.475*44/12</f>
        <v>1.061514999725409</v>
      </c>
      <c r="DI60" s="22">
        <f t="shared" si="15"/>
        <v>16.089280811618337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4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50.668800000000061</v>
      </c>
      <c r="D61" s="11">
        <f t="shared" si="32"/>
        <v>14.786346384516133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505.26779665240582</v>
      </c>
      <c r="H61" s="67">
        <f t="shared" si="1"/>
        <v>407.33437995303234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3.4106051316484809E-13</v>
      </c>
      <c r="O61" s="13">
        <f>N61*VLOOKUP('Données projet'!$B$9,Paramètres!$A$1:$I$89,3,0)*VLOOKUP('Données projet'!$B$9,Paramètres!$A$1:$I$89,5,0)</f>
        <v>1.9065282685915009E-13</v>
      </c>
      <c r="P61" s="13">
        <f t="shared" si="33"/>
        <v>2.6568987209435707E-12</v>
      </c>
      <c r="Q61" s="20">
        <f t="shared" si="53"/>
        <v>4.959485612423072E-12</v>
      </c>
      <c r="R61" s="59">
        <f t="shared" si="0"/>
        <v>293.33333333333826</v>
      </c>
      <c r="S61" s="59">
        <f ca="1">AVERAGE(OFFSET($R$3,0,0,'Données projet'!$E$9+1,1))-AVERAGE(OFFSET($H$3,0,0,'Données projet'!$E$9+1,1))</f>
        <v>324.69474275039357</v>
      </c>
      <c r="T61" s="59">
        <f t="shared" si="34"/>
        <v>437.68177084535927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227.94751855663276</v>
      </c>
      <c r="AA61" s="21">
        <f>EXP(-LN(2)/25)*AA60+(1-EXP(-LN(2)/25))/(LN(2)/25)*Calculateur!V61*Calculateur!X61*VLOOKUP('Données projet'!$B$9,Paramètres!$A$1:$I$89,3,0)*0.475*44/12</f>
        <v>76.077779795456294</v>
      </c>
      <c r="AB61" s="21">
        <f>EXP(-LN(2)/2)*AB60+(1-EXP(-LN(2)/2))/(LN(2)/2)*V61*Y61*VLOOKUP('Données projet'!$B$9,Paramètres!$A$1:$I$89,3,0)*0.475*44/12</f>
        <v>22.877028303014001</v>
      </c>
      <c r="AC61" s="22">
        <f t="shared" si="3"/>
        <v>326.90232665510308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13.18</v>
      </c>
      <c r="AI61" s="13">
        <f>IF('Données projet'!$A$62&gt;35,AI60+AH61-AQ60,IF(A61&lt;'Données projet'!$A$62,$AF$205^A61,IF(A61='Données projet'!$A$62,'Données projet'!$B$62,AI60+AH61-AQ60)))</f>
        <v>411.38000000000011</v>
      </c>
      <c r="AJ61" s="13">
        <f>AI61*VLOOKUP('Données projet'!$B$10,Paramètres!$A$1:$I$89,3,0)*VLOOKUP('Données projet'!$B$10,Paramètres!$A$1:$I$89,5,0)</f>
        <v>246.0052400000001</v>
      </c>
      <c r="AK61" s="13">
        <f t="shared" si="35"/>
        <v>59.729722829762714</v>
      </c>
      <c r="AL61" s="20">
        <f t="shared" si="4"/>
        <v>532.48839359517024</v>
      </c>
      <c r="AM61" s="59">
        <f t="shared" si="5"/>
        <v>825.82172692850349</v>
      </c>
      <c r="AN61" s="59">
        <f ca="1">AVERAGE(OFFSET($AM$3,0,0,'Données projet'!$E$10+1,1))-AVERAGE(OFFSET($H$3,0,0,'Données projet'!$E$10+1,1))</f>
        <v>214.93913810439858</v>
      </c>
      <c r="AO61" s="59">
        <f t="shared" si="36"/>
        <v>210.65603079265924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46.933475501651934</v>
      </c>
      <c r="AV61" s="21">
        <f>EXP(-LN(2)/25)*AV60+(1-EXP(-LN(2)/25))/(LN(2)/25)*Calculateur!AQ61*Calculateur!AS61*VLOOKUP('Données projet'!$B$10,Paramètres!$A$1:$I$89,3,0)*0.475*44/12</f>
        <v>18.297847435616866</v>
      </c>
      <c r="AW61" s="21">
        <f>EXP(-LN(2)/2)*AW60+(1-EXP(-LN(2)/2))/(LN(2)/2)*AQ61*AT61*VLOOKUP('Données projet'!$B$10,Paramètres!$A$1:$I$89,3,0)*0.475*44/12</f>
        <v>1.3697765188256581</v>
      </c>
      <c r="AX61" s="21">
        <f t="shared" si="6"/>
        <v>66.60109945609446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>
        <f>VLOOKUP(A61,'Données projet'!$A$87:$I$107,2,0)</f>
        <v>346.58</v>
      </c>
      <c r="BB61" s="12">
        <f>VLOOKUP(A61,'Données projet'!$A$87:$I$107,9,0)</f>
        <v>14.073749999999997</v>
      </c>
      <c r="BC61" s="12">
        <f t="array" ref="BC61">INDEX(BB:BB,MIN(IF(ISNUMBER(BB61:BB257),ROW(BB61:BB257),"")))</f>
        <v>14.073749999999997</v>
      </c>
      <c r="BD61" s="12">
        <f>IF('Données projet'!$A$88&gt;35,BD60+BC61-BL60,IF(A61&lt;'Données projet'!$A$88,$BA$205^A61,IF(A61='Données projet'!$A$88,'Données projet'!$B$88,BD60+BC61-BL60)))</f>
        <v>346.58000000000015</v>
      </c>
      <c r="BE61" s="13">
        <f>BD61*VLOOKUP('Données projet'!$B$11,Paramètres!$A$1:$I$89,3,0)*VLOOKUP('Données projet'!$B$11,Paramètres!$A$1:$I$89,5,0)</f>
        <v>313.58558400000015</v>
      </c>
      <c r="BF61" s="13">
        <f t="shared" si="37"/>
        <v>74.017140903550782</v>
      </c>
      <c r="BG61" s="20">
        <f t="shared" si="7"/>
        <v>675.07474587368461</v>
      </c>
      <c r="BH61" s="59">
        <f t="shared" si="8"/>
        <v>968.40807920701786</v>
      </c>
      <c r="BI61" s="59">
        <f ca="1">AVERAGE(OFFSET($BH$3,0,0,'Données projet'!$E$11+1,1))-AVERAGE(OFFSET($H$3,0,0,'Données projet'!$E$11+1,1))</f>
        <v>507.69556381324213</v>
      </c>
      <c r="BJ61" s="59">
        <f t="shared" si="38"/>
        <v>129.52638237044044</v>
      </c>
      <c r="BK61" s="15">
        <f>IF(ISNA(VLOOKUP(A61,'Données projet'!$A$87:$I$107,3,0)),0,VLOOKUP(A61,'Données projet'!$A$87:$I$107,3,0))</f>
        <v>4</v>
      </c>
      <c r="BL61" s="15">
        <f>IF(ISNA(VLOOKUP(A61,'Données projet'!$A$87:$I$107,4,0)),0,VLOOKUP(A61,'Données projet'!$A$87:$I$107,4,0))</f>
        <v>65.819999999999993</v>
      </c>
      <c r="BM61" s="16">
        <f>IF(ISNA(VLOOKUP(A61,'Données projet'!$A$87:$I$107,5,0)),0%,VLOOKUP(A61,'Données projet'!$A$87:$I$107,5,0)*VLOOKUP('Données projet'!$B$11,Paramètres!$A$1:$I$89,7,0))</f>
        <v>0.15049999999999999</v>
      </c>
      <c r="BN61" s="16">
        <f>IF(ISNA(VLOOKUP(A61,'Données projet'!$A$87:$I$107,6,0)),0%,VLOOKUP(A61,'Données projet'!$A$87:$I$107,6,0)*VLOOKUP('Données projet'!$B$11,Paramètres!$A$1:$I$89,7,0))</f>
        <v>8.6000000000000007E-2</v>
      </c>
      <c r="BO61" s="16">
        <f>IF(ISNA(VLOOKUP(A61,'Données projet'!$A$87:$I$107,7,0)),0%,VLOOKUP(A61,'Données projet'!$A$87:$I$107,7,0))</f>
        <v>0.1</v>
      </c>
      <c r="BP61" s="21">
        <f>EXP(-LN(2)/35)*BP60+(1-EXP(-LN(2)/35))/(LN(2)/35)*BL61*BM61*VLOOKUP('Données projet'!$B$11,Paramètres!$A$1:$I$89,3,0)*0.475*44/12</f>
        <v>9.9081843910064524</v>
      </c>
      <c r="BQ61" s="21">
        <f>EXP(-LN(2)/25)*BQ60+(1-EXP(-LN(2)/25))/(LN(2)/25)*Calculateur!BL61*Calculateur!BN61*VLOOKUP('Données projet'!$B$11,Paramètres!$A$1:$I$89,3,0)*0.475*44/12</f>
        <v>44.298407575059599</v>
      </c>
      <c r="BR61" s="21">
        <f>EXP(-LN(2)/2)*BR60+(1-EXP(-LN(2)/2))/(LN(2)/2)*BL61*BO61*VLOOKUP('Données projet'!$B$11,Paramètres!$A$1:$I$89,3,0)*0.475*44/12</f>
        <v>6.414133563560716</v>
      </c>
      <c r="BS61" s="22">
        <f t="shared" si="9"/>
        <v>60.620725529626768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3.3603333333333336</v>
      </c>
      <c r="BY61" s="12">
        <f>IF('Données projet'!$A$114&gt;35,BY60+BX61-CG60,IF(A61&lt;'Données projet'!$A$114,$BV$205^A61,IF(A61='Données projet'!$A$114,'Données projet'!$B$114,BY60+BX61-CG60)))</f>
        <v>194.89933333333323</v>
      </c>
      <c r="BZ61" s="13">
        <f>BY61*VLOOKUP('Données projet'!$B$12,Paramètres!$A$1:$I$89,3,0)*VLOOKUP('Données projet'!$B$12,Paramètres!$A$1:$I$89,5,0)</f>
        <v>188.50663519999989</v>
      </c>
      <c r="CA61" s="13">
        <f t="shared" si="39"/>
        <v>47.209639623873699</v>
      </c>
      <c r="CB61" s="20">
        <f t="shared" si="10"/>
        <v>410.53917865157979</v>
      </c>
      <c r="CC61" s="59">
        <f t="shared" si="11"/>
        <v>703.8725119849131</v>
      </c>
      <c r="CD61" s="59">
        <f ca="1">AVERAGE(OFFSET($CC$3,0,0,'Données projet'!$E$12+1,1))-AVERAGE(OFFSET($H$3,0,0,'Données projet'!$E$12+1,1))</f>
        <v>292.52253679467469</v>
      </c>
      <c r="CE61" s="59">
        <f t="shared" si="40"/>
        <v>155.7114133976541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0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6.0096153846153868</v>
      </c>
      <c r="CT61" s="12">
        <f>IF('Données projet'!$A$140&gt;35,CT60+CS61-DB60,IF(A61&lt;'Données projet'!$A$140,$CQ$205^A61,IF(A61='Données projet'!$A$140,'Données projet'!$B$140,CT60+CS61-DB60)))</f>
        <v>178.36538461538461</v>
      </c>
      <c r="CU61" s="17">
        <f>CT61*VLOOKUP('Données projet'!$B$13,Paramètres!$A$1:$I$89,3,0)*VLOOKUP('Données projet'!$B$13,Paramètres!$A$1:$I$89,5,0)</f>
        <v>139.125</v>
      </c>
      <c r="CV61" s="13">
        <f t="shared" si="41"/>
        <v>36.096482198248644</v>
      </c>
      <c r="CW61" s="20">
        <f t="shared" si="13"/>
        <v>305.17741482861635</v>
      </c>
      <c r="CX61" s="59">
        <f t="shared" si="14"/>
        <v>598.51074816194966</v>
      </c>
      <c r="CY61" s="59">
        <f ca="1">AVERAGE(OFFSET($CX$3,0,0,'Données projet'!$E$13+1,1))-AVERAGE(OFFSET($H$3,0,0,'Données projet'!$E$13+1,1))</f>
        <v>100.54865094989304</v>
      </c>
      <c r="CZ61" s="59">
        <f t="shared" si="42"/>
        <v>99.95654161405389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7.1333384713068808</v>
      </c>
      <c r="DG61" s="21">
        <f>EXP(-LN(2)/25)*DG60+(1-EXP(-LN(2)/25))/(LN(2)/25)*Calculateur!DB61*Calculateur!DD61*VLOOKUP('Données projet'!$B$13,Paramètres!$A$1:$I$89,3,0)*0.475*44/12</f>
        <v>7.5397771040841528</v>
      </c>
      <c r="DH61" s="21">
        <f>EXP(-LN(2)/2)*DH60+(1-EXP(-LN(2)/2))/(LN(2)/2)*DB61*DE61*VLOOKUP('Données projet'!$B$13,Paramètres!$A$1:$I$89,3,0)*0.475*44/12</f>
        <v>0.75060445463707282</v>
      </c>
      <c r="DI61" s="22">
        <f t="shared" si="15"/>
        <v>15.423720030028106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4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51.542400000000065</v>
      </c>
      <c r="D62" s="11">
        <f t="shared" si="32"/>
        <v>15.011384121666367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513.74850900935496</v>
      </c>
      <c r="H62" s="67">
        <f t="shared" si="1"/>
        <v>409.24784067856899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3.4106051316484809E-13</v>
      </c>
      <c r="O62" s="13">
        <f>N62*VLOOKUP('Données projet'!$B$9,Paramètres!$A$1:$I$89,3,0)*VLOOKUP('Données projet'!$B$9,Paramètres!$A$1:$I$89,5,0)</f>
        <v>1.9065282685915009E-13</v>
      </c>
      <c r="P62" s="13">
        <f t="shared" si="33"/>
        <v>2.6568987209435707E-12</v>
      </c>
      <c r="Q62" s="20">
        <f t="shared" si="53"/>
        <v>4.959485612423072E-12</v>
      </c>
      <c r="R62" s="59">
        <f t="shared" si="0"/>
        <v>293.33333333333826</v>
      </c>
      <c r="S62" s="59">
        <f ca="1">AVERAGE(OFFSET($R$3,0,0,'Données projet'!$E$9+1,1))-AVERAGE(OFFSET($H$3,0,0,'Données projet'!$E$9+1,1))</f>
        <v>324.69474275039357</v>
      </c>
      <c r="T62" s="59">
        <f t="shared" si="34"/>
        <v>437.68177084535927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223.47760675199501</v>
      </c>
      <c r="AA62" s="21">
        <f>EXP(-LN(2)/25)*AA61+(1-EXP(-LN(2)/25))/(LN(2)/25)*Calculateur!V62*Calculateur!X62*VLOOKUP('Données projet'!$B$9,Paramètres!$A$1:$I$89,3,0)*0.475*44/12</f>
        <v>73.99742890619298</v>
      </c>
      <c r="AB62" s="21">
        <f>EXP(-LN(2)/2)*AB61+(1-EXP(-LN(2)/2))/(LN(2)/2)*V62*Y62*VLOOKUP('Données projet'!$B$9,Paramètres!$A$1:$I$89,3,0)*0.475*44/12</f>
        <v>16.176501846457775</v>
      </c>
      <c r="AC62" s="22">
        <f t="shared" si="3"/>
        <v>313.65153750464577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13.18</v>
      </c>
      <c r="AI62" s="13">
        <f>IF('Données projet'!$A$62&gt;35,AI61+AH62-AQ61,IF(A62&lt;'Données projet'!$A$62,$AF$205^A62,IF(A62='Données projet'!$A$62,'Données projet'!$B$62,AI61+AH62-AQ61)))</f>
        <v>424.56000000000012</v>
      </c>
      <c r="AJ62" s="13">
        <f>AI62*VLOOKUP('Données projet'!$B$10,Paramètres!$A$1:$I$89,3,0)*VLOOKUP('Données projet'!$B$10,Paramètres!$A$1:$I$89,5,0)</f>
        <v>253.8868800000001</v>
      </c>
      <c r="AK62" s="13">
        <f t="shared" si="35"/>
        <v>61.417508891277024</v>
      </c>
      <c r="AL62" s="20">
        <f t="shared" si="4"/>
        <v>549.15514398564108</v>
      </c>
      <c r="AM62" s="59">
        <f t="shared" si="5"/>
        <v>842.48847731897445</v>
      </c>
      <c r="AN62" s="59">
        <f ca="1">AVERAGE(OFFSET($AM$3,0,0,'Données projet'!$E$10+1,1))-AVERAGE(OFFSET($H$3,0,0,'Données projet'!$E$10+1,1))</f>
        <v>214.93913810439858</v>
      </c>
      <c r="AO62" s="59">
        <f t="shared" si="36"/>
        <v>210.65603079265924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46.013138673657956</v>
      </c>
      <c r="AV62" s="21">
        <f>EXP(-LN(2)/25)*AV61+(1-EXP(-LN(2)/25))/(LN(2)/25)*Calculateur!AQ62*Calculateur!AS62*VLOOKUP('Données projet'!$B$10,Paramètres!$A$1:$I$89,3,0)*0.475*44/12</f>
        <v>17.797491835247946</v>
      </c>
      <c r="AW62" s="21">
        <f>EXP(-LN(2)/2)*AW61+(1-EXP(-LN(2)/2))/(LN(2)/2)*AQ62*AT62*VLOOKUP('Données projet'!$B$10,Paramètres!$A$1:$I$89,3,0)*0.475*44/12</f>
        <v>0.96857826517172552</v>
      </c>
      <c r="AX62" s="21">
        <f t="shared" si="6"/>
        <v>64.779208774077631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13.520000000000003</v>
      </c>
      <c r="BD62" s="12">
        <f>IF('Données projet'!$A$88&gt;35,BD61+BC62-BL61,IF(A62&lt;'Données projet'!$A$88,$BA$205^A62,IF(A62='Données projet'!$A$88,'Données projet'!$B$88,BD61+BC62-BL61)))</f>
        <v>294.28000000000014</v>
      </c>
      <c r="BE62" s="13">
        <f>BD62*VLOOKUP('Données projet'!$B$11,Paramètres!$A$1:$I$89,3,0)*VLOOKUP('Données projet'!$B$11,Paramètres!$A$1:$I$89,5,0)</f>
        <v>266.26454400000011</v>
      </c>
      <c r="BF62" s="13">
        <f t="shared" si="37"/>
        <v>64.055869609957142</v>
      </c>
      <c r="BG62" s="20">
        <f t="shared" si="7"/>
        <v>575.30805370400878</v>
      </c>
      <c r="BH62" s="59">
        <f t="shared" si="8"/>
        <v>868.64138703734216</v>
      </c>
      <c r="BI62" s="59">
        <f ca="1">AVERAGE(OFFSET($BH$3,0,0,'Données projet'!$E$11+1,1))-AVERAGE(OFFSET($H$3,0,0,'Données projet'!$E$11+1,1))</f>
        <v>507.69556381324213</v>
      </c>
      <c r="BJ62" s="59">
        <f t="shared" si="38"/>
        <v>129.52638237044044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9.7138909384945578</v>
      </c>
      <c r="BQ62" s="21">
        <f>EXP(-LN(2)/25)*BQ61+(1-EXP(-LN(2)/25))/(LN(2)/25)*Calculateur!BL62*Calculateur!BN62*VLOOKUP('Données projet'!$B$11,Paramètres!$A$1:$I$89,3,0)*0.475*44/12</f>
        <v>43.087065290367583</v>
      </c>
      <c r="BR62" s="21">
        <f>EXP(-LN(2)/2)*BR61+(1-EXP(-LN(2)/2))/(LN(2)/2)*BL62*BO62*VLOOKUP('Données projet'!$B$11,Paramètres!$A$1:$I$89,3,0)*0.475*44/12</f>
        <v>4.5354773382300175</v>
      </c>
      <c r="BS62" s="22">
        <f t="shared" si="9"/>
        <v>57.336433567092158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3.3603333333333336</v>
      </c>
      <c r="BY62" s="12">
        <f>IF('Données projet'!$A$114&gt;35,BY61+BX62-CG61,IF(A62&lt;'Données projet'!$A$114,$BV$205^A62,IF(A62='Données projet'!$A$114,'Données projet'!$B$114,BY61+BX62-CG61)))</f>
        <v>198.25966666666656</v>
      </c>
      <c r="BZ62" s="13">
        <f>BY62*VLOOKUP('Données projet'!$B$12,Paramètres!$A$1:$I$89,3,0)*VLOOKUP('Données projet'!$B$12,Paramètres!$A$1:$I$89,5,0)</f>
        <v>191.75674959999992</v>
      </c>
      <c r="CA62" s="13">
        <f t="shared" si="39"/>
        <v>47.928136958939533</v>
      </c>
      <c r="CB62" s="20">
        <f t="shared" si="10"/>
        <v>417.45117742348617</v>
      </c>
      <c r="CC62" s="59">
        <f t="shared" si="11"/>
        <v>710.78451075681949</v>
      </c>
      <c r="CD62" s="59">
        <f ca="1">AVERAGE(OFFSET($CC$3,0,0,'Données projet'!$E$12+1,1))-AVERAGE(OFFSET($H$3,0,0,'Données projet'!$E$12+1,1))</f>
        <v>292.52253679467469</v>
      </c>
      <c r="CE62" s="59">
        <f t="shared" si="40"/>
        <v>155.7114133976541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0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6.0096153846153868</v>
      </c>
      <c r="CT62" s="12">
        <f>IF('Données projet'!$A$140&gt;35,CT61+CS62-DB61,IF(A62&lt;'Données projet'!$A$140,$CQ$205^A62,IF(A62='Données projet'!$A$140,'Données projet'!$B$140,CT61+CS62-DB61)))</f>
        <v>184.375</v>
      </c>
      <c r="CU62" s="17">
        <f>CT62*VLOOKUP('Données projet'!$B$13,Paramètres!$A$1:$I$89,3,0)*VLOOKUP('Données projet'!$B$13,Paramètres!$A$1:$I$89,5,0)</f>
        <v>143.8125</v>
      </c>
      <c r="CV62" s="13">
        <f t="shared" si="41"/>
        <v>37.169025291790518</v>
      </c>
      <c r="CW62" s="20">
        <f t="shared" si="13"/>
        <v>315.2094898832018</v>
      </c>
      <c r="CX62" s="59">
        <f t="shared" si="14"/>
        <v>608.54282321653511</v>
      </c>
      <c r="CY62" s="59">
        <f ca="1">AVERAGE(OFFSET($CX$3,0,0,'Données projet'!$E$13+1,1))-AVERAGE(OFFSET($H$3,0,0,'Données projet'!$E$13+1,1))</f>
        <v>100.54865094989304</v>
      </c>
      <c r="CZ62" s="59">
        <f t="shared" si="42"/>
        <v>99.95654161405389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6.9934580547914038</v>
      </c>
      <c r="DG62" s="21">
        <f>EXP(-LN(2)/25)*DG61+(1-EXP(-LN(2)/25))/(LN(2)/25)*Calculateur!DB62*Calculateur!DD62*VLOOKUP('Données projet'!$B$13,Paramètres!$A$1:$I$89,3,0)*0.475*44/12</f>
        <v>7.3336015026733259</v>
      </c>
      <c r="DH62" s="21">
        <f>EXP(-LN(2)/2)*DH61+(1-EXP(-LN(2)/2))/(LN(2)/2)*DB62*DE62*VLOOKUP('Données projet'!$B$13,Paramètres!$A$1:$I$89,3,0)*0.475*44/12</f>
        <v>0.53075749986270448</v>
      </c>
      <c r="DI62" s="22">
        <f t="shared" si="15"/>
        <v>14.857817057327434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4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52.416000000000068</v>
      </c>
      <c r="D63" s="11">
        <f t="shared" si="32"/>
        <v>15.235978301273043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522.22579741333629</v>
      </c>
      <c r="H63" s="67">
        <f t="shared" si="1"/>
        <v>411.16052887471733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3.4106051316484809E-13</v>
      </c>
      <c r="O63" s="13">
        <f>N63*VLOOKUP('Données projet'!$B$9,Paramètres!$A$1:$I$89,3,0)*VLOOKUP('Données projet'!$B$9,Paramètres!$A$1:$I$89,5,0)</f>
        <v>1.9065282685915009E-13</v>
      </c>
      <c r="P63" s="13">
        <f t="shared" si="33"/>
        <v>2.6568987209435707E-12</v>
      </c>
      <c r="Q63" s="20">
        <f t="shared" si="53"/>
        <v>4.959485612423072E-12</v>
      </c>
      <c r="R63" s="59">
        <f t="shared" si="0"/>
        <v>293.33333333333826</v>
      </c>
      <c r="S63" s="59">
        <f ca="1">AVERAGE(OFFSET($R$3,0,0,'Données projet'!$E$9+1,1))-AVERAGE(OFFSET($H$3,0,0,'Données projet'!$E$9+1,1))</f>
        <v>324.69474275039357</v>
      </c>
      <c r="T63" s="59">
        <f t="shared" si="34"/>
        <v>437.68177084535927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219.09534719146922</v>
      </c>
      <c r="AA63" s="21">
        <f>EXP(-LN(2)/25)*AA62+(1-EXP(-LN(2)/25))/(LN(2)/25)*Calculateur!V63*Calculateur!X63*VLOOKUP('Données projet'!$B$9,Paramètres!$A$1:$I$89,3,0)*0.475*44/12</f>
        <v>71.973965321397472</v>
      </c>
      <c r="AB63" s="21">
        <f>EXP(-LN(2)/2)*AB62+(1-EXP(-LN(2)/2))/(LN(2)/2)*V63*Y63*VLOOKUP('Données projet'!$B$9,Paramètres!$A$1:$I$89,3,0)*0.475*44/12</f>
        <v>11.438514151507</v>
      </c>
      <c r="AC63" s="22">
        <f t="shared" si="3"/>
        <v>302.50782666437368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437.74</v>
      </c>
      <c r="AG63" s="12">
        <f>VLOOKUP(A63,'Données projet'!$A$61:$I$81,9,0)</f>
        <v>13.18</v>
      </c>
      <c r="AH63" s="12">
        <f t="array" ref="AH63">INDEX(AG:AG,MIN(IF(ISNUMBER(AG63:AG259),ROW(AG63:AG259),"")))</f>
        <v>13.18</v>
      </c>
      <c r="AI63" s="13">
        <f>IF('Données projet'!$A$62&gt;35,AI62+AH63-AQ62,IF(A63&lt;'Données projet'!$A$62,$AF$205^A63,IF(A63='Données projet'!$A$62,'Données projet'!$B$62,AI62+AH63-AQ62)))</f>
        <v>437.74000000000012</v>
      </c>
      <c r="AJ63" s="13">
        <f>AI63*VLOOKUP('Données projet'!$B$10,Paramètres!$A$1:$I$89,3,0)*VLOOKUP('Données projet'!$B$10,Paramètres!$A$1:$I$89,5,0)</f>
        <v>261.76852000000008</v>
      </c>
      <c r="AK63" s="13">
        <f t="shared" si="35"/>
        <v>63.099206092755566</v>
      </c>
      <c r="AL63" s="20">
        <f t="shared" si="4"/>
        <v>565.81128961154946</v>
      </c>
      <c r="AM63" s="59">
        <f t="shared" si="5"/>
        <v>859.14462294488271</v>
      </c>
      <c r="AN63" s="59">
        <f ca="1">AVERAGE(OFFSET($AM$3,0,0,'Données projet'!$E$10+1,1))-AVERAGE(OFFSET($H$3,0,0,'Données projet'!$E$10+1,1))</f>
        <v>214.93913810439858</v>
      </c>
      <c r="AO63" s="59">
        <f t="shared" si="36"/>
        <v>210.65603079265924</v>
      </c>
      <c r="AP63" s="15">
        <f>IF(ISNA(VLOOKUP(A63,'Données projet'!$A$61:$I$81,3,0)),0,VLOOKUP(A63,'Données projet'!$A$61:$I$81,3,0))</f>
        <v>7</v>
      </c>
      <c r="AQ63" s="15">
        <f>IF(ISNA(VLOOKUP(A63,'Données projet'!$A$61:$I$81,4,0)),0,VLOOKUP(A63,'Données projet'!$A$61:$I$81,4,0))</f>
        <v>437.74</v>
      </c>
      <c r="AR63" s="16">
        <f>IF(ISNA(VLOOKUP(A63,'Données projet'!$A$61:$I$81,5,0)),0%,VLOOKUP(A63,'Données projet'!$A$61:$I$81,5,0)*VLOOKUP('Données projet'!$B$10,Paramètres!$A$1:$I$89,7,0))</f>
        <v>0.27</v>
      </c>
      <c r="AS63" s="16">
        <f>IF(ISNA(VLOOKUP(A63,'Données projet'!$A$61:$I$81,6,0)),0%,VLOOKUP(A63,'Données projet'!$A$61:$I$81,6,0)*VLOOKUP('Données projet'!$B$10,Paramètres!$A$1:$I$89,7,0))</f>
        <v>9.0000000000000011E-2</v>
      </c>
      <c r="AT63" s="16">
        <f>IF(ISNA(VLOOKUP(A63,'Données projet'!$A$61:$I$81,7,0)),0%,VLOOKUP(A63,'Données projet'!$A$61:$I$81,7,0))</f>
        <v>0.2</v>
      </c>
      <c r="AU63" s="21">
        <f>EXP(-LN(2)/35)*AU62+(1-EXP(-LN(2)/35))/(LN(2)/35)*AQ63*AR63*VLOOKUP('Données projet'!$B$10,Paramètres!$A$1:$I$89,3,0)*0.475*44/12</f>
        <v>138.86910891946479</v>
      </c>
      <c r="AV63" s="21">
        <f>EXP(-LN(2)/25)*AV62+(1-EXP(-LN(2)/25))/(LN(2)/25)*Calculateur!AQ63*Calculateur!AS63*VLOOKUP('Données projet'!$B$10,Paramètres!$A$1:$I$89,3,0)*0.475*44/12</f>
        <v>48.440517763852199</v>
      </c>
      <c r="AW63" s="21">
        <f>EXP(-LN(2)/2)*AW62+(1-EXP(-LN(2)/2))/(LN(2)/2)*AQ63*AT63*VLOOKUP('Données projet'!$B$10,Paramètres!$A$1:$I$89,3,0)*0.475*44/12</f>
        <v>59.961442823353359</v>
      </c>
      <c r="AX63" s="21">
        <f t="shared" si="6"/>
        <v>247.27106950667036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13.520000000000003</v>
      </c>
      <c r="BD63" s="12">
        <f>IF('Données projet'!$A$88&gt;35,BD62+BC63-BL62,IF(A63&lt;'Données projet'!$A$88,$BA$205^A63,IF(A63='Données projet'!$A$88,'Données projet'!$B$88,BD62+BC63-BL62)))</f>
        <v>307.80000000000013</v>
      </c>
      <c r="BE63" s="13">
        <f>BD63*VLOOKUP('Données projet'!$B$11,Paramètres!$A$1:$I$89,3,0)*VLOOKUP('Données projet'!$B$11,Paramètres!$A$1:$I$89,5,0)</f>
        <v>278.4974400000001</v>
      </c>
      <c r="BF63" s="13">
        <f t="shared" si="37"/>
        <v>66.649375389445709</v>
      </c>
      <c r="BG63" s="20">
        <f t="shared" si="7"/>
        <v>601.13070346995141</v>
      </c>
      <c r="BH63" s="59">
        <f t="shared" si="8"/>
        <v>894.46403680328467</v>
      </c>
      <c r="BI63" s="59">
        <f ca="1">AVERAGE(OFFSET($BH$3,0,0,'Données projet'!$E$11+1,1))-AVERAGE(OFFSET($H$3,0,0,'Données projet'!$E$11+1,1))</f>
        <v>507.69556381324213</v>
      </c>
      <c r="BJ63" s="59">
        <f t="shared" si="38"/>
        <v>129.52638237044044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9.5234074620791187</v>
      </c>
      <c r="BQ63" s="21">
        <f>EXP(-LN(2)/25)*BQ62+(1-EXP(-LN(2)/25))/(LN(2)/25)*Calculateur!BL63*Calculateur!BN63*VLOOKUP('Données projet'!$B$11,Paramètres!$A$1:$I$89,3,0)*0.475*44/12</f>
        <v>41.908847224152197</v>
      </c>
      <c r="BR63" s="21">
        <f>EXP(-LN(2)/2)*BR62+(1-EXP(-LN(2)/2))/(LN(2)/2)*BL63*BO63*VLOOKUP('Données projet'!$B$11,Paramètres!$A$1:$I$89,3,0)*0.475*44/12</f>
        <v>3.2070667817803584</v>
      </c>
      <c r="BS63" s="22">
        <f t="shared" si="9"/>
        <v>54.639321468011673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201.62</v>
      </c>
      <c r="BW63" s="12">
        <f>VLOOKUP(A63,'Données projet'!$A$113:$I$133,9,0)</f>
        <v>3.3603333333333336</v>
      </c>
      <c r="BX63" s="12">
        <f t="array" ref="BX63">INDEX(BW:BW,MIN(IF(ISNUMBER(BW63:BW259),ROW(BW63:BW259),"")))</f>
        <v>3.3603333333333336</v>
      </c>
      <c r="BY63" s="12">
        <f>IF('Données projet'!$A$114&gt;35,BY62+BX63-CG62,IF(A63&lt;'Données projet'!$A$114,$BV$205^A63,IF(A63='Données projet'!$A$114,'Données projet'!$B$114,BY62+BX63-CG62)))</f>
        <v>201.61999999999989</v>
      </c>
      <c r="BZ63" s="13">
        <f>BY63*VLOOKUP('Données projet'!$B$12,Paramètres!$A$1:$I$89,3,0)*VLOOKUP('Données projet'!$B$12,Paramètres!$A$1:$I$89,5,0)</f>
        <v>195.00686399999989</v>
      </c>
      <c r="CA63" s="13">
        <f t="shared" si="39"/>
        <v>48.645218109693126</v>
      </c>
      <c r="CB63" s="20">
        <f t="shared" si="10"/>
        <v>424.36070967438195</v>
      </c>
      <c r="CC63" s="59">
        <f t="shared" si="11"/>
        <v>717.69404300771521</v>
      </c>
      <c r="CD63" s="59">
        <f ca="1">AVERAGE(OFFSET($CC$3,0,0,'Données projet'!$E$12+1,1))-AVERAGE(OFFSET($H$3,0,0,'Données projet'!$E$12+1,1))</f>
        <v>292.52253679467469</v>
      </c>
      <c r="CE63" s="59">
        <f t="shared" si="40"/>
        <v>155.7114133976541</v>
      </c>
      <c r="CF63" s="15">
        <f>IF(ISNA(VLOOKUP(A63,'Données projet'!$A$113:$I$133,3,0)),0,VLOOKUP(A63,'Données projet'!$A$113:$I$133,3,0))</f>
        <v>1</v>
      </c>
      <c r="CG63" s="15">
        <f>IF(ISNA(VLOOKUP(A63,'Données projet'!$A$113:$I$133,4,0)),0,VLOOKUP(A63,'Données projet'!$A$113:$I$133,4,0))</f>
        <v>72.87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0.34400000000000003</v>
      </c>
      <c r="CJ63" s="16">
        <f>IF(ISNA(VLOOKUP(A63,'Données projet'!$A$113:$I$133,7,0)),0%,VLOOKUP(A63,'Données projet'!$A$113:$I$133,7,0))</f>
        <v>0.2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26.696679775541607</v>
      </c>
      <c r="CM63" s="21">
        <f>EXP(-LN(2)/2)*CM62+(1-EXP(-LN(2)/2))/(LN(2)/2)*CG63*CJ63*VLOOKUP('Données projet'!$B$12,Paramètres!$A$1:$I$89,3,0)*0.475*44/12</f>
        <v>13.299929724345475</v>
      </c>
      <c r="CN63" s="22">
        <f t="shared" si="12"/>
        <v>39.996609499887086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190.38461538461539</v>
      </c>
      <c r="CR63" s="12">
        <f>VLOOKUP(A63,'Données projet'!$A$139:$I$159,9,0)</f>
        <v>6.0096153846153868</v>
      </c>
      <c r="CS63" s="12">
        <f t="array" ref="CS63">INDEX(CR:CR,MIN(IF(ISNUMBER(CR63:CR259),ROW(CR63:CR259),"")))</f>
        <v>6.0096153846153868</v>
      </c>
      <c r="CT63" s="12">
        <f>IF('Données projet'!$A$140&gt;35,CT62+CS63-DB62,IF(A63&lt;'Données projet'!$A$140,$CQ$205^A63,IF(A63='Données projet'!$A$140,'Données projet'!$B$140,CT62+CS63-DB62)))</f>
        <v>190.38461538461539</v>
      </c>
      <c r="CU63" s="17">
        <f>CT63*VLOOKUP('Données projet'!$B$13,Paramètres!$A$1:$I$89,3,0)*VLOOKUP('Données projet'!$B$13,Paramètres!$A$1:$I$89,5,0)</f>
        <v>148.5</v>
      </c>
      <c r="CV63" s="13">
        <f t="shared" si="41"/>
        <v>38.237506103710217</v>
      </c>
      <c r="CW63" s="20">
        <f t="shared" si="13"/>
        <v>325.23448979729528</v>
      </c>
      <c r="CX63" s="59">
        <f t="shared" si="14"/>
        <v>618.56782313062854</v>
      </c>
      <c r="CY63" s="59">
        <f ca="1">AVERAGE(OFFSET($CX$3,0,0,'Données projet'!$E$13+1,1))-AVERAGE(OFFSET($H$3,0,0,'Données projet'!$E$13+1,1))</f>
        <v>100.54865094989304</v>
      </c>
      <c r="CZ63" s="59">
        <f t="shared" si="42"/>
        <v>99.95654161405389</v>
      </c>
      <c r="DA63" s="15">
        <f>IF(ISNA(VLOOKUP(A63,'Données projet'!$A$139:$I$159,3,0)),0,VLOOKUP(A63,'Données projet'!$A$139:$I$159,3,0))</f>
        <v>8</v>
      </c>
      <c r="DB63" s="15">
        <f>IF(ISNA(VLOOKUP(A63,'Données projet'!$A$139:$I$159,4,0)),0,VLOOKUP(A63,'Données projet'!$A$139:$I$159,4,0))</f>
        <v>30.128205128205128</v>
      </c>
      <c r="DC63" s="16">
        <f>IF(ISNA(VLOOKUP(A63,'Données projet'!$A$139:$I$159,5,0)),0%,VLOOKUP(A63,'Données projet'!$A$139:$I$159,5,0)*VLOOKUP('Données projet'!$B$13,Paramètres!$A$1:$I$89,7,0))</f>
        <v>0.1075</v>
      </c>
      <c r="DD63" s="16">
        <f>IF(ISNA(VLOOKUP(A63,'Données projet'!$A$139:$I$159,6,0)),0%,VLOOKUP(A63,'Données projet'!$A$139:$I$159,6,0)*VLOOKUP('Données projet'!$B$13,Paramètres!$A$1:$I$89,7,0))</f>
        <v>0.1075</v>
      </c>
      <c r="DE63" s="16">
        <f>IF(ISNA(VLOOKUP(A63,'Données projet'!$A$139:$I$159,7,0)),0%,VLOOKUP(A63,'Données projet'!$A$139:$I$159,7,0))</f>
        <v>0.25</v>
      </c>
      <c r="DF63" s="21">
        <f>EXP(-LN(2)/35)*DF62+(1-EXP(-LN(2)/35))/(LN(2)/35)*DB63*DC63*VLOOKUP('Données projet'!$B$13,Paramètres!$A$1:$I$89,3,0)*0.475*44/12</f>
        <v>9.6490151542202796</v>
      </c>
      <c r="DG63" s="21">
        <f>EXP(-LN(2)/25)*DG62+(1-EXP(-LN(2)/25))/(LN(2)/25)*Calculateur!DB63*Calculateur!DD63*VLOOKUP('Données projet'!$B$13,Paramètres!$A$1:$I$89,3,0)*0.475*44/12</f>
        <v>9.9147624276916879</v>
      </c>
      <c r="DH63" s="21">
        <f>EXP(-LN(2)/2)*DH62+(1-EXP(-LN(2)/2))/(LN(2)/2)*DB63*DE63*VLOOKUP('Données projet'!$B$13,Paramètres!$A$1:$I$89,3,0)*0.475*44/12</f>
        <v>5.918522850625191</v>
      </c>
      <c r="DI63" s="22">
        <f t="shared" si="15"/>
        <v>25.482300432537158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4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53.289600000000071</v>
      </c>
      <c r="D64" s="11">
        <f t="shared" si="32"/>
        <v>15.460137169232445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530.69972551688261</v>
      </c>
      <c r="H64" s="67">
        <f t="shared" si="1"/>
        <v>413.07245890307996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3.4106051316484809E-13</v>
      </c>
      <c r="O64" s="13">
        <f>N64*VLOOKUP('Données projet'!$B$9,Paramètres!$A$1:$I$89,3,0)*VLOOKUP('Données projet'!$B$9,Paramètres!$A$1:$I$89,5,0)</f>
        <v>1.9065282685915009E-13</v>
      </c>
      <c r="P64" s="13">
        <f t="shared" si="33"/>
        <v>2.6568987209435707E-12</v>
      </c>
      <c r="Q64" s="20">
        <f t="shared" si="53"/>
        <v>4.959485612423072E-12</v>
      </c>
      <c r="R64" s="59">
        <f t="shared" si="0"/>
        <v>293.33333333333826</v>
      </c>
      <c r="S64" s="59">
        <f ca="1">AVERAGE(OFFSET($R$3,0,0,'Données projet'!$E$9+1,1))-AVERAGE(OFFSET($H$3,0,0,'Données projet'!$E$9+1,1))</f>
        <v>324.69474275039357</v>
      </c>
      <c r="T64" s="59">
        <f t="shared" si="34"/>
        <v>437.68177084535927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214.79902106801094</v>
      </c>
      <c r="AA64" s="21">
        <f>EXP(-LN(2)/25)*AA63+(1-EXP(-LN(2)/25))/(LN(2)/25)*Calculateur!V64*Calculateur!X64*VLOOKUP('Données projet'!$B$9,Paramètres!$A$1:$I$89,3,0)*0.475*44/12</f>
        <v>70.005833454737527</v>
      </c>
      <c r="AB64" s="21">
        <f>EXP(-LN(2)/2)*AB63+(1-EXP(-LN(2)/2))/(LN(2)/2)*V64*Y64*VLOOKUP('Données projet'!$B$9,Paramètres!$A$1:$I$89,3,0)*0.475*44/12</f>
        <v>8.0882509232288875</v>
      </c>
      <c r="AC64" s="22">
        <f t="shared" si="3"/>
        <v>292.89310544597737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1.1368683772161603E-13</v>
      </c>
      <c r="AJ64" s="13">
        <f>AI64*VLOOKUP('Données projet'!$B$10,Paramètres!$A$1:$I$89,3,0)*VLOOKUP('Données projet'!$B$10,Paramètres!$A$1:$I$89,5,0)</f>
        <v>6.7984728957526396E-14</v>
      </c>
      <c r="AK64" s="13">
        <f t="shared" si="35"/>
        <v>1.0682447123141398E-12</v>
      </c>
      <c r="AL64" s="20">
        <f t="shared" si="4"/>
        <v>1.978932943548152E-12</v>
      </c>
      <c r="AM64" s="59">
        <f t="shared" si="5"/>
        <v>293.3333333333353</v>
      </c>
      <c r="AN64" s="59">
        <f ca="1">AVERAGE(OFFSET($AM$3,0,0,'Données projet'!$E$10+1,1))-AVERAGE(OFFSET($H$3,0,0,'Données projet'!$E$10+1,1))</f>
        <v>214.93913810439858</v>
      </c>
      <c r="AO64" s="59">
        <f t="shared" si="36"/>
        <v>210.65603079265924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136.14597039534692</v>
      </c>
      <c r="AV64" s="21">
        <f>EXP(-LN(2)/25)*AV63+(1-EXP(-LN(2)/25))/(LN(2)/25)*Calculateur!AQ64*Calculateur!AS64*VLOOKUP('Données projet'!$B$10,Paramètres!$A$1:$I$89,3,0)*0.475*44/12</f>
        <v>47.115909258223546</v>
      </c>
      <c r="AW64" s="21">
        <f>EXP(-LN(2)/2)*AW63+(1-EXP(-LN(2)/2))/(LN(2)/2)*AQ64*AT64*VLOOKUP('Données projet'!$B$10,Paramètres!$A$1:$I$89,3,0)*0.475*44/12</f>
        <v>42.399142830122607</v>
      </c>
      <c r="AX64" s="21">
        <f t="shared" si="6"/>
        <v>225.66102248369307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13.520000000000003</v>
      </c>
      <c r="BD64" s="12">
        <f>IF('Données projet'!$A$88&gt;35,BD63+BC64-BL63,IF(A64&lt;'Données projet'!$A$88,$BA$205^A64,IF(A64='Données projet'!$A$88,'Données projet'!$B$88,BD63+BC64-BL63)))</f>
        <v>321.32000000000011</v>
      </c>
      <c r="BE64" s="13">
        <f>BD64*VLOOKUP('Données projet'!$B$11,Paramètres!$A$1:$I$89,3,0)*VLOOKUP('Données projet'!$B$11,Paramètres!$A$1:$I$89,5,0)</f>
        <v>290.73033600000008</v>
      </c>
      <c r="BF64" s="13">
        <f t="shared" si="37"/>
        <v>69.229650371802393</v>
      </c>
      <c r="BG64" s="20">
        <f t="shared" si="7"/>
        <v>626.93030959755595</v>
      </c>
      <c r="BH64" s="59">
        <f t="shared" si="8"/>
        <v>920.26364293088932</v>
      </c>
      <c r="BI64" s="59">
        <f ca="1">AVERAGE(OFFSET($BH$3,0,0,'Données projet'!$E$11+1,1))-AVERAGE(OFFSET($H$3,0,0,'Données projet'!$E$11+1,1))</f>
        <v>507.69556381324213</v>
      </c>
      <c r="BJ64" s="59">
        <f t="shared" si="38"/>
        <v>129.52638237044044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9.3366592504527368</v>
      </c>
      <c r="BQ64" s="21">
        <f>EXP(-LN(2)/25)*BQ63+(1-EXP(-LN(2)/25))/(LN(2)/25)*Calculateur!BL64*Calculateur!BN64*VLOOKUP('Données projet'!$B$11,Paramètres!$A$1:$I$89,3,0)*0.475*44/12</f>
        <v>40.762847592917261</v>
      </c>
      <c r="BR64" s="21">
        <f>EXP(-LN(2)/2)*BR63+(1-EXP(-LN(2)/2))/(LN(2)/2)*BL64*BO64*VLOOKUP('Données projet'!$B$11,Paramètres!$A$1:$I$89,3,0)*0.475*44/12</f>
        <v>2.2677386691150092</v>
      </c>
      <c r="BS64" s="22">
        <f t="shared" si="9"/>
        <v>52.367245512485006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6.8933333333333326</v>
      </c>
      <c r="BY64" s="12">
        <f>IF('Données projet'!$A$114&gt;35,BY63+BX64-CG63,IF(A64&lt;'Données projet'!$A$114,$BV$205^A64,IF(A64='Données projet'!$A$114,'Données projet'!$B$114,BY63+BX64-CG63)))</f>
        <v>135.64333333333323</v>
      </c>
      <c r="BZ64" s="13">
        <f>BY64*VLOOKUP('Données projet'!$B$12,Paramètres!$A$1:$I$89,3,0)*VLOOKUP('Données projet'!$B$12,Paramètres!$A$1:$I$89,5,0)</f>
        <v>131.19423199999991</v>
      </c>
      <c r="CA64" s="13">
        <f t="shared" si="39"/>
        <v>34.272164248672141</v>
      </c>
      <c r="CB64" s="20">
        <f t="shared" si="10"/>
        <v>288.18730679977051</v>
      </c>
      <c r="CC64" s="59">
        <f t="shared" si="11"/>
        <v>581.52064013310383</v>
      </c>
      <c r="CD64" s="59">
        <f ca="1">AVERAGE(OFFSET($CC$3,0,0,'Données projet'!$E$12+1,1))-AVERAGE(OFFSET($H$3,0,0,'Données projet'!$E$12+1,1))</f>
        <v>292.52253679467469</v>
      </c>
      <c r="CE64" s="59">
        <f t="shared" si="40"/>
        <v>155.7114133976541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25.966657663162049</v>
      </c>
      <c r="CM64" s="21">
        <f>EXP(-LN(2)/2)*CM63+(1-EXP(-LN(2)/2))/(LN(2)/2)*CG64*CJ64*VLOOKUP('Données projet'!$B$12,Paramètres!$A$1:$I$89,3,0)*0.475*44/12</f>
        <v>9.4044704973892159</v>
      </c>
      <c r="CN64" s="22">
        <f t="shared" si="12"/>
        <v>35.371128160551265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5.5555555555555554</v>
      </c>
      <c r="CT64" s="12">
        <f>IF('Données projet'!$A$140&gt;35,CT63+CS64-DB63,IF(A64&lt;'Données projet'!$A$140,$CQ$205^A64,IF(A64='Données projet'!$A$140,'Données projet'!$B$140,CT63+CS64-DB63)))</f>
        <v>165.81196581196579</v>
      </c>
      <c r="CU64" s="17">
        <f>CT64*VLOOKUP('Données projet'!$B$13,Paramètres!$A$1:$I$89,3,0)*VLOOKUP('Données projet'!$B$13,Paramètres!$A$1:$I$89,5,0)</f>
        <v>129.33333333333331</v>
      </c>
      <c r="CV64" s="13">
        <f t="shared" si="41"/>
        <v>33.84226617438533</v>
      </c>
      <c r="CW64" s="20">
        <f t="shared" si="13"/>
        <v>284.19750247594328</v>
      </c>
      <c r="CX64" s="59">
        <f t="shared" si="14"/>
        <v>577.5308358092766</v>
      </c>
      <c r="CY64" s="59">
        <f ca="1">AVERAGE(OFFSET($CX$3,0,0,'Données projet'!$E$13+1,1))-AVERAGE(OFFSET($H$3,0,0,'Données projet'!$E$13+1,1))</f>
        <v>100.54865094989304</v>
      </c>
      <c r="CZ64" s="59">
        <f t="shared" si="42"/>
        <v>99.95654161405389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9.4598038523641375</v>
      </c>
      <c r="DG64" s="21">
        <f>EXP(-LN(2)/25)*DG63+(1-EXP(-LN(2)/25))/(LN(2)/25)*Calculateur!DB64*Calculateur!DD64*VLOOKUP('Données projet'!$B$13,Paramètres!$A$1:$I$89,3,0)*0.475*44/12</f>
        <v>9.6436427277117627</v>
      </c>
      <c r="DH64" s="21">
        <f>EXP(-LN(2)/2)*DH63+(1-EXP(-LN(2)/2))/(LN(2)/2)*DB64*DE64*VLOOKUP('Données projet'!$B$13,Paramètres!$A$1:$I$89,3,0)*0.475*44/12</f>
        <v>4.1850276422846084</v>
      </c>
      <c r="DI64" s="22">
        <f t="shared" si="15"/>
        <v>23.288474222360509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4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54.163200000000074</v>
      </c>
      <c r="D65" s="11">
        <f t="shared" si="32"/>
        <v>15.683868685583311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539.17035476590684</v>
      </c>
      <c r="H65" s="67">
        <f t="shared" si="1"/>
        <v>414.98364462739102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3.4106051316484809E-13</v>
      </c>
      <c r="O65" s="13">
        <f>N65*VLOOKUP('Données projet'!$B$9,Paramètres!$A$1:$I$89,3,0)*VLOOKUP('Données projet'!$B$9,Paramètres!$A$1:$I$89,5,0)</f>
        <v>1.9065282685915009E-13</v>
      </c>
      <c r="P65" s="13">
        <f t="shared" si="33"/>
        <v>2.6568987209435707E-12</v>
      </c>
      <c r="Q65" s="20">
        <f t="shared" si="53"/>
        <v>4.959485612423072E-12</v>
      </c>
      <c r="R65" s="59">
        <f t="shared" si="0"/>
        <v>293.33333333333826</v>
      </c>
      <c r="S65" s="59">
        <f ca="1">AVERAGE(OFFSET($R$3,0,0,'Données projet'!$E$9+1,1))-AVERAGE(OFFSET($H$3,0,0,'Données projet'!$E$9+1,1))</f>
        <v>324.69474275039357</v>
      </c>
      <c r="T65" s="59">
        <f t="shared" si="34"/>
        <v>437.68177084535927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210.5869432793335</v>
      </c>
      <c r="AA65" s="21">
        <f>EXP(-LN(2)/25)*AA64+(1-EXP(-LN(2)/25))/(LN(2)/25)*Calculateur!V65*Calculateur!X65*VLOOKUP('Données projet'!$B$9,Paramètres!$A$1:$I$89,3,0)*0.475*44/12</f>
        <v>68.091520257470947</v>
      </c>
      <c r="AB65" s="21">
        <f>EXP(-LN(2)/2)*AB64+(1-EXP(-LN(2)/2))/(LN(2)/2)*V65*Y65*VLOOKUP('Données projet'!$B$9,Paramètres!$A$1:$I$89,3,0)*0.475*44/12</f>
        <v>5.7192570757535002</v>
      </c>
      <c r="AC65" s="22">
        <f t="shared" si="3"/>
        <v>284.39772061255792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1.1368683772161603E-13</v>
      </c>
      <c r="AJ65" s="13">
        <f>AI65*VLOOKUP('Données projet'!$B$10,Paramètres!$A$1:$I$89,3,0)*VLOOKUP('Données projet'!$B$10,Paramètres!$A$1:$I$89,5,0)</f>
        <v>6.7984728957526396E-14</v>
      </c>
      <c r="AK65" s="13">
        <f t="shared" si="35"/>
        <v>1.0682447123141398E-12</v>
      </c>
      <c r="AL65" s="20">
        <f t="shared" si="4"/>
        <v>1.978932943548152E-12</v>
      </c>
      <c r="AM65" s="59">
        <f t="shared" si="5"/>
        <v>293.3333333333353</v>
      </c>
      <c r="AN65" s="59">
        <f ca="1">AVERAGE(OFFSET($AM$3,0,0,'Données projet'!$E$10+1,1))-AVERAGE(OFFSET($H$3,0,0,'Données projet'!$E$10+1,1))</f>
        <v>214.93913810439858</v>
      </c>
      <c r="AO65" s="59">
        <f t="shared" si="36"/>
        <v>210.65603079265924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133.47623095673652</v>
      </c>
      <c r="AV65" s="21">
        <f>EXP(-LN(2)/25)*AV64+(1-EXP(-LN(2)/25))/(LN(2)/25)*Calculateur!AQ65*Calculateur!AS65*VLOOKUP('Données projet'!$B$10,Paramètres!$A$1:$I$89,3,0)*0.475*44/12</f>
        <v>45.827522241839439</v>
      </c>
      <c r="AW65" s="21">
        <f>EXP(-LN(2)/2)*AW64+(1-EXP(-LN(2)/2))/(LN(2)/2)*AQ65*AT65*VLOOKUP('Données projet'!$B$10,Paramètres!$A$1:$I$89,3,0)*0.475*44/12</f>
        <v>29.980721411676683</v>
      </c>
      <c r="AX65" s="21">
        <f t="shared" si="6"/>
        <v>209.28447461025263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13.520000000000003</v>
      </c>
      <c r="BD65" s="12">
        <f>IF('Données projet'!$A$88&gt;35,BD64+BC65-BL64,IF(A65&lt;'Données projet'!$A$88,$BA$205^A65,IF(A65='Données projet'!$A$88,'Données projet'!$B$88,BD64+BC65-BL64)))</f>
        <v>334.84000000000009</v>
      </c>
      <c r="BE65" s="13">
        <f>BD65*VLOOKUP('Données projet'!$B$11,Paramètres!$A$1:$I$89,3,0)*VLOOKUP('Données projet'!$B$11,Paramètres!$A$1:$I$89,5,0)</f>
        <v>302.96323200000006</v>
      </c>
      <c r="BF65" s="13">
        <f t="shared" si="37"/>
        <v>71.797314916159678</v>
      </c>
      <c r="BG65" s="20">
        <f t="shared" si="7"/>
        <v>652.70795254564484</v>
      </c>
      <c r="BH65" s="59">
        <f t="shared" si="8"/>
        <v>946.04128587897821</v>
      </c>
      <c r="BI65" s="59">
        <f ca="1">AVERAGE(OFFSET($BH$3,0,0,'Données projet'!$E$11+1,1))-AVERAGE(OFFSET($H$3,0,0,'Données projet'!$E$11+1,1))</f>
        <v>507.69556381324213</v>
      </c>
      <c r="BJ65" s="59">
        <f t="shared" si="38"/>
        <v>129.52638237044044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9.1535730573511866</v>
      </c>
      <c r="BQ65" s="21">
        <f>EXP(-LN(2)/25)*BQ64+(1-EXP(-LN(2)/25))/(LN(2)/25)*Calculateur!BL65*Calculateur!BN65*VLOOKUP('Données projet'!$B$11,Paramètres!$A$1:$I$89,3,0)*0.475*44/12</f>
        <v>39.648185381863946</v>
      </c>
      <c r="BR65" s="21">
        <f>EXP(-LN(2)/2)*BR64+(1-EXP(-LN(2)/2))/(LN(2)/2)*BL65*BO65*VLOOKUP('Données projet'!$B$11,Paramètres!$A$1:$I$89,3,0)*0.475*44/12</f>
        <v>1.6035333908901794</v>
      </c>
      <c r="BS65" s="22">
        <f t="shared" si="9"/>
        <v>50.405291830105313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6.8933333333333326</v>
      </c>
      <c r="BY65" s="12">
        <f>IF('Données projet'!$A$114&gt;35,BY64+BX65-CG64,IF(A65&lt;'Données projet'!$A$114,$BV$205^A65,IF(A65='Données projet'!$A$114,'Données projet'!$B$114,BY64+BX65-CG64)))</f>
        <v>142.53666666666658</v>
      </c>
      <c r="BZ65" s="13">
        <f>BY65*VLOOKUP('Données projet'!$B$12,Paramètres!$A$1:$I$89,3,0)*VLOOKUP('Données projet'!$B$12,Paramètres!$A$1:$I$89,5,0)</f>
        <v>137.8614639999999</v>
      </c>
      <c r="CA65" s="13">
        <f t="shared" si="39"/>
        <v>35.806658893228409</v>
      </c>
      <c r="CB65" s="20">
        <f t="shared" si="10"/>
        <v>302.47198070570596</v>
      </c>
      <c r="CC65" s="59">
        <f t="shared" si="11"/>
        <v>595.80531403903933</v>
      </c>
      <c r="CD65" s="59">
        <f ca="1">AVERAGE(OFFSET($CC$3,0,0,'Données projet'!$E$12+1,1))-AVERAGE(OFFSET($H$3,0,0,'Données projet'!$E$12+1,1))</f>
        <v>292.52253679467469</v>
      </c>
      <c r="CE65" s="59">
        <f t="shared" si="40"/>
        <v>155.7114133976541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25.256598043835705</v>
      </c>
      <c r="CM65" s="21">
        <f>EXP(-LN(2)/2)*CM64+(1-EXP(-LN(2)/2))/(LN(2)/2)*CG65*CJ65*VLOOKUP('Données projet'!$B$12,Paramètres!$A$1:$I$89,3,0)*0.475*44/12</f>
        <v>6.6499648621727383</v>
      </c>
      <c r="CN65" s="22">
        <f t="shared" si="12"/>
        <v>31.906562906008443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5.5555555555555554</v>
      </c>
      <c r="CT65" s="12">
        <f>IF('Données projet'!$A$140&gt;35,CT64+CS65-DB64,IF(A65&lt;'Données projet'!$A$140,$CQ$205^A65,IF(A65='Données projet'!$A$140,'Données projet'!$B$140,CT64+CS65-DB64)))</f>
        <v>171.36752136752133</v>
      </c>
      <c r="CU65" s="17">
        <f>CT65*VLOOKUP('Données projet'!$B$13,Paramètres!$A$1:$I$89,3,0)*VLOOKUP('Données projet'!$B$13,Paramètres!$A$1:$I$89,5,0)</f>
        <v>133.66666666666666</v>
      </c>
      <c r="CV65" s="13">
        <f t="shared" si="41"/>
        <v>34.842241918705284</v>
      </c>
      <c r="CW65" s="20">
        <f t="shared" si="13"/>
        <v>293.4863491195228</v>
      </c>
      <c r="CX65" s="59">
        <f t="shared" si="14"/>
        <v>586.81968245285611</v>
      </c>
      <c r="CY65" s="59">
        <f ca="1">AVERAGE(OFFSET($CX$3,0,0,'Données projet'!$E$13+1,1))-AVERAGE(OFFSET($H$3,0,0,'Données projet'!$E$13+1,1))</f>
        <v>100.54865094989304</v>
      </c>
      <c r="CZ65" s="59">
        <f t="shared" si="42"/>
        <v>99.95654161405389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9.2743028687298956</v>
      </c>
      <c r="DG65" s="21">
        <f>EXP(-LN(2)/25)*DG64+(1-EXP(-LN(2)/25))/(LN(2)/25)*Calculateur!DB65*Calculateur!DD65*VLOOKUP('Données projet'!$B$13,Paramètres!$A$1:$I$89,3,0)*0.475*44/12</f>
        <v>9.3799368101853542</v>
      </c>
      <c r="DH65" s="21">
        <f>EXP(-LN(2)/2)*DH64+(1-EXP(-LN(2)/2))/(LN(2)/2)*DB65*DE65*VLOOKUP('Données projet'!$B$13,Paramètres!$A$1:$I$89,3,0)*0.475*44/12</f>
        <v>2.9592614253125955</v>
      </c>
      <c r="DI65" s="22">
        <f t="shared" si="15"/>
        <v>21.613501104227844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4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55.036800000000078</v>
      </c>
      <c r="D66" s="11">
        <f t="shared" si="32"/>
        <v>15.90718053886436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547.63774451053257</v>
      </c>
      <c r="H66" s="67">
        <f t="shared" si="1"/>
        <v>416.89409943852223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3.4106051316484809E-13</v>
      </c>
      <c r="O66" s="13">
        <f>N66*VLOOKUP('Données projet'!$B$9,Paramètres!$A$1:$I$89,3,0)*VLOOKUP('Données projet'!$B$9,Paramètres!$A$1:$I$89,5,0)</f>
        <v>1.9065282685915009E-13</v>
      </c>
      <c r="P66" s="13">
        <f t="shared" si="33"/>
        <v>2.6568987209435707E-12</v>
      </c>
      <c r="Q66" s="20">
        <f t="shared" si="53"/>
        <v>4.959485612423072E-12</v>
      </c>
      <c r="R66" s="59">
        <f t="shared" si="0"/>
        <v>293.33333333333826</v>
      </c>
      <c r="S66" s="59">
        <f ca="1">AVERAGE(OFFSET($R$3,0,0,'Données projet'!$E$9+1,1))-AVERAGE(OFFSET($H$3,0,0,'Données projet'!$E$9+1,1))</f>
        <v>324.69474275039357</v>
      </c>
      <c r="T66" s="59">
        <f t="shared" si="34"/>
        <v>437.68177084535927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206.45746176697824</v>
      </c>
      <c r="AA66" s="21">
        <f>EXP(-LN(2)/25)*AA65+(1-EXP(-LN(2)/25))/(LN(2)/25)*Calculateur!V66*Calculateur!X66*VLOOKUP('Données projet'!$B$9,Paramètres!$A$1:$I$89,3,0)*0.475*44/12</f>
        <v>66.229554055252976</v>
      </c>
      <c r="AB66" s="21">
        <f>EXP(-LN(2)/2)*AB65+(1-EXP(-LN(2)/2))/(LN(2)/2)*V66*Y66*VLOOKUP('Données projet'!$B$9,Paramètres!$A$1:$I$89,3,0)*0.475*44/12</f>
        <v>4.0441254616144438</v>
      </c>
      <c r="AC66" s="22">
        <f t="shared" si="3"/>
        <v>276.73114128384566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1.1368683772161603E-13</v>
      </c>
      <c r="AJ66" s="13">
        <f>AI66*VLOOKUP('Données projet'!$B$10,Paramètres!$A$1:$I$89,3,0)*VLOOKUP('Données projet'!$B$10,Paramètres!$A$1:$I$89,5,0)</f>
        <v>6.7984728957526396E-14</v>
      </c>
      <c r="AK66" s="13">
        <f t="shared" si="35"/>
        <v>1.0682447123141398E-12</v>
      </c>
      <c r="AL66" s="20">
        <f t="shared" si="4"/>
        <v>1.978932943548152E-12</v>
      </c>
      <c r="AM66" s="59">
        <f t="shared" si="5"/>
        <v>293.3333333333353</v>
      </c>
      <c r="AN66" s="59">
        <f ca="1">AVERAGE(OFFSET($AM$3,0,0,'Données projet'!$E$10+1,1))-AVERAGE(OFFSET($H$3,0,0,'Données projet'!$E$10+1,1))</f>
        <v>214.93913810439858</v>
      </c>
      <c r="AO66" s="59">
        <f t="shared" si="36"/>
        <v>210.65603079265924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130.85884348013698</v>
      </c>
      <c r="AV66" s="21">
        <f>EXP(-LN(2)/25)*AV65+(1-EXP(-LN(2)/25))/(LN(2)/25)*Calculateur!AQ66*Calculateur!AS66*VLOOKUP('Données projet'!$B$10,Paramètres!$A$1:$I$89,3,0)*0.475*44/12</f>
        <v>44.574366236171684</v>
      </c>
      <c r="AW66" s="21">
        <f>EXP(-LN(2)/2)*AW65+(1-EXP(-LN(2)/2))/(LN(2)/2)*AQ66*AT66*VLOOKUP('Données projet'!$B$10,Paramètres!$A$1:$I$89,3,0)*0.475*44/12</f>
        <v>21.199571415061307</v>
      </c>
      <c r="AX66" s="21">
        <f t="shared" si="6"/>
        <v>196.63278113137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13.520000000000003</v>
      </c>
      <c r="BD66" s="12">
        <f>IF('Données projet'!$A$88&gt;35,BD65+BC66-BL65,IF(A66&lt;'Données projet'!$A$88,$BA$205^A66,IF(A66='Données projet'!$A$88,'Données projet'!$B$88,BD65+BC66-BL65)))</f>
        <v>348.36000000000007</v>
      </c>
      <c r="BE66" s="13">
        <f>BD66*VLOOKUP('Données projet'!$B$11,Paramètres!$A$1:$I$89,3,0)*VLOOKUP('Données projet'!$B$11,Paramètres!$A$1:$I$89,5,0)</f>
        <v>315.19612800000004</v>
      </c>
      <c r="BF66" s="13">
        <f t="shared" si="37"/>
        <v>74.352936449224345</v>
      </c>
      <c r="BG66" s="20">
        <f t="shared" si="7"/>
        <v>678.46462058239911</v>
      </c>
      <c r="BH66" s="59">
        <f t="shared" si="8"/>
        <v>971.79795391573248</v>
      </c>
      <c r="BI66" s="59">
        <f ca="1">AVERAGE(OFFSET($BH$3,0,0,'Données projet'!$E$11+1,1))-AVERAGE(OFFSET($H$3,0,0,'Données projet'!$E$11+1,1))</f>
        <v>507.69556381324213</v>
      </c>
      <c r="BJ66" s="59">
        <f t="shared" si="38"/>
        <v>129.52638237044044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8.9740770728248069</v>
      </c>
      <c r="BQ66" s="21">
        <f>EXP(-LN(2)/25)*BQ65+(1-EXP(-LN(2)/25))/(LN(2)/25)*Calculateur!BL66*Calculateur!BN66*VLOOKUP('Données projet'!$B$11,Paramètres!$A$1:$I$89,3,0)*0.475*44/12</f>
        <v>38.564003667589425</v>
      </c>
      <c r="BR66" s="21">
        <f>EXP(-LN(2)/2)*BR65+(1-EXP(-LN(2)/2))/(LN(2)/2)*BL66*BO66*VLOOKUP('Données projet'!$B$11,Paramètres!$A$1:$I$89,3,0)*0.475*44/12</f>
        <v>1.1338693345575048</v>
      </c>
      <c r="BS66" s="22">
        <f t="shared" si="9"/>
        <v>48.671950074971733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6.8933333333333326</v>
      </c>
      <c r="BY66" s="12">
        <f>IF('Données projet'!$A$114&gt;35,BY65+BX66-CG65,IF(A66&lt;'Données projet'!$A$114,$BV$205^A66,IF(A66='Données projet'!$A$114,'Données projet'!$B$114,BY65+BX66-CG65)))</f>
        <v>149.42999999999992</v>
      </c>
      <c r="BZ66" s="13">
        <f>BY66*VLOOKUP('Données projet'!$B$12,Paramètres!$A$1:$I$89,3,0)*VLOOKUP('Données projet'!$B$12,Paramètres!$A$1:$I$89,5,0)</f>
        <v>144.52869599999994</v>
      </c>
      <c r="CA66" s="13">
        <f t="shared" si="39"/>
        <v>37.332536103072727</v>
      </c>
      <c r="CB66" s="20">
        <f t="shared" si="10"/>
        <v>316.74164591285154</v>
      </c>
      <c r="CC66" s="59">
        <f t="shared" si="11"/>
        <v>610.07497924618485</v>
      </c>
      <c r="CD66" s="59">
        <f ca="1">AVERAGE(OFFSET($CC$3,0,0,'Données projet'!$E$12+1,1))-AVERAGE(OFFSET($H$3,0,0,'Données projet'!$E$12+1,1))</f>
        <v>292.52253679467469</v>
      </c>
      <c r="CE66" s="59">
        <f t="shared" si="40"/>
        <v>155.7114133976541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24.565955042140253</v>
      </c>
      <c r="CM66" s="21">
        <f>EXP(-LN(2)/2)*CM65+(1-EXP(-LN(2)/2))/(LN(2)/2)*CG66*CJ66*VLOOKUP('Données projet'!$B$12,Paramètres!$A$1:$I$89,3,0)*0.475*44/12</f>
        <v>4.7022352486946088</v>
      </c>
      <c r="CN66" s="22">
        <f t="shared" si="12"/>
        <v>29.268190290834863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5.5555555555555554</v>
      </c>
      <c r="CT66" s="12">
        <f>IF('Données projet'!$A$140&gt;35,CT65+CS66-DB65,IF(A66&lt;'Données projet'!$A$140,$CQ$205^A66,IF(A66='Données projet'!$A$140,'Données projet'!$B$140,CT65+CS66-DB65)))</f>
        <v>176.92307692307688</v>
      </c>
      <c r="CU66" s="17">
        <f>CT66*VLOOKUP('Données projet'!$B$13,Paramètres!$A$1:$I$89,3,0)*VLOOKUP('Données projet'!$B$13,Paramètres!$A$1:$I$89,5,0)</f>
        <v>137.99999999999997</v>
      </c>
      <c r="CV66" s="13">
        <f t="shared" si="41"/>
        <v>35.838450602130571</v>
      </c>
      <c r="CW66" s="20">
        <f t="shared" si="13"/>
        <v>302.76863479871071</v>
      </c>
      <c r="CX66" s="59">
        <f t="shared" si="14"/>
        <v>596.10196813204402</v>
      </c>
      <c r="CY66" s="59">
        <f ca="1">AVERAGE(OFFSET($CX$3,0,0,'Données projet'!$E$13+1,1))-AVERAGE(OFFSET($H$3,0,0,'Données projet'!$E$13+1,1))</f>
        <v>100.54865094989304</v>
      </c>
      <c r="CZ66" s="59">
        <f t="shared" si="42"/>
        <v>99.95654161405389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9.0924394462402933</v>
      </c>
      <c r="DG66" s="21">
        <f>EXP(-LN(2)/25)*DG65+(1-EXP(-LN(2)/25))/(LN(2)/25)*Calculateur!DB66*Calculateur!DD66*VLOOKUP('Données projet'!$B$13,Paramètres!$A$1:$I$89,3,0)*0.475*44/12</f>
        <v>9.1234419448413977</v>
      </c>
      <c r="DH66" s="21">
        <f>EXP(-LN(2)/2)*DH65+(1-EXP(-LN(2)/2))/(LN(2)/2)*DB66*DE66*VLOOKUP('Données projet'!$B$13,Paramètres!$A$1:$I$89,3,0)*0.475*44/12</f>
        <v>2.0925138211423042</v>
      </c>
      <c r="DI66" s="22">
        <f t="shared" si="15"/>
        <v>20.308395212223996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4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55.910400000000081</v>
      </c>
      <c r="D67" s="11">
        <f t="shared" si="32"/>
        <v>16.130080159534312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556.10195210868665</v>
      </c>
      <c r="H67" s="67">
        <f t="shared" si="1"/>
        <v>418.80383627785574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3.4106051316484809E-13</v>
      </c>
      <c r="O67" s="13">
        <f>N67*VLOOKUP('Données projet'!$B$9,Paramètres!$A$1:$I$89,3,0)*VLOOKUP('Données projet'!$B$9,Paramètres!$A$1:$I$89,5,0)</f>
        <v>1.9065282685915009E-13</v>
      </c>
      <c r="P67" s="13">
        <f t="shared" si="33"/>
        <v>2.6568987209435707E-12</v>
      </c>
      <c r="Q67" s="20">
        <f t="shared" ref="Q67:Q98" si="54">(O67+P67)*0.475*44/12</f>
        <v>4.959485612423072E-12</v>
      </c>
      <c r="R67" s="59">
        <f t="shared" ref="R67:R130" si="55">Q67+(I67+J67)*44/12</f>
        <v>293.33333333333826</v>
      </c>
      <c r="S67" s="59">
        <f ca="1">AVERAGE(OFFSET($R$3,0,0,'Données projet'!$E$9+1,1))-AVERAGE(OFFSET($H$3,0,0,'Données projet'!$E$9+1,1))</f>
        <v>324.69474275039357</v>
      </c>
      <c r="T67" s="59">
        <f t="shared" si="34"/>
        <v>437.68177084535927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202.40895686834526</v>
      </c>
      <c r="AA67" s="21">
        <f>EXP(-LN(2)/25)*AA66+(1-EXP(-LN(2)/25))/(LN(2)/25)*Calculateur!V67*Calculateur!X67*VLOOKUP('Données projet'!$B$9,Paramètres!$A$1:$I$89,3,0)*0.475*44/12</f>
        <v>64.418503416751207</v>
      </c>
      <c r="AB67" s="21">
        <f>EXP(-LN(2)/2)*AB66+(1-EXP(-LN(2)/2))/(LN(2)/2)*V67*Y67*VLOOKUP('Données projet'!$B$9,Paramètres!$A$1:$I$89,3,0)*0.475*44/12</f>
        <v>2.8596285378767501</v>
      </c>
      <c r="AC67" s="22">
        <f t="shared" si="3"/>
        <v>269.68708882297318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1.1368683772161603E-13</v>
      </c>
      <c r="AJ67" s="13">
        <f>AI67*VLOOKUP('Données projet'!$B$10,Paramètres!$A$1:$I$89,3,0)*VLOOKUP('Données projet'!$B$10,Paramètres!$A$1:$I$89,5,0)</f>
        <v>6.7984728957526396E-14</v>
      </c>
      <c r="AK67" s="13">
        <f t="shared" si="35"/>
        <v>1.0682447123141398E-12</v>
      </c>
      <c r="AL67" s="20">
        <f t="shared" si="4"/>
        <v>1.978932943548152E-12</v>
      </c>
      <c r="AM67" s="59">
        <f t="shared" si="5"/>
        <v>293.3333333333353</v>
      </c>
      <c r="AN67" s="59">
        <f ca="1">AVERAGE(OFFSET($AM$3,0,0,'Données projet'!$E$10+1,1))-AVERAGE(OFFSET($H$3,0,0,'Données projet'!$E$10+1,1))</f>
        <v>214.93913810439858</v>
      </c>
      <c r="AO67" s="59">
        <f t="shared" si="36"/>
        <v>210.65603079265924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128.29278137550483</v>
      </c>
      <c r="AV67" s="21">
        <f>EXP(-LN(2)/25)*AV66+(1-EXP(-LN(2)/25))/(LN(2)/25)*Calculateur!AQ67*Calculateur!AS67*VLOOKUP('Données projet'!$B$10,Paramètres!$A$1:$I$89,3,0)*0.475*44/12</f>
        <v>43.355477847379525</v>
      </c>
      <c r="AW67" s="21">
        <f>EXP(-LN(2)/2)*AW66+(1-EXP(-LN(2)/2))/(LN(2)/2)*AQ67*AT67*VLOOKUP('Données projet'!$B$10,Paramètres!$A$1:$I$89,3,0)*0.475*44/12</f>
        <v>14.990360705838345</v>
      </c>
      <c r="AX67" s="21">
        <f t="shared" si="6"/>
        <v>186.6386199287227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13.520000000000003</v>
      </c>
      <c r="BD67" s="12">
        <f>IF('Données projet'!$A$88&gt;35,BD66+BC67-BL66,IF(A67&lt;'Données projet'!$A$88,$BA$205^A67,IF(A67='Données projet'!$A$88,'Données projet'!$B$88,BD66+BC67-BL66)))</f>
        <v>361.88000000000005</v>
      </c>
      <c r="BE67" s="13">
        <f>BD67*VLOOKUP('Données projet'!$B$11,Paramètres!$A$1:$I$89,3,0)*VLOOKUP('Données projet'!$B$11,Paramètres!$A$1:$I$89,5,0)</f>
        <v>327.42902400000003</v>
      </c>
      <c r="BF67" s="13">
        <f t="shared" si="37"/>
        <v>76.897035859574302</v>
      </c>
      <c r="BG67" s="20">
        <f t="shared" si="7"/>
        <v>704.20122092209192</v>
      </c>
      <c r="BH67" s="59">
        <f t="shared" si="8"/>
        <v>997.53455425542529</v>
      </c>
      <c r="BI67" s="59">
        <f ca="1">AVERAGE(OFFSET($BH$3,0,0,'Données projet'!$E$11+1,1))-AVERAGE(OFFSET($H$3,0,0,'Données projet'!$E$11+1,1))</f>
        <v>507.69556381324213</v>
      </c>
      <c r="BJ67" s="59">
        <f t="shared" si="38"/>
        <v>129.52638237044044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8.7981008950732491</v>
      </c>
      <c r="BQ67" s="21">
        <f>EXP(-LN(2)/25)*BQ66+(1-EXP(-LN(2)/25))/(LN(2)/25)*Calculateur!BL67*Calculateur!BN67*VLOOKUP('Données projet'!$B$11,Paramètres!$A$1:$I$89,3,0)*0.475*44/12</f>
        <v>37.509468959306382</v>
      </c>
      <c r="BR67" s="21">
        <f>EXP(-LN(2)/2)*BR66+(1-EXP(-LN(2)/2))/(LN(2)/2)*BL67*BO67*VLOOKUP('Données projet'!$B$11,Paramètres!$A$1:$I$89,3,0)*0.475*44/12</f>
        <v>0.80176669544508983</v>
      </c>
      <c r="BS67" s="22">
        <f t="shared" si="9"/>
        <v>47.109336549824718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6.8933333333333326</v>
      </c>
      <c r="BY67" s="12">
        <f>IF('Données projet'!$A$114&gt;35,BY66+BX67-CG66,IF(A67&lt;'Données projet'!$A$114,$BV$205^A67,IF(A67='Données projet'!$A$114,'Données projet'!$B$114,BY66+BX67-CG66)))</f>
        <v>156.32333333333327</v>
      </c>
      <c r="BZ67" s="13">
        <f>BY67*VLOOKUP('Données projet'!$B$12,Paramètres!$A$1:$I$89,3,0)*VLOOKUP('Données projet'!$B$12,Paramètres!$A$1:$I$89,5,0)</f>
        <v>151.19592799999995</v>
      </c>
      <c r="CA67" s="13">
        <f t="shared" si="39"/>
        <v>38.850238811998203</v>
      </c>
      <c r="CB67" s="20">
        <f t="shared" si="10"/>
        <v>330.99707386423012</v>
      </c>
      <c r="CC67" s="59">
        <f t="shared" si="11"/>
        <v>624.33040719756343</v>
      </c>
      <c r="CD67" s="59">
        <f ca="1">AVERAGE(OFFSET($CC$3,0,0,'Données projet'!$E$12+1,1))-AVERAGE(OFFSET($H$3,0,0,'Données projet'!$E$12+1,1))</f>
        <v>292.52253679467469</v>
      </c>
      <c r="CE67" s="59">
        <f t="shared" si="40"/>
        <v>155.7114133976541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23.8941977096455</v>
      </c>
      <c r="CM67" s="21">
        <f>EXP(-LN(2)/2)*CM66+(1-EXP(-LN(2)/2))/(LN(2)/2)*CG67*CJ67*VLOOKUP('Données projet'!$B$12,Paramètres!$A$1:$I$89,3,0)*0.475*44/12</f>
        <v>3.32498243108637</v>
      </c>
      <c r="CN67" s="22">
        <f t="shared" si="12"/>
        <v>27.219180140731869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5.5555555555555554</v>
      </c>
      <c r="CT67" s="12">
        <f>IF('Données projet'!$A$140&gt;35,CT66+CS67-DB66,IF(A67&lt;'Données projet'!$A$140,$CQ$205^A67,IF(A67='Données projet'!$A$140,'Données projet'!$B$140,CT66+CS67-DB66)))</f>
        <v>182.47863247863242</v>
      </c>
      <c r="CU67" s="17">
        <f>CT67*VLOOKUP('Données projet'!$B$13,Paramètres!$A$1:$I$89,3,0)*VLOOKUP('Données projet'!$B$13,Paramètres!$A$1:$I$89,5,0)</f>
        <v>142.33333333333329</v>
      </c>
      <c r="CV67" s="13">
        <f t="shared" si="41"/>
        <v>36.831024085819266</v>
      </c>
      <c r="CW67" s="20">
        <f t="shared" si="13"/>
        <v>312.04458917169069</v>
      </c>
      <c r="CX67" s="59">
        <f t="shared" si="14"/>
        <v>605.377922505024</v>
      </c>
      <c r="CY67" s="59">
        <f ca="1">AVERAGE(OFFSET($CX$3,0,0,'Données projet'!$E$13+1,1))-AVERAGE(OFFSET($H$3,0,0,'Données projet'!$E$13+1,1))</f>
        <v>100.54865094989304</v>
      </c>
      <c r="CZ67" s="59">
        <f t="shared" si="42"/>
        <v>99.95654161405389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8.9141422545399767</v>
      </c>
      <c r="DG67" s="21">
        <f>EXP(-LN(2)/25)*DG66+(1-EXP(-LN(2)/25))/(LN(2)/25)*Calculateur!DB67*Calculateur!DD67*VLOOKUP('Données projet'!$B$13,Paramètres!$A$1:$I$89,3,0)*0.475*44/12</f>
        <v>8.8739609450787498</v>
      </c>
      <c r="DH67" s="21">
        <f>EXP(-LN(2)/2)*DH66+(1-EXP(-LN(2)/2))/(LN(2)/2)*DB67*DE67*VLOOKUP('Données projet'!$B$13,Paramètres!$A$1:$I$89,3,0)*0.475*44/12</f>
        <v>1.4796307126562978</v>
      </c>
      <c r="DI67" s="22">
        <f t="shared" si="15"/>
        <v>19.267733912275023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4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56.784000000000084</v>
      </c>
      <c r="D68" s="11">
        <f t="shared" si="32"/>
        <v>16.352574732529369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564.56303302303434</v>
      </c>
      <c r="H68" s="67">
        <f t="shared" ref="H68:H131" si="56">(B68+E68+F68)*44/12+(C68+D68)*0.475*44/12</f>
        <v>420.71286765915545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3.4106051316484809E-13</v>
      </c>
      <c r="O68" s="13">
        <f>N68*VLOOKUP('Données projet'!$B$9,Paramètres!$A$1:$I$89,3,0)*VLOOKUP('Données projet'!$B$9,Paramètres!$A$1:$I$89,5,0)</f>
        <v>1.9065282685915009E-13</v>
      </c>
      <c r="P68" s="13">
        <f t="shared" si="33"/>
        <v>2.6568987209435707E-12</v>
      </c>
      <c r="Q68" s="20">
        <f t="shared" si="54"/>
        <v>4.959485612423072E-12</v>
      </c>
      <c r="R68" s="59">
        <f t="shared" si="55"/>
        <v>293.33333333333826</v>
      </c>
      <c r="S68" s="59">
        <f ca="1">AVERAGE(OFFSET($R$3,0,0,'Données projet'!$E$9+1,1))-AVERAGE(OFFSET($H$3,0,0,'Données projet'!$E$9+1,1))</f>
        <v>324.69474275039357</v>
      </c>
      <c r="T68" s="59">
        <f t="shared" si="34"/>
        <v>437.68177084535927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198.4398406814303</v>
      </c>
      <c r="AA68" s="21">
        <f>EXP(-LN(2)/25)*AA67+(1-EXP(-LN(2)/25))/(LN(2)/25)*Calculateur!V68*Calculateur!X68*VLOOKUP('Données projet'!$B$9,Paramètres!$A$1:$I$89,3,0)*0.475*44/12</f>
        <v>62.656976053198278</v>
      </c>
      <c r="AB68" s="21">
        <f>EXP(-LN(2)/2)*AB67+(1-EXP(-LN(2)/2))/(LN(2)/2)*V68*Y68*VLOOKUP('Données projet'!$B$9,Paramètres!$A$1:$I$89,3,0)*0.475*44/12</f>
        <v>2.0220627308072219</v>
      </c>
      <c r="AC68" s="22">
        <f t="shared" ref="AC68:AC131" si="57">SUM(Z68:AB68)</f>
        <v>263.11887946543584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1.1368683772161603E-13</v>
      </c>
      <c r="AJ68" s="13">
        <f>AI68*VLOOKUP('Données projet'!$B$10,Paramètres!$A$1:$I$89,3,0)*VLOOKUP('Données projet'!$B$10,Paramètres!$A$1:$I$89,5,0)</f>
        <v>6.7984728957526396E-14</v>
      </c>
      <c r="AK68" s="13">
        <f t="shared" si="35"/>
        <v>1.0682447123141398E-12</v>
      </c>
      <c r="AL68" s="20">
        <f t="shared" ref="AL68:AL131" si="58">(AJ68+AK68)*0.475*44/12</f>
        <v>1.978932943548152E-12</v>
      </c>
      <c r="AM68" s="59">
        <f t="shared" ref="AM68:AM131" si="59">AL68+(AD68+AE68)*44/12</f>
        <v>293.3333333333353</v>
      </c>
      <c r="AN68" s="59">
        <f ca="1">AVERAGE(OFFSET($AM$3,0,0,'Données projet'!$E$10+1,1))-AVERAGE(OFFSET($H$3,0,0,'Données projet'!$E$10+1,1))</f>
        <v>214.93913810439858</v>
      </c>
      <c r="AO68" s="59">
        <f t="shared" si="36"/>
        <v>210.65603079265924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125.77703818360119</v>
      </c>
      <c r="AV68" s="21">
        <f>EXP(-LN(2)/25)*AV67+(1-EXP(-LN(2)/25))/(LN(2)/25)*Calculateur!AQ68*Calculateur!AS68*VLOOKUP('Données projet'!$B$10,Paramètres!$A$1:$I$89,3,0)*0.475*44/12</f>
        <v>42.169920025677442</v>
      </c>
      <c r="AW68" s="21">
        <f>EXP(-LN(2)/2)*AW67+(1-EXP(-LN(2)/2))/(LN(2)/2)*AQ68*AT68*VLOOKUP('Données projet'!$B$10,Paramètres!$A$1:$I$89,3,0)*0.475*44/12</f>
        <v>10.599785707530655</v>
      </c>
      <c r="AX68" s="21">
        <f t="shared" ref="AX68:AX131" si="60">SUM(AU68:AW68)</f>
        <v>178.54674391680931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13.520000000000003</v>
      </c>
      <c r="BD68" s="12">
        <f>IF('Données projet'!$A$88&gt;35,BD67+BC68-BL67,IF(A68&lt;'Données projet'!$A$88,$BA$205^A68,IF(A68='Données projet'!$A$88,'Données projet'!$B$88,BD67+BC68-BL67)))</f>
        <v>375.40000000000003</v>
      </c>
      <c r="BE68" s="13">
        <f>BD68*VLOOKUP('Données projet'!$B$11,Paramètres!$A$1:$I$89,3,0)*VLOOKUP('Données projet'!$B$11,Paramètres!$A$1:$I$89,5,0)</f>
        <v>339.66192000000001</v>
      </c>
      <c r="BF68" s="13">
        <f t="shared" si="37"/>
        <v>79.430092909514357</v>
      </c>
      <c r="BG68" s="20">
        <f t="shared" ref="BG68:BG131" si="61">(BE68+BF68)*0.475*44/12</f>
        <v>729.91858915073738</v>
      </c>
      <c r="BH68" s="59">
        <f t="shared" ref="BH68:BH131" si="62">BG68+(AY68+AZ68)*44/12</f>
        <v>1023.2519224840707</v>
      </c>
      <c r="BI68" s="59">
        <f ca="1">AVERAGE(OFFSET($BH$3,0,0,'Données projet'!$E$11+1,1))-AVERAGE(OFFSET($H$3,0,0,'Données projet'!$E$11+1,1))</f>
        <v>507.69556381324213</v>
      </c>
      <c r="BJ68" s="59">
        <f t="shared" si="38"/>
        <v>129.52638237044044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8.6255755028325289</v>
      </c>
      <c r="BQ68" s="21">
        <f>EXP(-LN(2)/25)*BQ67+(1-EXP(-LN(2)/25))/(LN(2)/25)*Calculateur!BL68*Calculateur!BN68*VLOOKUP('Données projet'!$B$11,Paramètres!$A$1:$I$89,3,0)*0.475*44/12</f>
        <v>36.483770558076905</v>
      </c>
      <c r="BR68" s="21">
        <f>EXP(-LN(2)/2)*BR67+(1-EXP(-LN(2)/2))/(LN(2)/2)*BL68*BO68*VLOOKUP('Données projet'!$B$11,Paramètres!$A$1:$I$89,3,0)*0.475*44/12</f>
        <v>0.56693466727875241</v>
      </c>
      <c r="BS68" s="22">
        <f t="shared" ref="BS68:BS131" si="63">SUM(BP68:BR68)</f>
        <v>45.676280728188182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6.8933333333333326</v>
      </c>
      <c r="BY68" s="12">
        <f>IF('Données projet'!$A$114&gt;35,BY67+BX68-CG67,IF(A68&lt;'Données projet'!$A$114,$BV$205^A68,IF(A68='Données projet'!$A$114,'Données projet'!$B$114,BY67+BX68-CG67)))</f>
        <v>163.21666666666661</v>
      </c>
      <c r="BZ68" s="13">
        <f>BY68*VLOOKUP('Données projet'!$B$12,Paramètres!$A$1:$I$89,3,0)*VLOOKUP('Données projet'!$B$12,Paramètres!$A$1:$I$89,5,0)</f>
        <v>157.86315999999997</v>
      </c>
      <c r="CA68" s="13">
        <f t="shared" si="39"/>
        <v>40.360168681268135</v>
      </c>
      <c r="CB68" s="20">
        <f t="shared" ref="CB68:CB131" si="64">(BZ68+CA68)*0.475*44/12</f>
        <v>345.23896411987533</v>
      </c>
      <c r="CC68" s="59">
        <f t="shared" ref="CC68:CC131" si="65">CB68+(BT68+BU68)*44/12</f>
        <v>638.57229745320865</v>
      </c>
      <c r="CD68" s="59">
        <f ca="1">AVERAGE(OFFSET($CC$3,0,0,'Données projet'!$E$12+1,1))-AVERAGE(OFFSET($H$3,0,0,'Données projet'!$E$12+1,1))</f>
        <v>292.52253679467469</v>
      </c>
      <c r="CE68" s="59">
        <f t="shared" si="40"/>
        <v>155.7114133976541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23.240809616733998</v>
      </c>
      <c r="CM68" s="21">
        <f>EXP(-LN(2)/2)*CM67+(1-EXP(-LN(2)/2))/(LN(2)/2)*CG68*CJ68*VLOOKUP('Données projet'!$B$12,Paramètres!$A$1:$I$89,3,0)*0.475*44/12</f>
        <v>2.3511176243473049</v>
      </c>
      <c r="CN68" s="22">
        <f t="shared" ref="CN68:CN131" si="66">SUM(CK68:CM68)</f>
        <v>25.591927241081301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5.5555555555555554</v>
      </c>
      <c r="CT68" s="12">
        <f>IF('Données projet'!$A$140&gt;35,CT67+CS68-DB67,IF(A68&lt;'Données projet'!$A$140,$CQ$205^A68,IF(A68='Données projet'!$A$140,'Données projet'!$B$140,CT67+CS68-DB67)))</f>
        <v>188.03418803418796</v>
      </c>
      <c r="CU68" s="17">
        <f>CT68*VLOOKUP('Données projet'!$B$13,Paramètres!$A$1:$I$89,3,0)*VLOOKUP('Données projet'!$B$13,Paramètres!$A$1:$I$89,5,0)</f>
        <v>146.66666666666663</v>
      </c>
      <c r="CV68" s="13">
        <f t="shared" si="41"/>
        <v>37.82008574568669</v>
      </c>
      <c r="CW68" s="20">
        <f t="shared" ref="CW68:CW131" si="67">(CU68+CV68)*0.475*44/12</f>
        <v>321.31442711818204</v>
      </c>
      <c r="CX68" s="59">
        <f t="shared" ref="CX68:CX131" si="68">CW68+(CO68+CP68)*44/12</f>
        <v>614.6477604515153</v>
      </c>
      <c r="CY68" s="59">
        <f ca="1">AVERAGE(OFFSET($CX$3,0,0,'Données projet'!$E$13+1,1))-AVERAGE(OFFSET($H$3,0,0,'Données projet'!$E$13+1,1))</f>
        <v>100.54865094989304</v>
      </c>
      <c r="CZ68" s="59">
        <f t="shared" si="42"/>
        <v>99.95654161405389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8.7393413620183544</v>
      </c>
      <c r="DG68" s="21">
        <f>EXP(-LN(2)/25)*DG67+(1-EXP(-LN(2)/25))/(LN(2)/25)*Calculateur!DB68*Calculateur!DD68*VLOOKUP('Données projet'!$B$13,Paramètres!$A$1:$I$89,3,0)*0.475*44/12</f>
        <v>8.6313020163742475</v>
      </c>
      <c r="DH68" s="21">
        <f>EXP(-LN(2)/2)*DH67+(1-EXP(-LN(2)/2))/(LN(2)/2)*DB68*DE68*VLOOKUP('Données projet'!$B$13,Paramètres!$A$1:$I$89,3,0)*0.475*44/12</f>
        <v>1.0462569105711521</v>
      </c>
      <c r="DI68" s="22">
        <f t="shared" ref="DI68:DI131" si="69">SUM(DF68:DH68)</f>
        <v>18.416900288963753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4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57.657600000000087</v>
      </c>
      <c r="D69" s="11">
        <f t="shared" ref="D69:D132" si="86">IFERROR(EXP(-1.0587+0.8836*LN(C69)+0.284),0)</f>
        <v>16.574671209026054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573.02104091178069</v>
      </c>
      <c r="H69" s="67">
        <f t="shared" si="56"/>
        <v>422.6212056890538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3.4106051316484809E-13</v>
      </c>
      <c r="O69" s="13">
        <f>N69*VLOOKUP('Données projet'!$B$9,Paramètres!$A$1:$I$89,3,0)*VLOOKUP('Données projet'!$B$9,Paramètres!$A$1:$I$89,5,0)</f>
        <v>1.9065282685915009E-13</v>
      </c>
      <c r="P69" s="13">
        <f t="shared" ref="P69:P132" si="87">EXP(-1.0587+0.8836*LN(O69)+0.284)</f>
        <v>2.6568987209435707E-12</v>
      </c>
      <c r="Q69" s="20">
        <f t="shared" si="54"/>
        <v>4.959485612423072E-12</v>
      </c>
      <c r="R69" s="59">
        <f t="shared" si="55"/>
        <v>293.33333333333826</v>
      </c>
      <c r="S69" s="59">
        <f ca="1">AVERAGE(OFFSET($R$3,0,0,'Données projet'!$E$9+1,1))-AVERAGE(OFFSET($H$3,0,0,'Données projet'!$E$9+1,1))</f>
        <v>324.69474275039357</v>
      </c>
      <c r="T69" s="59">
        <f t="shared" ref="T69:T132" si="88">$T$3</f>
        <v>437.68177084535927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194.54855644201891</v>
      </c>
      <c r="AA69" s="21">
        <f>EXP(-LN(2)/25)*AA68+(1-EXP(-LN(2)/25))/(LN(2)/25)*Calculateur!V69*Calculateur!X69*VLOOKUP('Données projet'!$B$9,Paramètres!$A$1:$I$89,3,0)*0.475*44/12</f>
        <v>60.943617748036402</v>
      </c>
      <c r="AB69" s="21">
        <f>EXP(-LN(2)/2)*AB68+(1-EXP(-LN(2)/2))/(LN(2)/2)*V69*Y69*VLOOKUP('Données projet'!$B$9,Paramètres!$A$1:$I$89,3,0)*0.475*44/12</f>
        <v>1.429814268938375</v>
      </c>
      <c r="AC69" s="22">
        <f t="shared" si="57"/>
        <v>256.92198845899372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1.1368683772161603E-13</v>
      </c>
      <c r="AJ69" s="13">
        <f>AI69*VLOOKUP('Données projet'!$B$10,Paramètres!$A$1:$I$89,3,0)*VLOOKUP('Données projet'!$B$10,Paramètres!$A$1:$I$89,5,0)</f>
        <v>6.7984728957526396E-14</v>
      </c>
      <c r="AK69" s="13">
        <f t="shared" ref="AK69:AK132" si="89">EXP(-1.0587+0.8836*LN(AJ69)+0.284)</f>
        <v>1.0682447123141398E-12</v>
      </c>
      <c r="AL69" s="20">
        <f t="shared" si="58"/>
        <v>1.978932943548152E-12</v>
      </c>
      <c r="AM69" s="59">
        <f t="shared" si="59"/>
        <v>293.3333333333353</v>
      </c>
      <c r="AN69" s="59">
        <f ca="1">AVERAGE(OFFSET($AM$3,0,0,'Données projet'!$E$10+1,1))-AVERAGE(OFFSET($H$3,0,0,'Données projet'!$E$10+1,1))</f>
        <v>214.93913810439858</v>
      </c>
      <c r="AO69" s="59">
        <f t="shared" ref="AO69:AO132" si="90">$AO$3</f>
        <v>210.65603079265924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123.31062718123894</v>
      </c>
      <c r="AV69" s="21">
        <f>EXP(-LN(2)/25)*AV68+(1-EXP(-LN(2)/25))/(LN(2)/25)*Calculateur!AQ69*Calculateur!AS69*VLOOKUP('Données projet'!$B$10,Paramètres!$A$1:$I$89,3,0)*0.475*44/12</f>
        <v>41.016781344955575</v>
      </c>
      <c r="AW69" s="21">
        <f>EXP(-LN(2)/2)*AW68+(1-EXP(-LN(2)/2))/(LN(2)/2)*AQ69*AT69*VLOOKUP('Données projet'!$B$10,Paramètres!$A$1:$I$89,3,0)*0.475*44/12</f>
        <v>7.4951803529191734</v>
      </c>
      <c r="AX69" s="21">
        <f t="shared" si="60"/>
        <v>171.82258887911368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>
        <f>VLOOKUP(A69,'Données projet'!$A$87:$I$107,2,0)</f>
        <v>388.92</v>
      </c>
      <c r="BB69" s="12">
        <f>VLOOKUP(A69,'Données projet'!$A$87:$I$107,9,0)</f>
        <v>13.520000000000003</v>
      </c>
      <c r="BC69" s="12">
        <f t="array" ref="BC69">INDEX(BB:BB,MIN(IF(ISNUMBER(BB69:BB265),ROW(BB69:BB265),"")))</f>
        <v>13.520000000000003</v>
      </c>
      <c r="BD69" s="12">
        <f>IF('Données projet'!$A$88&gt;35,BD68+BC69-BL68,IF(A69&lt;'Données projet'!$A$88,$BA$205^A69,IF(A69='Données projet'!$A$88,'Données projet'!$B$88,BD68+BC69-BL68)))</f>
        <v>388.92</v>
      </c>
      <c r="BE69" s="13">
        <f>BD69*VLOOKUP('Données projet'!$B$11,Paramètres!$A$1:$I$89,3,0)*VLOOKUP('Données projet'!$B$11,Paramètres!$A$1:$I$89,5,0)</f>
        <v>351.89481599999999</v>
      </c>
      <c r="BF69" s="13">
        <f t="shared" ref="BF69:BF132" si="91">EXP(-1.0587+0.8836*LN(BE69)+0.284)</f>
        <v>81.952550845391471</v>
      </c>
      <c r="BG69" s="20">
        <f t="shared" si="61"/>
        <v>755.61749725572326</v>
      </c>
      <c r="BH69" s="59">
        <f t="shared" si="62"/>
        <v>1048.9508305890565</v>
      </c>
      <c r="BI69" s="59">
        <f ca="1">AVERAGE(OFFSET($BH$3,0,0,'Données projet'!$E$11+1,1))-AVERAGE(OFFSET($H$3,0,0,'Données projet'!$E$11+1,1))</f>
        <v>507.69556381324213</v>
      </c>
      <c r="BJ69" s="59">
        <f t="shared" ref="BJ69:BJ132" si="92">$BJ$3</f>
        <v>129.52638237044044</v>
      </c>
      <c r="BK69" s="15">
        <f>IF(ISNA(VLOOKUP(A69,'Données projet'!$A$87:$I$107,3,0)),0,VLOOKUP(A69,'Données projet'!$A$87:$I$107,3,0))</f>
        <v>5</v>
      </c>
      <c r="BL69" s="15">
        <f>IF(ISNA(VLOOKUP(A69,'Données projet'!$A$87:$I$107,4,0)),0,VLOOKUP(A69,'Données projet'!$A$87:$I$107,4,0))</f>
        <v>76.480000000000018</v>
      </c>
      <c r="BM69" s="16">
        <f>IF(ISNA(VLOOKUP(A69,'Données projet'!$A$87:$I$107,5,0)),0%,VLOOKUP(A69,'Données projet'!$A$87:$I$107,5,0)*VLOOKUP('Données projet'!$B$11,Paramètres!$A$1:$I$89,7,0))</f>
        <v>0.15049999999999999</v>
      </c>
      <c r="BN69" s="16">
        <f>IF(ISNA(VLOOKUP(A69,'Données projet'!$A$87:$I$107,6,0)),0%,VLOOKUP(A69,'Données projet'!$A$87:$I$107,6,0)*VLOOKUP('Données projet'!$B$11,Paramètres!$A$1:$I$89,7,0))</f>
        <v>8.6000000000000007E-2</v>
      </c>
      <c r="BO69" s="16">
        <f>IF(ISNA(VLOOKUP(A69,'Données projet'!$A$87:$I$107,7,0)),0%,VLOOKUP(A69,'Données projet'!$A$87:$I$107,7,0))</f>
        <v>0.1</v>
      </c>
      <c r="BP69" s="21">
        <f>EXP(-LN(2)/35)*BP68+(1-EXP(-LN(2)/35))/(LN(2)/35)*BL69*BM69*VLOOKUP('Données projet'!$B$11,Paramètres!$A$1:$I$89,3,0)*0.475*44/12</f>
        <v>19.969315972517677</v>
      </c>
      <c r="BQ69" s="21">
        <f>EXP(-LN(2)/25)*BQ68+(1-EXP(-LN(2)/25))/(LN(2)/25)*Calculateur!BL69*Calculateur!BN69*VLOOKUP('Données projet'!$B$11,Paramètres!$A$1:$I$89,3,0)*0.475*44/12</f>
        <v>42.039006869624131</v>
      </c>
      <c r="BR69" s="21">
        <f>EXP(-LN(2)/2)*BR68+(1-EXP(-LN(2)/2))/(LN(2)/2)*BL69*BO69*VLOOKUP('Données projet'!$B$11,Paramètres!$A$1:$I$89,3,0)*0.475*44/12</f>
        <v>6.9300050567802831</v>
      </c>
      <c r="BS69" s="22">
        <f t="shared" si="63"/>
        <v>68.938327898922097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6.8933333333333326</v>
      </c>
      <c r="BY69" s="12">
        <f>IF('Données projet'!$A$114&gt;35,BY68+BX69-CG68,IF(A69&lt;'Données projet'!$A$114,$BV$205^A69,IF(A69='Données projet'!$A$114,'Données projet'!$B$114,BY68+BX69-CG68)))</f>
        <v>170.10999999999996</v>
      </c>
      <c r="BZ69" s="13">
        <f>BY69*VLOOKUP('Données projet'!$B$12,Paramètres!$A$1:$I$89,3,0)*VLOOKUP('Données projet'!$B$12,Paramètres!$A$1:$I$89,5,0)</f>
        <v>164.53039199999995</v>
      </c>
      <c r="CA69" s="13">
        <f t="shared" ref="CA69:CA132" si="93">EXP(-1.0587+0.8836*LN(BZ69)+0.284)</f>
        <v>41.862691525218828</v>
      </c>
      <c r="CB69" s="20">
        <f t="shared" si="64"/>
        <v>359.46795380642266</v>
      </c>
      <c r="CC69" s="59">
        <f t="shared" si="65"/>
        <v>652.80128713975591</v>
      </c>
      <c r="CD69" s="59">
        <f ca="1">AVERAGE(OFFSET($CC$3,0,0,'Données projet'!$E$12+1,1))-AVERAGE(OFFSET($H$3,0,0,'Données projet'!$E$12+1,1))</f>
        <v>292.52253679467469</v>
      </c>
      <c r="CE69" s="59">
        <f t="shared" ref="CE69:CE132" si="94">$CE$3</f>
        <v>155.7114133976541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22.605288455583345</v>
      </c>
      <c r="CM69" s="21">
        <f>EXP(-LN(2)/2)*CM68+(1-EXP(-LN(2)/2))/(LN(2)/2)*CG69*CJ69*VLOOKUP('Données projet'!$B$12,Paramètres!$A$1:$I$89,3,0)*0.475*44/12</f>
        <v>1.6624912155431852</v>
      </c>
      <c r="CN69" s="22">
        <f t="shared" si="66"/>
        <v>24.267779671126529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5.5555555555555554</v>
      </c>
      <c r="CT69" s="12">
        <f>IF('Données projet'!$A$140&gt;35,CT68+CS69-DB68,IF(A69&lt;'Données projet'!$A$140,$CQ$205^A69,IF(A69='Données projet'!$A$140,'Données projet'!$B$140,CT68+CS69-DB68)))</f>
        <v>193.58974358974351</v>
      </c>
      <c r="CU69" s="17">
        <f>CT69*VLOOKUP('Données projet'!$B$13,Paramètres!$A$1:$I$89,3,0)*VLOOKUP('Données projet'!$B$13,Paramètres!$A$1:$I$89,5,0)</f>
        <v>150.99999999999994</v>
      </c>
      <c r="CV69" s="13">
        <f t="shared" ref="CV69:CV132" si="95">EXP(-1.0587+0.8836*LN(CU69)+0.284)</f>
        <v>38.805751252807752</v>
      </c>
      <c r="CW69" s="20">
        <f t="shared" si="67"/>
        <v>330.57835009864004</v>
      </c>
      <c r="CX69" s="59">
        <f t="shared" si="68"/>
        <v>623.91168343197342</v>
      </c>
      <c r="CY69" s="59">
        <f ca="1">AVERAGE(OFFSET($CX$3,0,0,'Données projet'!$E$13+1,1))-AVERAGE(OFFSET($H$3,0,0,'Données projet'!$E$13+1,1))</f>
        <v>100.54865094989304</v>
      </c>
      <c r="CZ69" s="59">
        <f t="shared" ref="CZ69:CZ132" si="96">$CZ$3</f>
        <v>99.95654161405389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8.5679682083810658</v>
      </c>
      <c r="DG69" s="21">
        <f>EXP(-LN(2)/25)*DG68+(1-EXP(-LN(2)/25))/(LN(2)/25)*Calculateur!DB69*Calculateur!DD69*VLOOKUP('Données projet'!$B$13,Paramètres!$A$1:$I$89,3,0)*0.475*44/12</f>
        <v>8.3952786088360476</v>
      </c>
      <c r="DH69" s="21">
        <f>EXP(-LN(2)/2)*DH68+(1-EXP(-LN(2)/2))/(LN(2)/2)*DB69*DE69*VLOOKUP('Données projet'!$B$13,Paramètres!$A$1:$I$89,3,0)*0.475*44/12</f>
        <v>0.73981535632814888</v>
      </c>
      <c r="DI69" s="22">
        <f t="shared" si="69"/>
        <v>17.703062173545259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4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58.531200000000091</v>
      </c>
      <c r="D70" s="11">
        <f t="shared" si="86"/>
        <v>16.796376317470774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581.47602771381014</v>
      </c>
      <c r="H70" s="67">
        <f t="shared" si="56"/>
        <v>424.52886208626171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3.4106051316484809E-13</v>
      </c>
      <c r="O70" s="13">
        <f>N70*VLOOKUP('Données projet'!$B$9,Paramètres!$A$1:$I$89,3,0)*VLOOKUP('Données projet'!$B$9,Paramètres!$A$1:$I$89,5,0)</f>
        <v>1.9065282685915009E-13</v>
      </c>
      <c r="P70" s="13">
        <f t="shared" si="87"/>
        <v>2.6568987209435707E-12</v>
      </c>
      <c r="Q70" s="20">
        <f t="shared" si="54"/>
        <v>4.959485612423072E-12</v>
      </c>
      <c r="R70" s="59">
        <f t="shared" si="55"/>
        <v>293.33333333333826</v>
      </c>
      <c r="S70" s="59">
        <f ca="1">AVERAGE(OFFSET($R$3,0,0,'Données projet'!$E$9+1,1))-AVERAGE(OFFSET($H$3,0,0,'Données projet'!$E$9+1,1))</f>
        <v>324.69474275039357</v>
      </c>
      <c r="T70" s="59">
        <f t="shared" si="88"/>
        <v>437.68177084535927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190.73357791309337</v>
      </c>
      <c r="AA70" s="21">
        <f>EXP(-LN(2)/25)*AA69+(1-EXP(-LN(2)/25))/(LN(2)/25)*Calculateur!V70*Calculateur!X70*VLOOKUP('Données projet'!$B$9,Paramètres!$A$1:$I$89,3,0)*0.475*44/12</f>
        <v>59.27711131583078</v>
      </c>
      <c r="AB70" s="21">
        <f>EXP(-LN(2)/2)*AB69+(1-EXP(-LN(2)/2))/(LN(2)/2)*V70*Y70*VLOOKUP('Données projet'!$B$9,Paramètres!$A$1:$I$89,3,0)*0.475*44/12</f>
        <v>1.0110313654036109</v>
      </c>
      <c r="AC70" s="22">
        <f t="shared" si="57"/>
        <v>251.02172059432777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1.1368683772161603E-13</v>
      </c>
      <c r="AJ70" s="13">
        <f>AI70*VLOOKUP('Données projet'!$B$10,Paramètres!$A$1:$I$89,3,0)*VLOOKUP('Données projet'!$B$10,Paramètres!$A$1:$I$89,5,0)</f>
        <v>6.7984728957526396E-14</v>
      </c>
      <c r="AK70" s="13">
        <f t="shared" si="89"/>
        <v>1.0682447123141398E-12</v>
      </c>
      <c r="AL70" s="20">
        <f t="shared" si="58"/>
        <v>1.978932943548152E-12</v>
      </c>
      <c r="AM70" s="59">
        <f t="shared" si="59"/>
        <v>293.3333333333353</v>
      </c>
      <c r="AN70" s="59">
        <f ca="1">AVERAGE(OFFSET($AM$3,0,0,'Données projet'!$E$10+1,1))-AVERAGE(OFFSET($H$3,0,0,'Données projet'!$E$10+1,1))</f>
        <v>214.93913810439858</v>
      </c>
      <c r="AO70" s="59">
        <f t="shared" si="90"/>
        <v>210.65603079265924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120.89258099427086</v>
      </c>
      <c r="AV70" s="21">
        <f>EXP(-LN(2)/25)*AV69+(1-EXP(-LN(2)/25))/(LN(2)/25)*Calculateur!AQ70*Calculateur!AS70*VLOOKUP('Données projet'!$B$10,Paramètres!$A$1:$I$89,3,0)*0.475*44/12</f>
        <v>39.895175302098977</v>
      </c>
      <c r="AW70" s="21">
        <f>EXP(-LN(2)/2)*AW69+(1-EXP(-LN(2)/2))/(LN(2)/2)*AQ70*AT70*VLOOKUP('Données projet'!$B$10,Paramètres!$A$1:$I$89,3,0)*0.475*44/12</f>
        <v>5.2998928537653285</v>
      </c>
      <c r="AX70" s="21">
        <f t="shared" si="60"/>
        <v>166.08764915013515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12.795000000000002</v>
      </c>
      <c r="BD70" s="12">
        <f>IF('Données projet'!$A$88&gt;35,BD69+BC70-BL69,IF(A70&lt;'Données projet'!$A$88,$BA$205^A70,IF(A70='Données projet'!$A$88,'Données projet'!$B$88,BD69+BC70-BL69)))</f>
        <v>325.23500000000001</v>
      </c>
      <c r="BE70" s="13">
        <f>BD70*VLOOKUP('Données projet'!$B$11,Paramètres!$A$1:$I$89,3,0)*VLOOKUP('Données projet'!$B$11,Paramètres!$A$1:$I$89,5,0)</f>
        <v>294.272628</v>
      </c>
      <c r="BF70" s="13">
        <f t="shared" si="91"/>
        <v>69.974442654220198</v>
      </c>
      <c r="BG70" s="20">
        <f t="shared" si="61"/>
        <v>634.39698138943356</v>
      </c>
      <c r="BH70" s="59">
        <f t="shared" si="62"/>
        <v>927.73031472276693</v>
      </c>
      <c r="BI70" s="59">
        <f ca="1">AVERAGE(OFFSET($BH$3,0,0,'Données projet'!$E$11+1,1))-AVERAGE(OFFSET($H$3,0,0,'Données projet'!$E$11+1,1))</f>
        <v>507.69556381324213</v>
      </c>
      <c r="BJ70" s="59">
        <f t="shared" si="92"/>
        <v>129.52638237044044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19.577729866376664</v>
      </c>
      <c r="BQ70" s="21">
        <f>EXP(-LN(2)/25)*BQ69+(1-EXP(-LN(2)/25))/(LN(2)/25)*Calculateur!BL70*Calculateur!BN70*VLOOKUP('Données projet'!$B$11,Paramètres!$A$1:$I$89,3,0)*0.475*44/12</f>
        <v>40.889448016038969</v>
      </c>
      <c r="BR70" s="21">
        <f>EXP(-LN(2)/2)*BR69+(1-EXP(-LN(2)/2))/(LN(2)/2)*BL70*BO70*VLOOKUP('Données projet'!$B$11,Paramètres!$A$1:$I$89,3,0)*0.475*44/12</f>
        <v>4.900253569306404</v>
      </c>
      <c r="BS70" s="22">
        <f t="shared" si="63"/>
        <v>65.367431451722041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6.8933333333333326</v>
      </c>
      <c r="BY70" s="12">
        <f>IF('Données projet'!$A$114&gt;35,BY69+BX70-CG69,IF(A70&lt;'Données projet'!$A$114,$BV$205^A70,IF(A70='Données projet'!$A$114,'Données projet'!$B$114,BY69+BX70-CG69)))</f>
        <v>177.0033333333333</v>
      </c>
      <c r="BZ70" s="13">
        <f>BY70*VLOOKUP('Données projet'!$B$12,Paramètres!$A$1:$I$89,3,0)*VLOOKUP('Données projet'!$B$12,Paramètres!$A$1:$I$89,5,0)</f>
        <v>171.19762399999996</v>
      </c>
      <c r="CA70" s="13">
        <f t="shared" si="93"/>
        <v>43.358141832658021</v>
      </c>
      <c r="CB70" s="20">
        <f t="shared" si="64"/>
        <v>373.68462549187933</v>
      </c>
      <c r="CC70" s="59">
        <f t="shared" si="65"/>
        <v>667.01795882521265</v>
      </c>
      <c r="CD70" s="59">
        <f ca="1">AVERAGE(OFFSET($CC$3,0,0,'Données projet'!$E$12+1,1))-AVERAGE(OFFSET($H$3,0,0,'Données projet'!$E$12+1,1))</f>
        <v>292.52253679467469</v>
      </c>
      <c r="CE70" s="59">
        <f t="shared" si="94"/>
        <v>155.7114133976541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21.987145654004962</v>
      </c>
      <c r="CM70" s="21">
        <f>EXP(-LN(2)/2)*CM69+(1-EXP(-LN(2)/2))/(LN(2)/2)*CG70*CJ70*VLOOKUP('Données projet'!$B$12,Paramètres!$A$1:$I$89,3,0)*0.475*44/12</f>
        <v>1.1755588121736527</v>
      </c>
      <c r="CN70" s="22">
        <f t="shared" si="66"/>
        <v>23.162704466178614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5.5555555555555554</v>
      </c>
      <c r="CT70" s="12">
        <f>IF('Données projet'!$A$140&gt;35,CT69+CS70-DB69,IF(A70&lt;'Données projet'!$A$140,$CQ$205^A70,IF(A70='Données projet'!$A$140,'Données projet'!$B$140,CT69+CS70-DB69)))</f>
        <v>199.14529914529905</v>
      </c>
      <c r="CU70" s="17">
        <f>CT70*VLOOKUP('Données projet'!$B$13,Paramètres!$A$1:$I$89,3,0)*VLOOKUP('Données projet'!$B$13,Paramètres!$A$1:$I$89,5,0)</f>
        <v>155.33333333333326</v>
      </c>
      <c r="CV70" s="13">
        <f t="shared" si="95"/>
        <v>39.788129261718112</v>
      </c>
      <c r="CW70" s="20">
        <f t="shared" si="67"/>
        <v>339.83654735304776</v>
      </c>
      <c r="CX70" s="59">
        <f t="shared" si="68"/>
        <v>633.16988068638102</v>
      </c>
      <c r="CY70" s="59">
        <f ca="1">AVERAGE(OFFSET($CX$3,0,0,'Données projet'!$E$13+1,1))-AVERAGE(OFFSET($H$3,0,0,'Données projet'!$E$13+1,1))</f>
        <v>100.54865094989304</v>
      </c>
      <c r="CZ70" s="59">
        <f t="shared" si="96"/>
        <v>99.95654161405389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8.3999555777593002</v>
      </c>
      <c r="DG70" s="21">
        <f>EXP(-LN(2)/25)*DG69+(1-EXP(-LN(2)/25))/(LN(2)/25)*Calculateur!DB70*Calculateur!DD70*VLOOKUP('Données projet'!$B$13,Paramètres!$A$1:$I$89,3,0)*0.475*44/12</f>
        <v>8.1657092737889112</v>
      </c>
      <c r="DH70" s="21">
        <f>EXP(-LN(2)/2)*DH69+(1-EXP(-LN(2)/2))/(LN(2)/2)*DB70*DE70*VLOOKUP('Données projet'!$B$13,Paramètres!$A$1:$I$89,3,0)*0.475*44/12</f>
        <v>0.52312845528557606</v>
      </c>
      <c r="DI70" s="22">
        <f t="shared" si="69"/>
        <v>17.088793306833789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4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59.404800000000094</v>
      </c>
      <c r="D71" s="11">
        <f t="shared" si="86"/>
        <v>17.017696573932405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589.92804372860189</v>
      </c>
      <c r="H71" s="67">
        <f t="shared" si="56"/>
        <v>426.43584819959909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3.4106051316484809E-13</v>
      </c>
      <c r="O71" s="13">
        <f>N71*VLOOKUP('Données projet'!$B$9,Paramètres!$A$1:$I$89,3,0)*VLOOKUP('Données projet'!$B$9,Paramètres!$A$1:$I$89,5,0)</f>
        <v>1.9065282685915009E-13</v>
      </c>
      <c r="P71" s="13">
        <f t="shared" si="87"/>
        <v>2.6568987209435707E-12</v>
      </c>
      <c r="Q71" s="20">
        <f t="shared" si="54"/>
        <v>4.959485612423072E-12</v>
      </c>
      <c r="R71" s="59">
        <f t="shared" si="55"/>
        <v>293.33333333333826</v>
      </c>
      <c r="S71" s="59">
        <f ca="1">AVERAGE(OFFSET($R$3,0,0,'Données projet'!$E$9+1,1))-AVERAGE(OFFSET($H$3,0,0,'Données projet'!$E$9+1,1))</f>
        <v>324.69474275039357</v>
      </c>
      <c r="T71" s="59">
        <f t="shared" si="88"/>
        <v>437.68177084535927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186.99340878621291</v>
      </c>
      <c r="AA71" s="21">
        <f>EXP(-LN(2)/25)*AA70+(1-EXP(-LN(2)/25))/(LN(2)/25)*Calculateur!V71*Calculateur!X71*VLOOKUP('Données projet'!$B$9,Paramètres!$A$1:$I$89,3,0)*0.475*44/12</f>
        <v>57.656175589651582</v>
      </c>
      <c r="AB71" s="21">
        <f>EXP(-LN(2)/2)*AB70+(1-EXP(-LN(2)/2))/(LN(2)/2)*V71*Y71*VLOOKUP('Données projet'!$B$9,Paramètres!$A$1:$I$89,3,0)*0.475*44/12</f>
        <v>0.71490713446918752</v>
      </c>
      <c r="AC71" s="22">
        <f t="shared" si="57"/>
        <v>245.36449151033369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1.1368683772161603E-13</v>
      </c>
      <c r="AJ71" s="13">
        <f>AI71*VLOOKUP('Données projet'!$B$10,Paramètres!$A$1:$I$89,3,0)*VLOOKUP('Données projet'!$B$10,Paramètres!$A$1:$I$89,5,0)</f>
        <v>6.7984728957526396E-14</v>
      </c>
      <c r="AK71" s="13">
        <f t="shared" si="89"/>
        <v>1.0682447123141398E-12</v>
      </c>
      <c r="AL71" s="20">
        <f t="shared" si="58"/>
        <v>1.978932943548152E-12</v>
      </c>
      <c r="AM71" s="59">
        <f t="shared" si="59"/>
        <v>293.3333333333353</v>
      </c>
      <c r="AN71" s="59">
        <f ca="1">AVERAGE(OFFSET($AM$3,0,0,'Données projet'!$E$10+1,1))-AVERAGE(OFFSET($H$3,0,0,'Données projet'!$E$10+1,1))</f>
        <v>214.93913810439858</v>
      </c>
      <c r="AO71" s="59">
        <f t="shared" si="90"/>
        <v>210.65603079265924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118.52195121816666</v>
      </c>
      <c r="AV71" s="21">
        <f>EXP(-LN(2)/25)*AV70+(1-EXP(-LN(2)/25))/(LN(2)/25)*Calculateur!AQ71*Calculateur!AS71*VLOOKUP('Données projet'!$B$10,Paramètres!$A$1:$I$89,3,0)*0.475*44/12</f>
        <v>38.804239635466992</v>
      </c>
      <c r="AW71" s="21">
        <f>EXP(-LN(2)/2)*AW70+(1-EXP(-LN(2)/2))/(LN(2)/2)*AQ71*AT71*VLOOKUP('Données projet'!$B$10,Paramètres!$A$1:$I$89,3,0)*0.475*44/12</f>
        <v>3.7475901764595871</v>
      </c>
      <c r="AX71" s="21">
        <f t="shared" si="60"/>
        <v>161.07378103009324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12.795000000000002</v>
      </c>
      <c r="BD71" s="12">
        <f>IF('Données projet'!$A$88&gt;35,BD70+BC71-BL70,IF(A71&lt;'Données projet'!$A$88,$BA$205^A71,IF(A71='Données projet'!$A$88,'Données projet'!$B$88,BD70+BC71-BL70)))</f>
        <v>338.03000000000003</v>
      </c>
      <c r="BE71" s="13">
        <f>BD71*VLOOKUP('Données projet'!$B$11,Paramètres!$A$1:$I$89,3,0)*VLOOKUP('Données projet'!$B$11,Paramètres!$A$1:$I$89,5,0)</f>
        <v>305.84954400000004</v>
      </c>
      <c r="BF71" s="13">
        <f t="shared" si="91"/>
        <v>72.401370969152978</v>
      </c>
      <c r="BG71" s="20">
        <f t="shared" si="61"/>
        <v>658.78701023794144</v>
      </c>
      <c r="BH71" s="59">
        <f t="shared" si="62"/>
        <v>952.12034357127482</v>
      </c>
      <c r="BI71" s="59">
        <f ca="1">AVERAGE(OFFSET($BH$3,0,0,'Données projet'!$E$11+1,1))-AVERAGE(OFFSET($H$3,0,0,'Données projet'!$E$11+1,1))</f>
        <v>507.69556381324213</v>
      </c>
      <c r="BJ71" s="59">
        <f t="shared" si="92"/>
        <v>129.52638237044044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19.193822524933136</v>
      </c>
      <c r="BQ71" s="21">
        <f>EXP(-LN(2)/25)*BQ70+(1-EXP(-LN(2)/25))/(LN(2)/25)*Calculateur!BL71*Calculateur!BN71*VLOOKUP('Données projet'!$B$11,Paramètres!$A$1:$I$89,3,0)*0.475*44/12</f>
        <v>39.771323909757768</v>
      </c>
      <c r="BR71" s="21">
        <f>EXP(-LN(2)/2)*BR70+(1-EXP(-LN(2)/2))/(LN(2)/2)*BL71*BO71*VLOOKUP('Données projet'!$B$11,Paramètres!$A$1:$I$89,3,0)*0.475*44/12</f>
        <v>3.465002528390142</v>
      </c>
      <c r="BS71" s="22">
        <f t="shared" si="63"/>
        <v>62.430148963081052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6.8933333333333326</v>
      </c>
      <c r="BY71" s="12">
        <f>IF('Données projet'!$A$114&gt;35,BY70+BX71-CG70,IF(A71&lt;'Données projet'!$A$114,$BV$205^A71,IF(A71='Données projet'!$A$114,'Données projet'!$B$114,BY70+BX71-CG70)))</f>
        <v>183.89666666666665</v>
      </c>
      <c r="BZ71" s="13">
        <f>BY71*VLOOKUP('Données projet'!$B$12,Paramètres!$A$1:$I$89,3,0)*VLOOKUP('Données projet'!$B$12,Paramètres!$A$1:$I$89,5,0)</f>
        <v>177.86485599999997</v>
      </c>
      <c r="CA71" s="13">
        <f t="shared" si="93"/>
        <v>44.846826564109918</v>
      </c>
      <c r="CB71" s="20">
        <f t="shared" si="64"/>
        <v>387.88951379915807</v>
      </c>
      <c r="CC71" s="59">
        <f t="shared" si="65"/>
        <v>681.22284713249132</v>
      </c>
      <c r="CD71" s="59">
        <f ca="1">AVERAGE(OFFSET($CC$3,0,0,'Données projet'!$E$12+1,1))-AVERAGE(OFFSET($H$3,0,0,'Données projet'!$E$12+1,1))</f>
        <v>292.52253679467469</v>
      </c>
      <c r="CE71" s="59">
        <f t="shared" si="94"/>
        <v>155.7114133976541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21.385905999842461</v>
      </c>
      <c r="CM71" s="21">
        <f>EXP(-LN(2)/2)*CM70+(1-EXP(-LN(2)/2))/(LN(2)/2)*CG71*CJ71*VLOOKUP('Données projet'!$B$12,Paramètres!$A$1:$I$89,3,0)*0.475*44/12</f>
        <v>0.83124560777159273</v>
      </c>
      <c r="CN71" s="22">
        <f t="shared" si="66"/>
        <v>22.217151607614053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5.5555555555555554</v>
      </c>
      <c r="CT71" s="12">
        <f>IF('Données projet'!$A$140&gt;35,CT70+CS71-DB70,IF(A71&lt;'Données projet'!$A$140,$CQ$205^A71,IF(A71='Données projet'!$A$140,'Données projet'!$B$140,CT70+CS71-DB70)))</f>
        <v>204.70085470085459</v>
      </c>
      <c r="CU71" s="17">
        <f>CT71*VLOOKUP('Données projet'!$B$13,Paramètres!$A$1:$I$89,3,0)*VLOOKUP('Données projet'!$B$13,Paramètres!$A$1:$I$89,5,0)</f>
        <v>159.6666666666666</v>
      </c>
      <c r="CV71" s="13">
        <f t="shared" si="95"/>
        <v>40.767322019750679</v>
      </c>
      <c r="CW71" s="20">
        <f t="shared" si="67"/>
        <v>349.08919696217669</v>
      </c>
      <c r="CX71" s="59">
        <f t="shared" si="68"/>
        <v>642.42253029551</v>
      </c>
      <c r="CY71" s="59">
        <f ca="1">AVERAGE(OFFSET($CX$3,0,0,'Données projet'!$E$13+1,1))-AVERAGE(OFFSET($H$3,0,0,'Données projet'!$E$13+1,1))</f>
        <v>100.54865094989304</v>
      </c>
      <c r="CZ71" s="59">
        <f t="shared" si="96"/>
        <v>99.95654161405389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8.2352375723464419</v>
      </c>
      <c r="DG71" s="21">
        <f>EXP(-LN(2)/25)*DG70+(1-EXP(-LN(2)/25))/(LN(2)/25)*Calculateur!DB71*Calculateur!DD71*VLOOKUP('Données projet'!$B$13,Paramètres!$A$1:$I$89,3,0)*0.475*44/12</f>
        <v>7.9424175242811659</v>
      </c>
      <c r="DH71" s="21">
        <f>EXP(-LN(2)/2)*DH70+(1-EXP(-LN(2)/2))/(LN(2)/2)*DB71*DE71*VLOOKUP('Données projet'!$B$13,Paramètres!$A$1:$I$89,3,0)*0.475*44/12</f>
        <v>0.36990767816407444</v>
      </c>
      <c r="DI71" s="22">
        <f t="shared" si="69"/>
        <v>16.547562774791682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4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60.278400000000097</v>
      </c>
      <c r="D72" s="11">
        <f t="shared" si="86"/>
        <v>17.238638291828423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598.37713769130789</v>
      </c>
      <c r="H72" s="67">
        <f t="shared" si="56"/>
        <v>428.34217502493465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3.4106051316484809E-13</v>
      </c>
      <c r="O72" s="13">
        <f>N72*VLOOKUP('Données projet'!$B$9,Paramètres!$A$1:$I$89,3,0)*VLOOKUP('Données projet'!$B$9,Paramètres!$A$1:$I$89,5,0)</f>
        <v>1.9065282685915009E-13</v>
      </c>
      <c r="P72" s="13">
        <f t="shared" si="87"/>
        <v>2.6568987209435707E-12</v>
      </c>
      <c r="Q72" s="20">
        <f t="shared" si="54"/>
        <v>4.959485612423072E-12</v>
      </c>
      <c r="R72" s="59">
        <f t="shared" si="55"/>
        <v>293.33333333333826</v>
      </c>
      <c r="S72" s="59">
        <f ca="1">AVERAGE(OFFSET($R$3,0,0,'Données projet'!$E$9+1,1))-AVERAGE(OFFSET($H$3,0,0,'Données projet'!$E$9+1,1))</f>
        <v>324.69474275039357</v>
      </c>
      <c r="T72" s="59">
        <f t="shared" si="88"/>
        <v>437.68177084535927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183.32658209463267</v>
      </c>
      <c r="AA72" s="21">
        <f>EXP(-LN(2)/25)*AA71+(1-EXP(-LN(2)/25))/(LN(2)/25)*Calculateur!V72*Calculateur!X72*VLOOKUP('Données projet'!$B$9,Paramètres!$A$1:$I$89,3,0)*0.475*44/12</f>
        <v>56.079564436146057</v>
      </c>
      <c r="AB72" s="21">
        <f>EXP(-LN(2)/2)*AB71+(1-EXP(-LN(2)/2))/(LN(2)/2)*V72*Y72*VLOOKUP('Données projet'!$B$9,Paramètres!$A$1:$I$89,3,0)*0.475*44/12</f>
        <v>0.50551568270180547</v>
      </c>
      <c r="AC72" s="22">
        <f t="shared" si="57"/>
        <v>239.91166221348053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1.1368683772161603E-13</v>
      </c>
      <c r="AJ72" s="13">
        <f>AI72*VLOOKUP('Données projet'!$B$10,Paramètres!$A$1:$I$89,3,0)*VLOOKUP('Données projet'!$B$10,Paramètres!$A$1:$I$89,5,0)</f>
        <v>6.7984728957526396E-14</v>
      </c>
      <c r="AK72" s="13">
        <f t="shared" si="89"/>
        <v>1.0682447123141398E-12</v>
      </c>
      <c r="AL72" s="20">
        <f t="shared" si="58"/>
        <v>1.978932943548152E-12</v>
      </c>
      <c r="AM72" s="59">
        <f t="shared" si="59"/>
        <v>293.3333333333353</v>
      </c>
      <c r="AN72" s="59">
        <f ca="1">AVERAGE(OFFSET($AM$3,0,0,'Données projet'!$E$10+1,1))-AVERAGE(OFFSET($H$3,0,0,'Données projet'!$E$10+1,1))</f>
        <v>214.93913810439858</v>
      </c>
      <c r="AO72" s="59">
        <f t="shared" si="90"/>
        <v>210.65603079265924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116.19780804603049</v>
      </c>
      <c r="AV72" s="21">
        <f>EXP(-LN(2)/25)*AV71+(1-EXP(-LN(2)/25))/(LN(2)/25)*Calculateur!AQ72*Calculateur!AS72*VLOOKUP('Données projet'!$B$10,Paramètres!$A$1:$I$89,3,0)*0.475*44/12</f>
        <v>37.743135662008875</v>
      </c>
      <c r="AW72" s="21">
        <f>EXP(-LN(2)/2)*AW71+(1-EXP(-LN(2)/2))/(LN(2)/2)*AQ72*AT72*VLOOKUP('Données projet'!$B$10,Paramètres!$A$1:$I$89,3,0)*0.475*44/12</f>
        <v>2.6499464268826647</v>
      </c>
      <c r="AX72" s="21">
        <f t="shared" si="60"/>
        <v>156.59089013492203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12.795000000000002</v>
      </c>
      <c r="BD72" s="12">
        <f>IF('Données projet'!$A$88&gt;35,BD71+BC72-BL71,IF(A72&lt;'Données projet'!$A$88,$BA$205^A72,IF(A72='Données projet'!$A$88,'Données projet'!$B$88,BD71+BC72-BL71)))</f>
        <v>350.82500000000005</v>
      </c>
      <c r="BE72" s="13">
        <f>BD72*VLOOKUP('Données projet'!$B$11,Paramètres!$A$1:$I$89,3,0)*VLOOKUP('Données projet'!$B$11,Paramètres!$A$1:$I$89,5,0)</f>
        <v>317.42646000000008</v>
      </c>
      <c r="BF72" s="13">
        <f t="shared" si="91"/>
        <v>74.817627226984229</v>
      </c>
      <c r="BG72" s="20">
        <f t="shared" si="61"/>
        <v>683.158451920331</v>
      </c>
      <c r="BH72" s="59">
        <f t="shared" si="62"/>
        <v>976.49178525366437</v>
      </c>
      <c r="BI72" s="59">
        <f ca="1">AVERAGE(OFFSET($BH$3,0,0,'Données projet'!$E$11+1,1))-AVERAGE(OFFSET($H$3,0,0,'Données projet'!$E$11+1,1))</f>
        <v>507.69556381324213</v>
      </c>
      <c r="BJ72" s="59">
        <f t="shared" si="92"/>
        <v>129.52638237044044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18.81744337229496</v>
      </c>
      <c r="BQ72" s="21">
        <f>EXP(-LN(2)/25)*BQ71+(1-EXP(-LN(2)/25))/(LN(2)/25)*Calculateur!BL72*Calculateur!BN72*VLOOKUP('Données projet'!$B$11,Paramètres!$A$1:$I$89,3,0)*0.475*44/12</f>
        <v>38.683774965962414</v>
      </c>
      <c r="BR72" s="21">
        <f>EXP(-LN(2)/2)*BR71+(1-EXP(-LN(2)/2))/(LN(2)/2)*BL72*BO72*VLOOKUP('Données projet'!$B$11,Paramètres!$A$1:$I$89,3,0)*0.475*44/12</f>
        <v>2.4501267846532024</v>
      </c>
      <c r="BS72" s="22">
        <f t="shared" si="63"/>
        <v>59.951345122910574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>
        <f>VLOOKUP(A72,'Données projet'!$A$113:$I$133,2,0)</f>
        <v>190.79</v>
      </c>
      <c r="BW72" s="12">
        <f>VLOOKUP(A72,'Données projet'!$A$113:$I$133,9,0)</f>
        <v>6.8933333333333326</v>
      </c>
      <c r="BX72" s="12">
        <f t="array" ref="BX72">INDEX(BW:BW,MIN(IF(ISNUMBER(BW72:BW268),ROW(BW72:BW268),"")))</f>
        <v>6.8933333333333326</v>
      </c>
      <c r="BY72" s="12">
        <f>IF('Données projet'!$A$114&gt;35,BY71+BX72-CG71,IF(A72&lt;'Données projet'!$A$114,$BV$205^A72,IF(A72='Données projet'!$A$114,'Données projet'!$B$114,BY71+BX72-CG71)))</f>
        <v>190.79</v>
      </c>
      <c r="BZ72" s="13">
        <f>BY72*VLOOKUP('Données projet'!$B$12,Paramètres!$A$1:$I$89,3,0)*VLOOKUP('Données projet'!$B$12,Paramètres!$A$1:$I$89,5,0)</f>
        <v>184.53208800000002</v>
      </c>
      <c r="CA72" s="13">
        <f t="shared" si="93"/>
        <v>46.329028363696381</v>
      </c>
      <c r="CB72" s="20">
        <f t="shared" si="64"/>
        <v>402.08311100010451</v>
      </c>
      <c r="CC72" s="59">
        <f t="shared" si="65"/>
        <v>695.41644433343777</v>
      </c>
      <c r="CD72" s="59">
        <f ca="1">AVERAGE(OFFSET($CC$3,0,0,'Données projet'!$E$12+1,1))-AVERAGE(OFFSET($H$3,0,0,'Données projet'!$E$12+1,1))</f>
        <v>292.52253679467469</v>
      </c>
      <c r="CE72" s="59">
        <f t="shared" si="94"/>
        <v>155.7114133976541</v>
      </c>
      <c r="CF72" s="15">
        <f>IF(ISNA(VLOOKUP(A72,'Données projet'!$A$113:$I$133,3,0)),0,VLOOKUP(A72,'Données projet'!$A$113:$I$133,3,0))</f>
        <v>2</v>
      </c>
      <c r="CG72" s="15">
        <f>IF(ISNA(VLOOKUP(A72,'Données projet'!$A$113:$I$133,4,0)),0,VLOOKUP(A72,'Données projet'!$A$113:$I$133,4,0))</f>
        <v>42.22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0.34400000000000003</v>
      </c>
      <c r="CJ72" s="16">
        <f>IF(ISNA(VLOOKUP(A72,'Données projet'!$A$113:$I$133,7,0)),0%,VLOOKUP(A72,'Données projet'!$A$113:$I$133,7,0))</f>
        <v>0.2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36.268841873189452</v>
      </c>
      <c r="CM72" s="21">
        <f>EXP(-LN(2)/2)*CM71+(1-EXP(-LN(2)/2))/(LN(2)/2)*CG72*CJ72*VLOOKUP('Données projet'!$B$12,Paramètres!$A$1:$I$89,3,0)*0.475*44/12</f>
        <v>8.2935984394594886</v>
      </c>
      <c r="CN72" s="22">
        <f t="shared" si="66"/>
        <v>44.562440312648938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>
        <f>VLOOKUP(A72,'Données projet'!$A$139:$I$159,2,0)</f>
        <v>210.25641025641025</v>
      </c>
      <c r="CR72" s="12">
        <f>VLOOKUP(A72,'Données projet'!$A$139:$I$159,9,0)</f>
        <v>5.5555555555555554</v>
      </c>
      <c r="CS72" s="12">
        <f t="array" ref="CS72">INDEX(CR:CR,MIN(IF(ISNUMBER(CR72:CR268),ROW(CR72:CR268),"")))</f>
        <v>5.5555555555555554</v>
      </c>
      <c r="CT72" s="12">
        <f>IF('Données projet'!$A$140&gt;35,CT71+CS72-DB71,IF(A72&lt;'Données projet'!$A$140,$CQ$205^A72,IF(A72='Données projet'!$A$140,'Données projet'!$B$140,CT71+CS72-DB71)))</f>
        <v>210.25641025641013</v>
      </c>
      <c r="CU72" s="17">
        <f>CT72*VLOOKUP('Données projet'!$B$13,Paramètres!$A$1:$I$89,3,0)*VLOOKUP('Données projet'!$B$13,Paramètres!$A$1:$I$89,5,0)</f>
        <v>163.99999999999991</v>
      </c>
      <c r="CV72" s="13">
        <f t="shared" si="95"/>
        <v>41.743425908362248</v>
      </c>
      <c r="CW72" s="20">
        <f t="shared" si="67"/>
        <v>358.33646679039742</v>
      </c>
      <c r="CX72" s="59">
        <f t="shared" si="68"/>
        <v>651.66980012373074</v>
      </c>
      <c r="CY72" s="59">
        <f ca="1">AVERAGE(OFFSET($CX$3,0,0,'Données projet'!$E$13+1,1))-AVERAGE(OFFSET($H$3,0,0,'Données projet'!$E$13+1,1))</f>
        <v>100.54865094989304</v>
      </c>
      <c r="CZ72" s="59">
        <f t="shared" si="96"/>
        <v>99.95654161405389</v>
      </c>
      <c r="DA72" s="15">
        <f>IF(ISNA(VLOOKUP(A72,'Données projet'!$A$139:$I$159,3,0)),0,VLOOKUP(A72,'Données projet'!$A$139:$I$159,3,0))</f>
        <v>9</v>
      </c>
      <c r="DB72" s="15">
        <f>IF(ISNA(VLOOKUP(A72,'Données projet'!$A$139:$I$159,4,0)),0,VLOOKUP(A72,'Données projet'!$A$139:$I$159,4,0))</f>
        <v>210.25641025641025</v>
      </c>
      <c r="DC72" s="16">
        <f>IF(ISNA(VLOOKUP(A72,'Données projet'!$A$139:$I$159,5,0)),0%,VLOOKUP(A72,'Données projet'!$A$139:$I$159,5,0)*VLOOKUP('Données projet'!$B$13,Paramètres!$A$1:$I$89,7,0))</f>
        <v>0.1075</v>
      </c>
      <c r="DD72" s="16">
        <f>IF(ISNA(VLOOKUP(A72,'Données projet'!$A$139:$I$159,6,0)),0%,VLOOKUP(A72,'Données projet'!$A$139:$I$159,6,0)*VLOOKUP('Données projet'!$B$13,Paramètres!$A$1:$I$89,7,0))</f>
        <v>0.1075</v>
      </c>
      <c r="DE72" s="16">
        <f>IF(ISNA(VLOOKUP(A72,'Données projet'!$A$139:$I$159,7,0)),0%,VLOOKUP(A72,'Données projet'!$A$139:$I$159,7,0))</f>
        <v>0.25</v>
      </c>
      <c r="DF72" s="21">
        <f>EXP(-LN(2)/35)*DF71+(1-EXP(-LN(2)/35))/(LN(2)/35)*DB72*DC72*VLOOKUP('Données projet'!$B$13,Paramètres!$A$1:$I$89,3,0)*0.475*44/12</f>
        <v>27.563192377717577</v>
      </c>
      <c r="DG72" s="21">
        <f>EXP(-LN(2)/25)*DG71+(1-EXP(-LN(2)/25))/(LN(2)/25)*Calculateur!DB72*Calculateur!DD72*VLOOKUP('Données projet'!$B$13,Paramètres!$A$1:$I$89,3,0)*0.475*44/12</f>
        <v>27.137937128243308</v>
      </c>
      <c r="DH72" s="21">
        <f>EXP(-LN(2)/2)*DH71+(1-EXP(-LN(2)/2))/(LN(2)/2)*DB72*DE72*VLOOKUP('Données projet'!$B$13,Paramètres!$A$1:$I$89,3,0)*0.475*44/12</f>
        <v>38.946167726463699</v>
      </c>
      <c r="DI72" s="22">
        <f t="shared" si="69"/>
        <v>93.647297232424592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4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61.1520000000001</v>
      </c>
      <c r="D73" s="11">
        <f t="shared" si="86"/>
        <v>17.45920759107128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606.82335684335806</v>
      </c>
      <c r="H73" s="67">
        <f t="shared" si="56"/>
        <v>430.24785322111597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3.4106051316484809E-13</v>
      </c>
      <c r="O73" s="13">
        <f>N73*VLOOKUP('Données projet'!$B$9,Paramètres!$A$1:$I$89,3,0)*VLOOKUP('Données projet'!$B$9,Paramètres!$A$1:$I$89,5,0)</f>
        <v>1.9065282685915009E-13</v>
      </c>
      <c r="P73" s="13">
        <f t="shared" si="87"/>
        <v>2.6568987209435707E-12</v>
      </c>
      <c r="Q73" s="20">
        <f t="shared" si="54"/>
        <v>4.959485612423072E-12</v>
      </c>
      <c r="R73" s="59">
        <f t="shared" si="55"/>
        <v>293.33333333333826</v>
      </c>
      <c r="S73" s="59">
        <f ca="1">AVERAGE(OFFSET($R$3,0,0,'Données projet'!$E$9+1,1))-AVERAGE(OFFSET($H$3,0,0,'Données projet'!$E$9+1,1))</f>
        <v>324.69474275039357</v>
      </c>
      <c r="T73" s="59">
        <f t="shared" si="88"/>
        <v>437.68177084535927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179.73165963793087</v>
      </c>
      <c r="AA73" s="21">
        <f>EXP(-LN(2)/25)*AA72+(1-EXP(-LN(2)/25))/(LN(2)/25)*Calculateur!V73*Calculateur!X73*VLOOKUP('Données projet'!$B$9,Paramètres!$A$1:$I$89,3,0)*0.475*44/12</f>
        <v>54.54606579754352</v>
      </c>
      <c r="AB73" s="21">
        <f>EXP(-LN(2)/2)*AB72+(1-EXP(-LN(2)/2))/(LN(2)/2)*V73*Y73*VLOOKUP('Données projet'!$B$9,Paramètres!$A$1:$I$89,3,0)*0.475*44/12</f>
        <v>0.35745356723459376</v>
      </c>
      <c r="AC73" s="22">
        <f t="shared" si="57"/>
        <v>234.63517900270898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1.1368683772161603E-13</v>
      </c>
      <c r="AJ73" s="13">
        <f>AI73*VLOOKUP('Données projet'!$B$10,Paramètres!$A$1:$I$89,3,0)*VLOOKUP('Données projet'!$B$10,Paramètres!$A$1:$I$89,5,0)</f>
        <v>6.7984728957526396E-14</v>
      </c>
      <c r="AK73" s="13">
        <f t="shared" si="89"/>
        <v>1.0682447123141398E-12</v>
      </c>
      <c r="AL73" s="20">
        <f t="shared" si="58"/>
        <v>1.978932943548152E-12</v>
      </c>
      <c r="AM73" s="59">
        <f t="shared" si="59"/>
        <v>293.3333333333353</v>
      </c>
      <c r="AN73" s="59">
        <f ca="1">AVERAGE(OFFSET($AM$3,0,0,'Données projet'!$E$10+1,1))-AVERAGE(OFFSET($H$3,0,0,'Données projet'!$E$10+1,1))</f>
        <v>214.93913810439858</v>
      </c>
      <c r="AO73" s="59">
        <f t="shared" si="90"/>
        <v>210.65603079265924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113.91923990391254</v>
      </c>
      <c r="AV73" s="21">
        <f>EXP(-LN(2)/25)*AV72+(1-EXP(-LN(2)/25))/(LN(2)/25)*Calculateur!AQ73*Calculateur!AS73*VLOOKUP('Données projet'!$B$10,Paramètres!$A$1:$I$89,3,0)*0.475*44/12</f>
        <v>36.711047632506002</v>
      </c>
      <c r="AW73" s="21">
        <f>EXP(-LN(2)/2)*AW72+(1-EXP(-LN(2)/2))/(LN(2)/2)*AQ73*AT73*VLOOKUP('Données projet'!$B$10,Paramètres!$A$1:$I$89,3,0)*0.475*44/12</f>
        <v>1.873795088229794</v>
      </c>
      <c r="AX73" s="21">
        <f t="shared" si="60"/>
        <v>152.50408262464833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12.795000000000002</v>
      </c>
      <c r="BD73" s="12">
        <f>IF('Données projet'!$A$88&gt;35,BD72+BC73-BL72,IF(A73&lt;'Données projet'!$A$88,$BA$205^A73,IF(A73='Données projet'!$A$88,'Données projet'!$B$88,BD72+BC73-BL72)))</f>
        <v>363.62000000000006</v>
      </c>
      <c r="BE73" s="13">
        <f>BD73*VLOOKUP('Données projet'!$B$11,Paramètres!$A$1:$I$89,3,0)*VLOOKUP('Données projet'!$B$11,Paramètres!$A$1:$I$89,5,0)</f>
        <v>329.00337600000006</v>
      </c>
      <c r="BF73" s="13">
        <f t="shared" si="91"/>
        <v>77.2236452302744</v>
      </c>
      <c r="BG73" s="20">
        <f t="shared" si="61"/>
        <v>707.51206197606132</v>
      </c>
      <c r="BH73" s="59">
        <f t="shared" si="62"/>
        <v>1000.8453953093947</v>
      </c>
      <c r="BI73" s="59">
        <f ca="1">AVERAGE(OFFSET($BH$3,0,0,'Données projet'!$E$11+1,1))-AVERAGE(OFFSET($H$3,0,0,'Données projet'!$E$11+1,1))</f>
        <v>507.69556381324213</v>
      </c>
      <c r="BJ73" s="59">
        <f t="shared" si="92"/>
        <v>129.52638237044044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18.448444785271402</v>
      </c>
      <c r="BQ73" s="21">
        <f>EXP(-LN(2)/25)*BQ72+(1-EXP(-LN(2)/25))/(LN(2)/25)*Calculateur!BL73*Calculateur!BN73*VLOOKUP('Données projet'!$B$11,Paramètres!$A$1:$I$89,3,0)*0.475*44/12</f>
        <v>37.625965105226861</v>
      </c>
      <c r="BR73" s="21">
        <f>EXP(-LN(2)/2)*BR72+(1-EXP(-LN(2)/2))/(LN(2)/2)*BL73*BO73*VLOOKUP('Données projet'!$B$11,Paramètres!$A$1:$I$89,3,0)*0.475*44/12</f>
        <v>1.7325012641950714</v>
      </c>
      <c r="BS73" s="22">
        <f t="shared" si="63"/>
        <v>57.806911154693331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6.7437500000000021</v>
      </c>
      <c r="BY73" s="12">
        <f>IF('Données projet'!$A$114&gt;35,BY72+BX73-CG72,IF(A73&lt;'Données projet'!$A$114,$BV$205^A73,IF(A73='Données projet'!$A$114,'Données projet'!$B$114,BY72+BX73-CG72)))</f>
        <v>155.31375</v>
      </c>
      <c r="BZ73" s="13">
        <f>BY73*VLOOKUP('Données projet'!$B$12,Paramètres!$A$1:$I$89,3,0)*VLOOKUP('Données projet'!$B$12,Paramètres!$A$1:$I$89,5,0)</f>
        <v>150.219459</v>
      </c>
      <c r="CA73" s="13">
        <f t="shared" si="93"/>
        <v>38.628454221735403</v>
      </c>
      <c r="CB73" s="20">
        <f t="shared" si="64"/>
        <v>328.91011552785579</v>
      </c>
      <c r="CC73" s="59">
        <f t="shared" si="65"/>
        <v>622.24344886118911</v>
      </c>
      <c r="CD73" s="59">
        <f ca="1">AVERAGE(OFFSET($CC$3,0,0,'Données projet'!$E$12+1,1))-AVERAGE(OFFSET($H$3,0,0,'Données projet'!$E$12+1,1))</f>
        <v>292.52253679467469</v>
      </c>
      <c r="CE73" s="59">
        <f t="shared" si="94"/>
        <v>155.7114133976541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35.277068484871585</v>
      </c>
      <c r="CM73" s="21">
        <f>EXP(-LN(2)/2)*CM72+(1-EXP(-LN(2)/2))/(LN(2)/2)*CG73*CJ73*VLOOKUP('Données projet'!$B$12,Paramètres!$A$1:$I$89,3,0)*0.475*44/12</f>
        <v>5.8644596969799734</v>
      </c>
      <c r="CN73" s="22">
        <f t="shared" si="66"/>
        <v>41.141528181851555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-1.1368683772161603E-13</v>
      </c>
      <c r="CU73" s="17">
        <f>CT73*VLOOKUP('Données projet'!$B$13,Paramètres!$A$1:$I$89,3,0)*VLOOKUP('Données projet'!$B$13,Paramètres!$A$1:$I$89,5,0)</f>
        <v>-8.8675733422860506E-14</v>
      </c>
      <c r="CV73" s="13" t="e">
        <f t="shared" si="95"/>
        <v>#NUM!</v>
      </c>
      <c r="CW73" s="20" t="e">
        <f t="shared" si="67"/>
        <v>#NUM!</v>
      </c>
      <c r="CX73" s="59" t="e">
        <f t="shared" si="68"/>
        <v>#NUM!</v>
      </c>
      <c r="CY73" s="59">
        <f ca="1">AVERAGE(OFFSET($CX$3,0,0,'Données projet'!$E$13+1,1))-AVERAGE(OFFSET($H$3,0,0,'Données projet'!$E$13+1,1))</f>
        <v>100.54865094989304</v>
      </c>
      <c r="CZ73" s="59">
        <f t="shared" si="96"/>
        <v>99.95654161405389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27.022694987077848</v>
      </c>
      <c r="DG73" s="21">
        <f>EXP(-LN(2)/25)*DG72+(1-EXP(-LN(2)/25))/(LN(2)/25)*Calculateur!DB73*Calculateur!DD73*VLOOKUP('Données projet'!$B$13,Paramètres!$A$1:$I$89,3,0)*0.475*44/12</f>
        <v>26.395848810349406</v>
      </c>
      <c r="DH73" s="21">
        <f>EXP(-LN(2)/2)*DH72+(1-EXP(-LN(2)/2))/(LN(2)/2)*DB73*DE73*VLOOKUP('Données projet'!$B$13,Paramètres!$A$1:$I$89,3,0)*0.475*44/12</f>
        <v>27.539099300611149</v>
      </c>
      <c r="DI73" s="22">
        <f t="shared" si="69"/>
        <v>80.957643098038403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4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62.025600000000104</v>
      </c>
      <c r="D74" s="11">
        <f t="shared" si="86"/>
        <v>17.679410406677235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615.26674699891271</v>
      </c>
      <c r="H74" s="67">
        <f t="shared" si="56"/>
        <v>432.15289312496304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3.4106051316484809E-13</v>
      </c>
      <c r="O74" s="13">
        <f>N74*VLOOKUP('Données projet'!$B$9,Paramètres!$A$1:$I$89,3,0)*VLOOKUP('Données projet'!$B$9,Paramètres!$A$1:$I$89,5,0)</f>
        <v>1.9065282685915009E-13</v>
      </c>
      <c r="P74" s="13">
        <f t="shared" si="87"/>
        <v>2.6568987209435707E-12</v>
      </c>
      <c r="Q74" s="20">
        <f t="shared" si="54"/>
        <v>4.959485612423072E-12</v>
      </c>
      <c r="R74" s="59">
        <f t="shared" si="55"/>
        <v>293.33333333333826</v>
      </c>
      <c r="S74" s="59">
        <f ca="1">AVERAGE(OFFSET($R$3,0,0,'Données projet'!$E$9+1,1))-AVERAGE(OFFSET($H$3,0,0,'Données projet'!$E$9+1,1))</f>
        <v>324.69474275039357</v>
      </c>
      <c r="T74" s="59">
        <f t="shared" si="88"/>
        <v>437.68177084535927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176.20723141791882</v>
      </c>
      <c r="AA74" s="21">
        <f>EXP(-LN(2)/25)*AA73+(1-EXP(-LN(2)/25))/(LN(2)/25)*Calculateur!V74*Calculateur!X74*VLOOKUP('Données projet'!$B$9,Paramètres!$A$1:$I$89,3,0)*0.475*44/12</f>
        <v>53.054500759856758</v>
      </c>
      <c r="AB74" s="21">
        <f>EXP(-LN(2)/2)*AB73+(1-EXP(-LN(2)/2))/(LN(2)/2)*V74*Y74*VLOOKUP('Données projet'!$B$9,Paramètres!$A$1:$I$89,3,0)*0.475*44/12</f>
        <v>0.25275784135090273</v>
      </c>
      <c r="AC74" s="22">
        <f t="shared" si="57"/>
        <v>229.51449001912647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1.1368683772161603E-13</v>
      </c>
      <c r="AJ74" s="13">
        <f>AI74*VLOOKUP('Données projet'!$B$10,Paramètres!$A$1:$I$89,3,0)*VLOOKUP('Données projet'!$B$10,Paramètres!$A$1:$I$89,5,0)</f>
        <v>6.7984728957526396E-14</v>
      </c>
      <c r="AK74" s="13">
        <f t="shared" si="89"/>
        <v>1.0682447123141398E-12</v>
      </c>
      <c r="AL74" s="20">
        <f t="shared" si="58"/>
        <v>1.978932943548152E-12</v>
      </c>
      <c r="AM74" s="59">
        <f t="shared" si="59"/>
        <v>293.3333333333353</v>
      </c>
      <c r="AN74" s="59">
        <f ca="1">AVERAGE(OFFSET($AM$3,0,0,'Données projet'!$E$10+1,1))-AVERAGE(OFFSET($H$3,0,0,'Données projet'!$E$10+1,1))</f>
        <v>214.93913810439858</v>
      </c>
      <c r="AO74" s="59">
        <f t="shared" si="90"/>
        <v>210.65603079265924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111.6853530932722</v>
      </c>
      <c r="AV74" s="21">
        <f>EXP(-LN(2)/25)*AV73+(1-EXP(-LN(2)/25))/(LN(2)/25)*Calculateur!AQ74*Calculateur!AS74*VLOOKUP('Données projet'!$B$10,Paramètres!$A$1:$I$89,3,0)*0.475*44/12</f>
        <v>35.707182104445032</v>
      </c>
      <c r="AW74" s="21">
        <f>EXP(-LN(2)/2)*AW73+(1-EXP(-LN(2)/2))/(LN(2)/2)*AQ74*AT74*VLOOKUP('Données projet'!$B$10,Paramètres!$A$1:$I$89,3,0)*0.475*44/12</f>
        <v>1.3249732134413326</v>
      </c>
      <c r="AX74" s="21">
        <f t="shared" si="60"/>
        <v>148.71750841115855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12.795000000000002</v>
      </c>
      <c r="BD74" s="12">
        <f>IF('Données projet'!$A$88&gt;35,BD73+BC74-BL73,IF(A74&lt;'Données projet'!$A$88,$BA$205^A74,IF(A74='Données projet'!$A$88,'Données projet'!$B$88,BD73+BC74-BL73)))</f>
        <v>376.41500000000008</v>
      </c>
      <c r="BE74" s="13">
        <f>BD74*VLOOKUP('Données projet'!$B$11,Paramètres!$A$1:$I$89,3,0)*VLOOKUP('Données projet'!$B$11,Paramètres!$A$1:$I$89,5,0)</f>
        <v>340.58029200000004</v>
      </c>
      <c r="BF74" s="13">
        <f t="shared" si="91"/>
        <v>79.619826521430525</v>
      </c>
      <c r="BG74" s="20">
        <f t="shared" si="61"/>
        <v>731.84853975815815</v>
      </c>
      <c r="BH74" s="59">
        <f t="shared" si="62"/>
        <v>1025.1818730914915</v>
      </c>
      <c r="BI74" s="59">
        <f ca="1">AVERAGE(OFFSET($BH$3,0,0,'Données projet'!$E$11+1,1))-AVERAGE(OFFSET($H$3,0,0,'Données projet'!$E$11+1,1))</f>
        <v>507.69556381324213</v>
      </c>
      <c r="BJ74" s="59">
        <f t="shared" si="92"/>
        <v>129.52638237044044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18.086682035472464</v>
      </c>
      <c r="BQ74" s="21">
        <f>EXP(-LN(2)/25)*BQ73+(1-EXP(-LN(2)/25))/(LN(2)/25)*Calculateur!BL74*Calculateur!BN74*VLOOKUP('Données projet'!$B$11,Paramètres!$A$1:$I$89,3,0)*0.475*44/12</f>
        <v>36.597081110760925</v>
      </c>
      <c r="BR74" s="21">
        <f>EXP(-LN(2)/2)*BR73+(1-EXP(-LN(2)/2))/(LN(2)/2)*BL74*BO74*VLOOKUP('Données projet'!$B$11,Paramètres!$A$1:$I$89,3,0)*0.475*44/12</f>
        <v>1.2250633923266014</v>
      </c>
      <c r="BS74" s="22">
        <f t="shared" si="63"/>
        <v>55.908826538559993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6.7437500000000021</v>
      </c>
      <c r="BY74" s="12">
        <f>IF('Données projet'!$A$114&gt;35,BY73+BX74-CG73,IF(A74&lt;'Données projet'!$A$114,$BV$205^A74,IF(A74='Données projet'!$A$114,'Données projet'!$B$114,BY73+BX74-CG73)))</f>
        <v>162.0575</v>
      </c>
      <c r="BZ74" s="13">
        <f>BY74*VLOOKUP('Données projet'!$B$12,Paramètres!$A$1:$I$89,3,0)*VLOOKUP('Données projet'!$B$12,Paramètres!$A$1:$I$89,5,0)</f>
        <v>156.74201400000001</v>
      </c>
      <c r="CA74" s="13">
        <f t="shared" si="93"/>
        <v>40.106790036678284</v>
      </c>
      <c r="CB74" s="20">
        <f t="shared" si="64"/>
        <v>342.84500036388135</v>
      </c>
      <c r="CC74" s="59">
        <f t="shared" si="65"/>
        <v>636.17833369721461</v>
      </c>
      <c r="CD74" s="59">
        <f ca="1">AVERAGE(OFFSET($CC$3,0,0,'Données projet'!$E$12+1,1))-AVERAGE(OFFSET($H$3,0,0,'Données projet'!$E$12+1,1))</f>
        <v>292.52253679467469</v>
      </c>
      <c r="CE74" s="59">
        <f t="shared" si="94"/>
        <v>155.7114133976541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34.312415192012367</v>
      </c>
      <c r="CM74" s="21">
        <f>EXP(-LN(2)/2)*CM73+(1-EXP(-LN(2)/2))/(LN(2)/2)*CG74*CJ74*VLOOKUP('Données projet'!$B$12,Paramètres!$A$1:$I$89,3,0)*0.475*44/12</f>
        <v>4.1467992197297452</v>
      </c>
      <c r="CN74" s="22">
        <f t="shared" si="66"/>
        <v>38.45921441174211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-1.1368683772161603E-13</v>
      </c>
      <c r="CU74" s="17">
        <f>CT74*VLOOKUP('Données projet'!$B$13,Paramètres!$A$1:$I$89,3,0)*VLOOKUP('Données projet'!$B$13,Paramètres!$A$1:$I$89,5,0)</f>
        <v>-8.8675733422860506E-14</v>
      </c>
      <c r="CV74" s="13" t="e">
        <f t="shared" si="95"/>
        <v>#NUM!</v>
      </c>
      <c r="CW74" s="20" t="e">
        <f t="shared" si="67"/>
        <v>#NUM!</v>
      </c>
      <c r="CX74" s="59" t="e">
        <f t="shared" si="68"/>
        <v>#NUM!</v>
      </c>
      <c r="CY74" s="59">
        <f ca="1">AVERAGE(OFFSET($CX$3,0,0,'Données projet'!$E$13+1,1))-AVERAGE(OFFSET($H$3,0,0,'Données projet'!$E$13+1,1))</f>
        <v>100.54865094989304</v>
      </c>
      <c r="CZ74" s="59">
        <f t="shared" si="96"/>
        <v>99.95654161405389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26.49279642059771</v>
      </c>
      <c r="DG74" s="21">
        <f>EXP(-LN(2)/25)*DG73+(1-EXP(-LN(2)/25))/(LN(2)/25)*Calculateur!DB74*Calculateur!DD74*VLOOKUP('Données projet'!$B$13,Paramètres!$A$1:$I$89,3,0)*0.475*44/12</f>
        <v>25.674052936533041</v>
      </c>
      <c r="DH74" s="21">
        <f>EXP(-LN(2)/2)*DH73+(1-EXP(-LN(2)/2))/(LN(2)/2)*DB74*DE74*VLOOKUP('Données projet'!$B$13,Paramètres!$A$1:$I$89,3,0)*0.475*44/12</f>
        <v>19.473083863231853</v>
      </c>
      <c r="DI74" s="22">
        <f t="shared" si="69"/>
        <v>71.639933220362607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4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62.899200000000107</v>
      </c>
      <c r="D75" s="11">
        <f t="shared" si="86"/>
        <v>17.899252496876439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623.70735260746812</v>
      </c>
      <c r="H75" s="67">
        <f t="shared" si="56"/>
        <v>434.05730476539327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3.4106051316484809E-13</v>
      </c>
      <c r="O75" s="13">
        <f>N75*VLOOKUP('Données projet'!$B$9,Paramètres!$A$1:$I$89,3,0)*VLOOKUP('Données projet'!$B$9,Paramètres!$A$1:$I$89,5,0)</f>
        <v>1.9065282685915009E-13</v>
      </c>
      <c r="P75" s="13">
        <f t="shared" si="87"/>
        <v>2.6568987209435707E-12</v>
      </c>
      <c r="Q75" s="20">
        <f t="shared" si="54"/>
        <v>4.959485612423072E-12</v>
      </c>
      <c r="R75" s="59">
        <f t="shared" si="55"/>
        <v>293.33333333333826</v>
      </c>
      <c r="S75" s="59">
        <f ca="1">AVERAGE(OFFSET($R$3,0,0,'Données projet'!$E$9+1,1))-AVERAGE(OFFSET($H$3,0,0,'Données projet'!$E$9+1,1))</f>
        <v>324.69474275039357</v>
      </c>
      <c r="T75" s="59">
        <f t="shared" si="88"/>
        <v>437.68177084535927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172.75191508561224</v>
      </c>
      <c r="AA75" s="21">
        <f>EXP(-LN(2)/25)*AA74+(1-EXP(-LN(2)/25))/(LN(2)/25)*Calculateur!V75*Calculateur!X75*VLOOKUP('Données projet'!$B$9,Paramètres!$A$1:$I$89,3,0)*0.475*44/12</f>
        <v>51.60372264656354</v>
      </c>
      <c r="AB75" s="21">
        <f>EXP(-LN(2)/2)*AB74+(1-EXP(-LN(2)/2))/(LN(2)/2)*V75*Y75*VLOOKUP('Données projet'!$B$9,Paramètres!$A$1:$I$89,3,0)*0.475*44/12</f>
        <v>0.17872678361729688</v>
      </c>
      <c r="AC75" s="22">
        <f t="shared" si="57"/>
        <v>224.53436451579307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1.1368683772161603E-13</v>
      </c>
      <c r="AJ75" s="13">
        <f>AI75*VLOOKUP('Données projet'!$B$10,Paramètres!$A$1:$I$89,3,0)*VLOOKUP('Données projet'!$B$10,Paramètres!$A$1:$I$89,5,0)</f>
        <v>6.7984728957526396E-14</v>
      </c>
      <c r="AK75" s="13">
        <f t="shared" si="89"/>
        <v>1.0682447123141398E-12</v>
      </c>
      <c r="AL75" s="20">
        <f t="shared" si="58"/>
        <v>1.978932943548152E-12</v>
      </c>
      <c r="AM75" s="59">
        <f t="shared" si="59"/>
        <v>293.3333333333353</v>
      </c>
      <c r="AN75" s="59">
        <f ca="1">AVERAGE(OFFSET($AM$3,0,0,'Données projet'!$E$10+1,1))-AVERAGE(OFFSET($H$3,0,0,'Données projet'!$E$10+1,1))</f>
        <v>214.93913810439858</v>
      </c>
      <c r="AO75" s="59">
        <f t="shared" si="90"/>
        <v>210.65603079265924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109.4952714404521</v>
      </c>
      <c r="AV75" s="21">
        <f>EXP(-LN(2)/25)*AV74+(1-EXP(-LN(2)/25))/(LN(2)/25)*Calculateur!AQ75*Calculateur!AS75*VLOOKUP('Données projet'!$B$10,Paramètres!$A$1:$I$89,3,0)*0.475*44/12</f>
        <v>34.730767332039882</v>
      </c>
      <c r="AW75" s="21">
        <f>EXP(-LN(2)/2)*AW74+(1-EXP(-LN(2)/2))/(LN(2)/2)*AQ75*AT75*VLOOKUP('Données projet'!$B$10,Paramètres!$A$1:$I$89,3,0)*0.475*44/12</f>
        <v>0.93689754411489712</v>
      </c>
      <c r="AX75" s="21">
        <f t="shared" si="60"/>
        <v>145.16293631660687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12.795000000000002</v>
      </c>
      <c r="BD75" s="12">
        <f>IF('Données projet'!$A$88&gt;35,BD74+BC75-BL74,IF(A75&lt;'Données projet'!$A$88,$BA$205^A75,IF(A75='Données projet'!$A$88,'Données projet'!$B$88,BD74+BC75-BL74)))</f>
        <v>389.21000000000009</v>
      </c>
      <c r="BE75" s="13">
        <f>BD75*VLOOKUP('Données projet'!$B$11,Paramètres!$A$1:$I$89,3,0)*VLOOKUP('Données projet'!$B$11,Paramètres!$A$1:$I$89,5,0)</f>
        <v>352.15720800000008</v>
      </c>
      <c r="BF75" s="13">
        <f t="shared" si="91"/>
        <v>82.006543796021603</v>
      </c>
      <c r="BG75" s="20">
        <f t="shared" si="61"/>
        <v>756.16853437807106</v>
      </c>
      <c r="BH75" s="59">
        <f t="shared" si="62"/>
        <v>1049.5018677114044</v>
      </c>
      <c r="BI75" s="59">
        <f ca="1">AVERAGE(OFFSET($BH$3,0,0,'Données projet'!$E$11+1,1))-AVERAGE(OFFSET($H$3,0,0,'Données projet'!$E$11+1,1))</f>
        <v>507.69556381324213</v>
      </c>
      <c r="BJ75" s="59">
        <f t="shared" si="92"/>
        <v>129.52638237044044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17.732013232543594</v>
      </c>
      <c r="BQ75" s="21">
        <f>EXP(-LN(2)/25)*BQ74+(1-EXP(-LN(2)/25))/(LN(2)/25)*Calculateur!BL75*Calculateur!BN75*VLOOKUP('Données projet'!$B$11,Paramètres!$A$1:$I$89,3,0)*0.475*44/12</f>
        <v>35.596332003230316</v>
      </c>
      <c r="BR75" s="21">
        <f>EXP(-LN(2)/2)*BR74+(1-EXP(-LN(2)/2))/(LN(2)/2)*BL75*BO75*VLOOKUP('Données projet'!$B$11,Paramètres!$A$1:$I$89,3,0)*0.475*44/12</f>
        <v>0.86625063209753583</v>
      </c>
      <c r="BS75" s="22">
        <f t="shared" si="63"/>
        <v>54.194595867871442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6.7437500000000021</v>
      </c>
      <c r="BY75" s="12">
        <f>IF('Données projet'!$A$114&gt;35,BY74+BX75-CG74,IF(A75&lt;'Données projet'!$A$114,$BV$205^A75,IF(A75='Données projet'!$A$114,'Données projet'!$B$114,BY74+BX75-CG74)))</f>
        <v>168.80125000000001</v>
      </c>
      <c r="BZ75" s="13">
        <f>BY75*VLOOKUP('Données projet'!$B$12,Paramètres!$A$1:$I$89,3,0)*VLOOKUP('Données projet'!$B$12,Paramètres!$A$1:$I$89,5,0)</f>
        <v>163.26456900000002</v>
      </c>
      <c r="CA75" s="13">
        <f t="shared" si="93"/>
        <v>41.577980240014099</v>
      </c>
      <c r="CB75" s="20">
        <f t="shared" si="64"/>
        <v>356.76743992635789</v>
      </c>
      <c r="CC75" s="59">
        <f t="shared" si="65"/>
        <v>650.10077325969121</v>
      </c>
      <c r="CD75" s="59">
        <f ca="1">AVERAGE(OFFSET($CC$3,0,0,'Données projet'!$E$12+1,1))-AVERAGE(OFFSET($H$3,0,0,'Données projet'!$E$12+1,1))</f>
        <v>292.52253679467469</v>
      </c>
      <c r="CE75" s="59">
        <f t="shared" si="94"/>
        <v>155.7114133976541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33.374140394175292</v>
      </c>
      <c r="CM75" s="21">
        <f>EXP(-LN(2)/2)*CM74+(1-EXP(-LN(2)/2))/(LN(2)/2)*CG75*CJ75*VLOOKUP('Données projet'!$B$12,Paramètres!$A$1:$I$89,3,0)*0.475*44/12</f>
        <v>2.9322298484899871</v>
      </c>
      <c r="CN75" s="22">
        <f t="shared" si="66"/>
        <v>36.306370242665281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-1.1368683772161603E-13</v>
      </c>
      <c r="CU75" s="17">
        <f>CT75*VLOOKUP('Données projet'!$B$13,Paramètres!$A$1:$I$89,3,0)*VLOOKUP('Données projet'!$B$13,Paramètres!$A$1:$I$89,5,0)</f>
        <v>-8.8675733422860506E-14</v>
      </c>
      <c r="CV75" s="13" t="e">
        <f t="shared" si="95"/>
        <v>#NUM!</v>
      </c>
      <c r="CW75" s="20" t="e">
        <f t="shared" si="67"/>
        <v>#NUM!</v>
      </c>
      <c r="CX75" s="59" t="e">
        <f t="shared" si="68"/>
        <v>#NUM!</v>
      </c>
      <c r="CY75" s="59">
        <f ca="1">AVERAGE(OFFSET($CX$3,0,0,'Données projet'!$E$13+1,1))-AVERAGE(OFFSET($H$3,0,0,'Données projet'!$E$13+1,1))</f>
        <v>100.54865094989304</v>
      </c>
      <c r="CZ75" s="59">
        <f t="shared" si="96"/>
        <v>99.95654161405389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25.973288841800034</v>
      </c>
      <c r="DG75" s="21">
        <f>EXP(-LN(2)/25)*DG74+(1-EXP(-LN(2)/25))/(LN(2)/25)*Calculateur!DB75*Calculateur!DD75*VLOOKUP('Données projet'!$B$13,Paramètres!$A$1:$I$89,3,0)*0.475*44/12</f>
        <v>24.971994608843779</v>
      </c>
      <c r="DH75" s="21">
        <f>EXP(-LN(2)/2)*DH74+(1-EXP(-LN(2)/2))/(LN(2)/2)*DB75*DE75*VLOOKUP('Données projet'!$B$13,Paramètres!$A$1:$I$89,3,0)*0.475*44/12</f>
        <v>13.769549650305576</v>
      </c>
      <c r="DI75" s="22">
        <f t="shared" si="69"/>
        <v>64.714833100949392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4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63.77280000000011</v>
      </c>
      <c r="D76" s="11">
        <f t="shared" si="86"/>
        <v>18.118739450759591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632.14521681288181</v>
      </c>
      <c r="H76" s="67">
        <f t="shared" si="56"/>
        <v>435.96109787673976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3.4106051316484809E-13</v>
      </c>
      <c r="O76" s="13">
        <f>N76*VLOOKUP('Données projet'!$B$9,Paramètres!$A$1:$I$89,3,0)*VLOOKUP('Données projet'!$B$9,Paramètres!$A$1:$I$89,5,0)</f>
        <v>1.9065282685915009E-13</v>
      </c>
      <c r="P76" s="13">
        <f t="shared" si="87"/>
        <v>2.6568987209435707E-12</v>
      </c>
      <c r="Q76" s="20">
        <f t="shared" si="54"/>
        <v>4.959485612423072E-12</v>
      </c>
      <c r="R76" s="59">
        <f t="shared" si="55"/>
        <v>293.33333333333826</v>
      </c>
      <c r="S76" s="59">
        <f ca="1">AVERAGE(OFFSET($R$3,0,0,'Données projet'!$E$9+1,1))-AVERAGE(OFFSET($H$3,0,0,'Données projet'!$E$9+1,1))</f>
        <v>324.69474275039357</v>
      </c>
      <c r="T76" s="59">
        <f t="shared" si="88"/>
        <v>437.68177084535927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169.36435539904733</v>
      </c>
      <c r="AA76" s="21">
        <f>EXP(-LN(2)/25)*AA75+(1-EXP(-LN(2)/25))/(LN(2)/25)*Calculateur!V76*Calculateur!X76*VLOOKUP('Données projet'!$B$9,Paramètres!$A$1:$I$89,3,0)*0.475*44/12</f>
        <v>50.192616137071425</v>
      </c>
      <c r="AB76" s="21">
        <f>EXP(-LN(2)/2)*AB75+(1-EXP(-LN(2)/2))/(LN(2)/2)*V76*Y76*VLOOKUP('Données projet'!$B$9,Paramètres!$A$1:$I$89,3,0)*0.475*44/12</f>
        <v>0.12637892067545137</v>
      </c>
      <c r="AC76" s="22">
        <f t="shared" si="57"/>
        <v>219.68335045679419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1.1368683772161603E-13</v>
      </c>
      <c r="AJ76" s="13">
        <f>AI76*VLOOKUP('Données projet'!$B$10,Paramètres!$A$1:$I$89,3,0)*VLOOKUP('Données projet'!$B$10,Paramètres!$A$1:$I$89,5,0)</f>
        <v>6.7984728957526396E-14</v>
      </c>
      <c r="AK76" s="13">
        <f t="shared" si="89"/>
        <v>1.0682447123141398E-12</v>
      </c>
      <c r="AL76" s="20">
        <f t="shared" si="58"/>
        <v>1.978932943548152E-12</v>
      </c>
      <c r="AM76" s="59">
        <f t="shared" si="59"/>
        <v>293.3333333333353</v>
      </c>
      <c r="AN76" s="59">
        <f ca="1">AVERAGE(OFFSET($AM$3,0,0,'Données projet'!$E$10+1,1))-AVERAGE(OFFSET($H$3,0,0,'Données projet'!$E$10+1,1))</f>
        <v>214.93913810439858</v>
      </c>
      <c r="AO76" s="59">
        <f t="shared" si="90"/>
        <v>210.65603079265924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107.34813595302589</v>
      </c>
      <c r="AV76" s="21">
        <f>EXP(-LN(2)/25)*AV75+(1-EXP(-LN(2)/25))/(LN(2)/25)*Calculateur!AQ76*Calculateur!AS76*VLOOKUP('Données projet'!$B$10,Paramètres!$A$1:$I$89,3,0)*0.475*44/12</f>
        <v>33.781052672933576</v>
      </c>
      <c r="AW76" s="21">
        <f>EXP(-LN(2)/2)*AW75+(1-EXP(-LN(2)/2))/(LN(2)/2)*AQ76*AT76*VLOOKUP('Données projet'!$B$10,Paramètres!$A$1:$I$89,3,0)*0.475*44/12</f>
        <v>0.66248660672066639</v>
      </c>
      <c r="AX76" s="21">
        <f t="shared" si="60"/>
        <v>141.79167523268015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12.795000000000002</v>
      </c>
      <c r="BD76" s="12">
        <f>IF('Données projet'!$A$88&gt;35,BD75+BC76-BL75,IF(A76&lt;'Données projet'!$A$88,$BA$205^A76,IF(A76='Données projet'!$A$88,'Données projet'!$B$88,BD75+BC76-BL75)))</f>
        <v>402.00500000000011</v>
      </c>
      <c r="BE76" s="13">
        <f>BD76*VLOOKUP('Données projet'!$B$11,Paramètres!$A$1:$I$89,3,0)*VLOOKUP('Données projet'!$B$11,Paramètres!$A$1:$I$89,5,0)</f>
        <v>363.73412400000007</v>
      </c>
      <c r="BF76" s="13">
        <f t="shared" si="91"/>
        <v>84.384143854645217</v>
      </c>
      <c r="BG76" s="20">
        <f t="shared" si="61"/>
        <v>780.47264984684045</v>
      </c>
      <c r="BH76" s="59">
        <f t="shared" si="62"/>
        <v>1073.8059831801738</v>
      </c>
      <c r="BI76" s="59">
        <f ca="1">AVERAGE(OFFSET($BH$3,0,0,'Données projet'!$E$11+1,1))-AVERAGE(OFFSET($H$3,0,0,'Données projet'!$E$11+1,1))</f>
        <v>507.69556381324213</v>
      </c>
      <c r="BJ76" s="59">
        <f t="shared" si="92"/>
        <v>129.52638237044044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17.384299268513548</v>
      </c>
      <c r="BQ76" s="21">
        <f>EXP(-LN(2)/25)*BQ75+(1-EXP(-LN(2)/25))/(LN(2)/25)*Calculateur!BL76*Calculateur!BN76*VLOOKUP('Données projet'!$B$11,Paramètres!$A$1:$I$89,3,0)*0.475*44/12</f>
        <v>34.622948432672239</v>
      </c>
      <c r="BR76" s="21">
        <f>EXP(-LN(2)/2)*BR75+(1-EXP(-LN(2)/2))/(LN(2)/2)*BL76*BO76*VLOOKUP('Données projet'!$B$11,Paramètres!$A$1:$I$89,3,0)*0.475*44/12</f>
        <v>0.61253169616330083</v>
      </c>
      <c r="BS76" s="22">
        <f t="shared" si="63"/>
        <v>52.619779397349092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6.7437500000000021</v>
      </c>
      <c r="BY76" s="12">
        <f>IF('Données projet'!$A$114&gt;35,BY75+BX76-CG75,IF(A76&lt;'Données projet'!$A$114,$BV$205^A76,IF(A76='Données projet'!$A$114,'Données projet'!$B$114,BY75+BX76-CG75)))</f>
        <v>175.54500000000002</v>
      </c>
      <c r="BZ76" s="13">
        <f>BY76*VLOOKUP('Données projet'!$B$12,Paramètres!$A$1:$I$89,3,0)*VLOOKUP('Données projet'!$B$12,Paramètres!$A$1:$I$89,5,0)</f>
        <v>169.78712400000001</v>
      </c>
      <c r="CA76" s="13">
        <f t="shared" si="93"/>
        <v>43.042342966500492</v>
      </c>
      <c r="CB76" s="20">
        <f t="shared" si="64"/>
        <v>370.67798829998833</v>
      </c>
      <c r="CC76" s="59">
        <f t="shared" si="65"/>
        <v>664.01132163332159</v>
      </c>
      <c r="CD76" s="59">
        <f ca="1">AVERAGE(OFFSET($CC$3,0,0,'Données projet'!$E$12+1,1))-AVERAGE(OFFSET($H$3,0,0,'Données projet'!$E$12+1,1))</f>
        <v>292.52253679467469</v>
      </c>
      <c r="CE76" s="59">
        <f t="shared" si="94"/>
        <v>155.7114133976541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32.461522770026804</v>
      </c>
      <c r="CM76" s="21">
        <f>EXP(-LN(2)/2)*CM75+(1-EXP(-LN(2)/2))/(LN(2)/2)*CG76*CJ76*VLOOKUP('Données projet'!$B$12,Paramètres!$A$1:$I$89,3,0)*0.475*44/12</f>
        <v>2.073399609864873</v>
      </c>
      <c r="CN76" s="22">
        <f t="shared" si="66"/>
        <v>34.534922379891675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-1.1368683772161603E-13</v>
      </c>
      <c r="CU76" s="17">
        <f>CT76*VLOOKUP('Données projet'!$B$13,Paramètres!$A$1:$I$89,3,0)*VLOOKUP('Données projet'!$B$13,Paramètres!$A$1:$I$89,5,0)</f>
        <v>-8.8675733422860506E-14</v>
      </c>
      <c r="CV76" s="13" t="e">
        <f t="shared" si="95"/>
        <v>#NUM!</v>
      </c>
      <c r="CW76" s="20" t="e">
        <f t="shared" si="67"/>
        <v>#NUM!</v>
      </c>
      <c r="CX76" s="59" t="e">
        <f t="shared" si="68"/>
        <v>#NUM!</v>
      </c>
      <c r="CY76" s="59">
        <f ca="1">AVERAGE(OFFSET($CX$3,0,0,'Données projet'!$E$13+1,1))-AVERAGE(OFFSET($H$3,0,0,'Données projet'!$E$13+1,1))</f>
        <v>100.54865094989304</v>
      </c>
      <c r="CZ76" s="59">
        <f t="shared" si="96"/>
        <v>99.95654161405389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25.463968489754247</v>
      </c>
      <c r="DG76" s="21">
        <f>EXP(-LN(2)/25)*DG75+(1-EXP(-LN(2)/25))/(LN(2)/25)*Calculateur!DB76*Calculateur!DD76*VLOOKUP('Données projet'!$B$13,Paramètres!$A$1:$I$89,3,0)*0.475*44/12</f>
        <v>24.289134103044823</v>
      </c>
      <c r="DH76" s="21">
        <f>EXP(-LN(2)/2)*DH75+(1-EXP(-LN(2)/2))/(LN(2)/2)*DB76*DE76*VLOOKUP('Données projet'!$B$13,Paramètres!$A$1:$I$89,3,0)*0.475*44/12</f>
        <v>9.7365419316159283</v>
      </c>
      <c r="DI76" s="22">
        <f t="shared" si="69"/>
        <v>59.489644524414999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4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64.646400000000114</v>
      </c>
      <c r="D77" s="11">
        <f t="shared" si="86"/>
        <v>18.337876695493698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640.58038150907498</v>
      </c>
      <c r="H77" s="67">
        <f t="shared" si="56"/>
        <v>437.86428191131836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3.4106051316484809E-13</v>
      </c>
      <c r="O77" s="13">
        <f>N77*VLOOKUP('Données projet'!$B$9,Paramètres!$A$1:$I$89,3,0)*VLOOKUP('Données projet'!$B$9,Paramètres!$A$1:$I$89,5,0)</f>
        <v>1.9065282685915009E-13</v>
      </c>
      <c r="P77" s="13">
        <f t="shared" si="87"/>
        <v>2.6568987209435707E-12</v>
      </c>
      <c r="Q77" s="20">
        <f t="shared" si="54"/>
        <v>4.959485612423072E-12</v>
      </c>
      <c r="R77" s="59">
        <f t="shared" si="55"/>
        <v>293.33333333333826</v>
      </c>
      <c r="S77" s="59">
        <f ca="1">AVERAGE(OFFSET($R$3,0,0,'Données projet'!$E$9+1,1))-AVERAGE(OFFSET($H$3,0,0,'Données projet'!$E$9+1,1))</f>
        <v>324.69474275039357</v>
      </c>
      <c r="T77" s="59">
        <f t="shared" si="88"/>
        <v>437.68177084535927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166.04322369172857</v>
      </c>
      <c r="AA77" s="21">
        <f>EXP(-LN(2)/25)*AA76+(1-EXP(-LN(2)/25))/(LN(2)/25)*Calculateur!V77*Calculateur!X77*VLOOKUP('Données projet'!$B$9,Paramètres!$A$1:$I$89,3,0)*0.475*44/12</f>
        <v>48.82009640928824</v>
      </c>
      <c r="AB77" s="21">
        <f>EXP(-LN(2)/2)*AB76+(1-EXP(-LN(2)/2))/(LN(2)/2)*V77*Y77*VLOOKUP('Données projet'!$B$9,Paramètres!$A$1:$I$89,3,0)*0.475*44/12</f>
        <v>8.936339180864844E-2</v>
      </c>
      <c r="AC77" s="22">
        <f t="shared" si="57"/>
        <v>214.95268349282549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1.1368683772161603E-13</v>
      </c>
      <c r="AJ77" s="13">
        <f>AI77*VLOOKUP('Données projet'!$B$10,Paramètres!$A$1:$I$89,3,0)*VLOOKUP('Données projet'!$B$10,Paramètres!$A$1:$I$89,5,0)</f>
        <v>6.7984728957526396E-14</v>
      </c>
      <c r="AK77" s="13">
        <f t="shared" si="89"/>
        <v>1.0682447123141398E-12</v>
      </c>
      <c r="AL77" s="20">
        <f t="shared" si="58"/>
        <v>1.978932943548152E-12</v>
      </c>
      <c r="AM77" s="59">
        <f t="shared" si="59"/>
        <v>293.3333333333353</v>
      </c>
      <c r="AN77" s="59">
        <f ca="1">AVERAGE(OFFSET($AM$3,0,0,'Données projet'!$E$10+1,1))-AVERAGE(OFFSET($H$3,0,0,'Données projet'!$E$10+1,1))</f>
        <v>214.93913810439858</v>
      </c>
      <c r="AO77" s="59">
        <f t="shared" si="90"/>
        <v>210.65603079265924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105.24310448288477</v>
      </c>
      <c r="AV77" s="21">
        <f>EXP(-LN(2)/25)*AV76+(1-EXP(-LN(2)/25))/(LN(2)/25)*Calculateur!AQ77*Calculateur!AS77*VLOOKUP('Données projet'!$B$10,Paramètres!$A$1:$I$89,3,0)*0.475*44/12</f>
        <v>32.857308011123855</v>
      </c>
      <c r="AW77" s="21">
        <f>EXP(-LN(2)/2)*AW76+(1-EXP(-LN(2)/2))/(LN(2)/2)*AQ77*AT77*VLOOKUP('Données projet'!$B$10,Paramètres!$A$1:$I$89,3,0)*0.475*44/12</f>
        <v>0.46844877205744867</v>
      </c>
      <c r="AX77" s="21">
        <f t="shared" si="60"/>
        <v>138.56886126606608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>
        <f>VLOOKUP(A77,'Données projet'!$A$87:$I$107,2,0)</f>
        <v>414.8</v>
      </c>
      <c r="BB77" s="12">
        <f>VLOOKUP(A77,'Données projet'!$A$87:$I$107,9,0)</f>
        <v>12.795000000000002</v>
      </c>
      <c r="BC77" s="12">
        <f t="array" ref="BC77">INDEX(BB:BB,MIN(IF(ISNUMBER(BB77:BB273),ROW(BB77:BB273),"")))</f>
        <v>12.795000000000002</v>
      </c>
      <c r="BD77" s="12">
        <f>IF('Données projet'!$A$88&gt;35,BD76+BC77-BL76,IF(A77&lt;'Données projet'!$A$88,$BA$205^A77,IF(A77='Données projet'!$A$88,'Données projet'!$B$88,BD76+BC77-BL76)))</f>
        <v>414.80000000000013</v>
      </c>
      <c r="BE77" s="13">
        <f>BD77*VLOOKUP('Données projet'!$B$11,Paramètres!$A$1:$I$89,3,0)*VLOOKUP('Données projet'!$B$11,Paramètres!$A$1:$I$89,5,0)</f>
        <v>375.31104000000011</v>
      </c>
      <c r="BF77" s="13">
        <f t="shared" si="91"/>
        <v>86.752950168429535</v>
      </c>
      <c r="BG77" s="20">
        <f t="shared" si="61"/>
        <v>804.76144954334825</v>
      </c>
      <c r="BH77" s="59">
        <f t="shared" si="62"/>
        <v>1098.0947828766816</v>
      </c>
      <c r="BI77" s="59">
        <f ca="1">AVERAGE(OFFSET($BH$3,0,0,'Données projet'!$E$11+1,1))-AVERAGE(OFFSET($H$3,0,0,'Données projet'!$E$11+1,1))</f>
        <v>507.69556381324213</v>
      </c>
      <c r="BJ77" s="59">
        <f t="shared" si="92"/>
        <v>129.52638237044044</v>
      </c>
      <c r="BK77" s="15">
        <f>IF(ISNA(VLOOKUP(A77,'Données projet'!$A$87:$I$107,3,0)),0,VLOOKUP(A77,'Données projet'!$A$87:$I$107,3,0))</f>
        <v>6</v>
      </c>
      <c r="BL77" s="15">
        <f>IF(ISNA(VLOOKUP(A77,'Données projet'!$A$87:$I$107,4,0)),0,VLOOKUP(A77,'Données projet'!$A$87:$I$107,4,0))</f>
        <v>75.29000000000002</v>
      </c>
      <c r="BM77" s="16">
        <f>IF(ISNA(VLOOKUP(A77,'Données projet'!$A$87:$I$107,5,0)),0%,VLOOKUP(A77,'Données projet'!$A$87:$I$107,5,0)*VLOOKUP('Données projet'!$B$11,Paramètres!$A$1:$I$89,7,0))</f>
        <v>0.15049999999999999</v>
      </c>
      <c r="BN77" s="16">
        <f>IF(ISNA(VLOOKUP(A77,'Données projet'!$A$87:$I$107,6,0)),0%,VLOOKUP(A77,'Données projet'!$A$87:$I$107,6,0)*VLOOKUP('Données projet'!$B$11,Paramètres!$A$1:$I$89,7,0))</f>
        <v>8.6000000000000007E-2</v>
      </c>
      <c r="BO77" s="16">
        <f>IF(ISNA(VLOOKUP(A77,'Données projet'!$A$87:$I$107,7,0)),0%,VLOOKUP(A77,'Données projet'!$A$87:$I$107,7,0))</f>
        <v>0.1</v>
      </c>
      <c r="BP77" s="21">
        <f>EXP(-LN(2)/35)*BP76+(1-EXP(-LN(2)/35))/(LN(2)/35)*BL77*BM77*VLOOKUP('Données projet'!$B$11,Paramètres!$A$1:$I$89,3,0)*0.475*44/12</f>
        <v>28.377150387342887</v>
      </c>
      <c r="BQ77" s="21">
        <f>EXP(-LN(2)/25)*BQ76+(1-EXP(-LN(2)/25))/(LN(2)/25)*Calculateur!BL77*Calculateur!BN77*VLOOKUP('Données projet'!$B$11,Paramètres!$A$1:$I$89,3,0)*0.475*44/12</f>
        <v>40.127108569984337</v>
      </c>
      <c r="BR77" s="21">
        <f>EXP(-LN(2)/2)*BR76+(1-EXP(-LN(2)/2))/(LN(2)/2)*BL77*BO77*VLOOKUP('Données projet'!$B$11,Paramètres!$A$1:$I$89,3,0)*0.475*44/12</f>
        <v>6.8606563499786484</v>
      </c>
      <c r="BS77" s="22">
        <f t="shared" si="63"/>
        <v>75.364915307305878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6.7437500000000021</v>
      </c>
      <c r="BY77" s="12">
        <f>IF('Données projet'!$A$114&gt;35,BY76+BX77-CG76,IF(A77&lt;'Données projet'!$A$114,$BV$205^A77,IF(A77='Données projet'!$A$114,'Données projet'!$B$114,BY76+BX77-CG76)))</f>
        <v>182.28875000000002</v>
      </c>
      <c r="BZ77" s="13">
        <f>BY77*VLOOKUP('Données projet'!$B$12,Paramètres!$A$1:$I$89,3,0)*VLOOKUP('Données projet'!$B$12,Paramètres!$A$1:$I$89,5,0)</f>
        <v>176.30967900000002</v>
      </c>
      <c r="CA77" s="13">
        <f t="shared" si="93"/>
        <v>44.500170523659108</v>
      </c>
      <c r="CB77" s="20">
        <f t="shared" si="64"/>
        <v>384.57715458703962</v>
      </c>
      <c r="CC77" s="59">
        <f t="shared" si="65"/>
        <v>677.91048792037293</v>
      </c>
      <c r="CD77" s="59">
        <f ca="1">AVERAGE(OFFSET($CC$3,0,0,'Données projet'!$E$12+1,1))-AVERAGE(OFFSET($H$3,0,0,'Données projet'!$E$12+1,1))</f>
        <v>292.52253679467469</v>
      </c>
      <c r="CE77" s="59">
        <f t="shared" si="94"/>
        <v>155.7114133976541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31.573860722803129</v>
      </c>
      <c r="CM77" s="21">
        <f>EXP(-LN(2)/2)*CM76+(1-EXP(-LN(2)/2))/(LN(2)/2)*CG77*CJ77*VLOOKUP('Données projet'!$B$12,Paramètres!$A$1:$I$89,3,0)*0.475*44/12</f>
        <v>1.4661149242449938</v>
      </c>
      <c r="CN77" s="22">
        <f t="shared" si="66"/>
        <v>33.039975647048124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-1.1368683772161603E-13</v>
      </c>
      <c r="CU77" s="17">
        <f>CT77*VLOOKUP('Données projet'!$B$13,Paramètres!$A$1:$I$89,3,0)*VLOOKUP('Données projet'!$B$13,Paramètres!$A$1:$I$89,5,0)</f>
        <v>-8.8675733422860506E-14</v>
      </c>
      <c r="CV77" s="13" t="e">
        <f t="shared" si="95"/>
        <v>#NUM!</v>
      </c>
      <c r="CW77" s="20" t="e">
        <f t="shared" si="67"/>
        <v>#NUM!</v>
      </c>
      <c r="CX77" s="59" t="e">
        <f t="shared" si="68"/>
        <v>#NUM!</v>
      </c>
      <c r="CY77" s="59">
        <f ca="1">AVERAGE(OFFSET($CX$3,0,0,'Données projet'!$E$13+1,1))-AVERAGE(OFFSET($H$3,0,0,'Données projet'!$E$13+1,1))</f>
        <v>100.54865094989304</v>
      </c>
      <c r="CZ77" s="59">
        <f t="shared" si="96"/>
        <v>99.95654161405389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24.964635599157337</v>
      </c>
      <c r="DG77" s="21">
        <f>EXP(-LN(2)/25)*DG76+(1-EXP(-LN(2)/25))/(LN(2)/25)*Calculateur!DB77*Calculateur!DD77*VLOOKUP('Données projet'!$B$13,Paramètres!$A$1:$I$89,3,0)*0.475*44/12</f>
        <v>23.624946453687013</v>
      </c>
      <c r="DH77" s="21">
        <f>EXP(-LN(2)/2)*DH76+(1-EXP(-LN(2)/2))/(LN(2)/2)*DB77*DE77*VLOOKUP('Données projet'!$B$13,Paramètres!$A$1:$I$89,3,0)*0.475*44/12</f>
        <v>6.8847748251527898</v>
      </c>
      <c r="DI77" s="22">
        <f t="shared" si="69"/>
        <v>55.474356877997138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4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65.52000000000011</v>
      </c>
      <c r="D78" s="11">
        <f t="shared" si="86"/>
        <v>18.556669503136749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649.01288739263543</v>
      </c>
      <c r="H78" s="67">
        <f t="shared" si="56"/>
        <v>439.76686605129669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3.4106051316484809E-13</v>
      </c>
      <c r="O78" s="13">
        <f>N78*VLOOKUP('Données projet'!$B$9,Paramètres!$A$1:$I$89,3,0)*VLOOKUP('Données projet'!$B$9,Paramètres!$A$1:$I$89,5,0)</f>
        <v>1.9065282685915009E-13</v>
      </c>
      <c r="P78" s="13">
        <f t="shared" si="87"/>
        <v>2.6568987209435707E-12</v>
      </c>
      <c r="Q78" s="20">
        <f t="shared" si="54"/>
        <v>4.959485612423072E-12</v>
      </c>
      <c r="R78" s="59">
        <f t="shared" si="55"/>
        <v>293.33333333333826</v>
      </c>
      <c r="S78" s="59">
        <f ca="1">AVERAGE(OFFSET($R$3,0,0,'Données projet'!$E$9+1,1))-AVERAGE(OFFSET($H$3,0,0,'Données projet'!$E$9+1,1))</f>
        <v>324.69474275039357</v>
      </c>
      <c r="T78" s="59">
        <f t="shared" si="88"/>
        <v>437.68177084535927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162.7872173515</v>
      </c>
      <c r="AA78" s="21">
        <f>EXP(-LN(2)/25)*AA77+(1-EXP(-LN(2)/25))/(LN(2)/25)*Calculateur!V78*Calculateur!X78*VLOOKUP('Données projet'!$B$9,Paramètres!$A$1:$I$89,3,0)*0.475*44/12</f>
        <v>47.48510830563896</v>
      </c>
      <c r="AB78" s="21">
        <f>EXP(-LN(2)/2)*AB77+(1-EXP(-LN(2)/2))/(LN(2)/2)*V78*Y78*VLOOKUP('Données projet'!$B$9,Paramètres!$A$1:$I$89,3,0)*0.475*44/12</f>
        <v>6.3189460337725684E-2</v>
      </c>
      <c r="AC78" s="22">
        <f t="shared" si="57"/>
        <v>210.33551511747669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1.1368683772161603E-13</v>
      </c>
      <c r="AJ78" s="13">
        <f>AI78*VLOOKUP('Données projet'!$B$10,Paramètres!$A$1:$I$89,3,0)*VLOOKUP('Données projet'!$B$10,Paramètres!$A$1:$I$89,5,0)</f>
        <v>6.7984728957526396E-14</v>
      </c>
      <c r="AK78" s="13">
        <f t="shared" si="89"/>
        <v>1.0682447123141398E-12</v>
      </c>
      <c r="AL78" s="20">
        <f t="shared" si="58"/>
        <v>1.978932943548152E-12</v>
      </c>
      <c r="AM78" s="59">
        <f t="shared" si="59"/>
        <v>293.3333333333353</v>
      </c>
      <c r="AN78" s="59">
        <f ca="1">AVERAGE(OFFSET($AM$3,0,0,'Données projet'!$E$10+1,1))-AVERAGE(OFFSET($H$3,0,0,'Données projet'!$E$10+1,1))</f>
        <v>214.93913810439858</v>
      </c>
      <c r="AO78" s="59">
        <f t="shared" si="90"/>
        <v>210.65603079265924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103.17935139593071</v>
      </c>
      <c r="AV78" s="21">
        <f>EXP(-LN(2)/25)*AV77+(1-EXP(-LN(2)/25))/(LN(2)/25)*Calculateur!AQ78*Calculateur!AS78*VLOOKUP('Données projet'!$B$10,Paramètres!$A$1:$I$89,3,0)*0.475*44/12</f>
        <v>31.958823195668941</v>
      </c>
      <c r="AW78" s="21">
        <f>EXP(-LN(2)/2)*AW77+(1-EXP(-LN(2)/2))/(LN(2)/2)*AQ78*AT78*VLOOKUP('Données projet'!$B$10,Paramètres!$A$1:$I$89,3,0)*0.475*44/12</f>
        <v>0.33124330336033325</v>
      </c>
      <c r="AX78" s="21">
        <f t="shared" si="60"/>
        <v>135.46941789495997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12.082500000000003</v>
      </c>
      <c r="BD78" s="12">
        <f>IF('Données projet'!$A$88&gt;35,BD77+BC78-BL77,IF(A78&lt;'Données projet'!$A$88,$BA$205^A78,IF(A78='Données projet'!$A$88,'Données projet'!$B$88,BD77+BC78-BL77)))</f>
        <v>351.59250000000009</v>
      </c>
      <c r="BE78" s="13">
        <f>BD78*VLOOKUP('Données projet'!$B$11,Paramètres!$A$1:$I$89,3,0)*VLOOKUP('Données projet'!$B$11,Paramètres!$A$1:$I$89,5,0)</f>
        <v>318.12089400000008</v>
      </c>
      <c r="BF78" s="13">
        <f t="shared" si="91"/>
        <v>74.962235198318652</v>
      </c>
      <c r="BG78" s="20">
        <f t="shared" si="61"/>
        <v>684.6197833537384</v>
      </c>
      <c r="BH78" s="59">
        <f t="shared" si="62"/>
        <v>977.95311668707177</v>
      </c>
      <c r="BI78" s="59">
        <f ca="1">AVERAGE(OFFSET($BH$3,0,0,'Données projet'!$E$11+1,1))-AVERAGE(OFFSET($H$3,0,0,'Données projet'!$E$11+1,1))</f>
        <v>507.69556381324213</v>
      </c>
      <c r="BJ78" s="59">
        <f t="shared" si="92"/>
        <v>129.52638237044044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27.820691776599773</v>
      </c>
      <c r="BQ78" s="21">
        <f>EXP(-LN(2)/25)*BQ77+(1-EXP(-LN(2)/25))/(LN(2)/25)*Calculateur!BL78*Calculateur!BN78*VLOOKUP('Données projet'!$B$11,Paramètres!$A$1:$I$89,3,0)*0.475*44/12</f>
        <v>39.029830675945185</v>
      </c>
      <c r="BR78" s="21">
        <f>EXP(-LN(2)/2)*BR77+(1-EXP(-LN(2)/2))/(LN(2)/2)*BL78*BO78*VLOOKUP('Données projet'!$B$11,Paramètres!$A$1:$I$89,3,0)*0.475*44/12</f>
        <v>4.8512166284604499</v>
      </c>
      <c r="BS78" s="22">
        <f t="shared" si="63"/>
        <v>71.701739081005414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6.7437500000000021</v>
      </c>
      <c r="BY78" s="12">
        <f>IF('Données projet'!$A$114&gt;35,BY77+BX78-CG77,IF(A78&lt;'Données projet'!$A$114,$BV$205^A78,IF(A78='Données projet'!$A$114,'Données projet'!$B$114,BY77+BX78-CG77)))</f>
        <v>189.03250000000003</v>
      </c>
      <c r="BZ78" s="13">
        <f>BY78*VLOOKUP('Données projet'!$B$12,Paramètres!$A$1:$I$89,3,0)*VLOOKUP('Données projet'!$B$12,Paramètres!$A$1:$I$89,5,0)</f>
        <v>182.83223400000003</v>
      </c>
      <c r="CA78" s="13">
        <f t="shared" si="93"/>
        <v>45.951732365807445</v>
      </c>
      <c r="CB78" s="20">
        <f t="shared" si="64"/>
        <v>398.46540808711467</v>
      </c>
      <c r="CC78" s="59">
        <f t="shared" si="65"/>
        <v>691.79874142044798</v>
      </c>
      <c r="CD78" s="59">
        <f ca="1">AVERAGE(OFFSET($CC$3,0,0,'Données projet'!$E$12+1,1))-AVERAGE(OFFSET($H$3,0,0,'Données projet'!$E$12+1,1))</f>
        <v>292.52253679467469</v>
      </c>
      <c r="CE78" s="59">
        <f t="shared" si="94"/>
        <v>155.7114133976541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30.710471840940905</v>
      </c>
      <c r="CM78" s="21">
        <f>EXP(-LN(2)/2)*CM77+(1-EXP(-LN(2)/2))/(LN(2)/2)*CG78*CJ78*VLOOKUP('Données projet'!$B$12,Paramètres!$A$1:$I$89,3,0)*0.475*44/12</f>
        <v>1.0366998049324365</v>
      </c>
      <c r="CN78" s="22">
        <f t="shared" si="66"/>
        <v>31.74717164587334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-1.1368683772161603E-13</v>
      </c>
      <c r="CU78" s="17">
        <f>CT78*VLOOKUP('Données projet'!$B$13,Paramètres!$A$1:$I$89,3,0)*VLOOKUP('Données projet'!$B$13,Paramètres!$A$1:$I$89,5,0)</f>
        <v>-8.8675733422860506E-14</v>
      </c>
      <c r="CV78" s="13" t="e">
        <f t="shared" si="95"/>
        <v>#NUM!</v>
      </c>
      <c r="CW78" s="20" t="e">
        <f t="shared" si="67"/>
        <v>#NUM!</v>
      </c>
      <c r="CX78" s="59" t="e">
        <f t="shared" si="68"/>
        <v>#NUM!</v>
      </c>
      <c r="CY78" s="59">
        <f ca="1">AVERAGE(OFFSET($CX$3,0,0,'Données projet'!$E$13+1,1))-AVERAGE(OFFSET($H$3,0,0,'Données projet'!$E$13+1,1))</f>
        <v>100.54865094989304</v>
      </c>
      <c r="CZ78" s="59">
        <f t="shared" si="96"/>
        <v>99.95654161405389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24.475094321982041</v>
      </c>
      <c r="DG78" s="21">
        <f>EXP(-LN(2)/25)*DG77+(1-EXP(-LN(2)/25))/(LN(2)/25)*Calculateur!DB78*Calculateur!DD78*VLOOKUP('Données projet'!$B$13,Paramètres!$A$1:$I$89,3,0)*0.475*44/12</f>
        <v>22.978921050529003</v>
      </c>
      <c r="DH78" s="21">
        <f>EXP(-LN(2)/2)*DH77+(1-EXP(-LN(2)/2))/(LN(2)/2)*DB78*DE78*VLOOKUP('Données projet'!$B$13,Paramètres!$A$1:$I$89,3,0)*0.475*44/12</f>
        <v>4.868270965807965</v>
      </c>
      <c r="DI78" s="22">
        <f t="shared" si="69"/>
        <v>52.32228633831901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4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66.393600000000106</v>
      </c>
      <c r="D79" s="11">
        <f t="shared" si="86"/>
        <v>18.775122997078551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657.44277401253714</v>
      </c>
      <c r="H79" s="67">
        <f t="shared" si="56"/>
        <v>441.66885921991195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3.4106051316484809E-13</v>
      </c>
      <c r="O79" s="13">
        <f>N79*VLOOKUP('Données projet'!$B$9,Paramètres!$A$1:$I$89,3,0)*VLOOKUP('Données projet'!$B$9,Paramètres!$A$1:$I$89,5,0)</f>
        <v>1.9065282685915009E-13</v>
      </c>
      <c r="P79" s="13">
        <f t="shared" si="87"/>
        <v>2.6568987209435707E-12</v>
      </c>
      <c r="Q79" s="20">
        <f t="shared" si="54"/>
        <v>4.959485612423072E-12</v>
      </c>
      <c r="R79" s="59">
        <f t="shared" si="55"/>
        <v>293.33333333333826</v>
      </c>
      <c r="S79" s="59">
        <f ca="1">AVERAGE(OFFSET($R$3,0,0,'Données projet'!$E$9+1,1))-AVERAGE(OFFSET($H$3,0,0,'Données projet'!$E$9+1,1))</f>
        <v>324.69474275039357</v>
      </c>
      <c r="T79" s="59">
        <f t="shared" si="88"/>
        <v>437.68177084535927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159.59505930963556</v>
      </c>
      <c r="AA79" s="21">
        <f>EXP(-LN(2)/25)*AA78+(1-EXP(-LN(2)/25))/(LN(2)/25)*Calculateur!V79*Calculateur!X79*VLOOKUP('Données projet'!$B$9,Paramètres!$A$1:$I$89,3,0)*0.475*44/12</f>
        <v>46.186625521887947</v>
      </c>
      <c r="AB79" s="21">
        <f>EXP(-LN(2)/2)*AB78+(1-EXP(-LN(2)/2))/(LN(2)/2)*V79*Y79*VLOOKUP('Données projet'!$B$9,Paramètres!$A$1:$I$89,3,0)*0.475*44/12</f>
        <v>4.468169590432422E-2</v>
      </c>
      <c r="AC79" s="22">
        <f t="shared" si="57"/>
        <v>205.82636652742784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1.1368683772161603E-13</v>
      </c>
      <c r="AJ79" s="13">
        <f>AI79*VLOOKUP('Données projet'!$B$10,Paramètres!$A$1:$I$89,3,0)*VLOOKUP('Données projet'!$B$10,Paramètres!$A$1:$I$89,5,0)</f>
        <v>6.7984728957526396E-14</v>
      </c>
      <c r="AK79" s="13">
        <f t="shared" si="89"/>
        <v>1.0682447123141398E-12</v>
      </c>
      <c r="AL79" s="20">
        <f t="shared" si="58"/>
        <v>1.978932943548152E-12</v>
      </c>
      <c r="AM79" s="59">
        <f t="shared" si="59"/>
        <v>293.3333333333353</v>
      </c>
      <c r="AN79" s="59">
        <f ca="1">AVERAGE(OFFSET($AM$3,0,0,'Données projet'!$E$10+1,1))-AVERAGE(OFFSET($H$3,0,0,'Données projet'!$E$10+1,1))</f>
        <v>214.93913810439858</v>
      </c>
      <c r="AO79" s="59">
        <f t="shared" si="90"/>
        <v>210.65603079265924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101.15606724824673</v>
      </c>
      <c r="AV79" s="21">
        <f>EXP(-LN(2)/25)*AV78+(1-EXP(-LN(2)/25))/(LN(2)/25)*Calculateur!AQ79*Calculateur!AS79*VLOOKUP('Données projet'!$B$10,Paramètres!$A$1:$I$89,3,0)*0.475*44/12</f>
        <v>31.084907494741906</v>
      </c>
      <c r="AW79" s="21">
        <f>EXP(-LN(2)/2)*AW78+(1-EXP(-LN(2)/2))/(LN(2)/2)*AQ79*AT79*VLOOKUP('Données projet'!$B$10,Paramètres!$A$1:$I$89,3,0)*0.475*44/12</f>
        <v>0.23422438602872436</v>
      </c>
      <c r="AX79" s="21">
        <f t="shared" si="60"/>
        <v>132.47519912901737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12.082500000000003</v>
      </c>
      <c r="BD79" s="12">
        <f>IF('Données projet'!$A$88&gt;35,BD78+BC79-BL78,IF(A79&lt;'Données projet'!$A$88,$BA$205^A79,IF(A79='Données projet'!$A$88,'Données projet'!$B$88,BD78+BC79-BL78)))</f>
        <v>363.67500000000007</v>
      </c>
      <c r="BE79" s="13">
        <f>BD79*VLOOKUP('Données projet'!$B$11,Paramètres!$A$1:$I$89,3,0)*VLOOKUP('Données projet'!$B$11,Paramètres!$A$1:$I$89,5,0)</f>
        <v>329.05314000000004</v>
      </c>
      <c r="BF79" s="13">
        <f t="shared" si="91"/>
        <v>77.233966119321479</v>
      </c>
      <c r="BG79" s="20">
        <f t="shared" si="61"/>
        <v>707.61670982448493</v>
      </c>
      <c r="BH79" s="59">
        <f t="shared" si="62"/>
        <v>1000.9500431578183</v>
      </c>
      <c r="BI79" s="59">
        <f ca="1">AVERAGE(OFFSET($BH$3,0,0,'Données projet'!$E$11+1,1))-AVERAGE(OFFSET($H$3,0,0,'Données projet'!$E$11+1,1))</f>
        <v>507.69556381324213</v>
      </c>
      <c r="BJ79" s="59">
        <f t="shared" si="92"/>
        <v>129.52638237044044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27.275144979807092</v>
      </c>
      <c r="BQ79" s="21">
        <f>EXP(-LN(2)/25)*BQ78+(1-EXP(-LN(2)/25))/(LN(2)/25)*Calculateur!BL79*Calculateur!BN79*VLOOKUP('Données projet'!$B$11,Paramètres!$A$1:$I$89,3,0)*0.475*44/12</f>
        <v>37.962557903621871</v>
      </c>
      <c r="BR79" s="21">
        <f>EXP(-LN(2)/2)*BR78+(1-EXP(-LN(2)/2))/(LN(2)/2)*BL79*BO79*VLOOKUP('Données projet'!$B$11,Paramètres!$A$1:$I$89,3,0)*0.475*44/12</f>
        <v>3.4303281749893242</v>
      </c>
      <c r="BS79" s="22">
        <f t="shared" si="63"/>
        <v>68.668031058418293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6.7437500000000021</v>
      </c>
      <c r="BY79" s="12">
        <f>IF('Données projet'!$A$114&gt;35,BY78+BX79-CG78,IF(A79&lt;'Données projet'!$A$114,$BV$205^A79,IF(A79='Données projet'!$A$114,'Données projet'!$B$114,BY78+BX79-CG78)))</f>
        <v>195.77625000000003</v>
      </c>
      <c r="BZ79" s="13">
        <f>BY79*VLOOKUP('Données projet'!$B$12,Paramètres!$A$1:$I$89,3,0)*VLOOKUP('Données projet'!$B$12,Paramètres!$A$1:$I$89,5,0)</f>
        <v>189.35478900000004</v>
      </c>
      <c r="CA79" s="13">
        <f t="shared" si="93"/>
        <v>47.39727763176937</v>
      </c>
      <c r="CB79" s="20">
        <f t="shared" si="64"/>
        <v>412.3431827169984</v>
      </c>
      <c r="CC79" s="59">
        <f t="shared" si="65"/>
        <v>705.67651605033166</v>
      </c>
      <c r="CD79" s="59">
        <f ca="1">AVERAGE(OFFSET($CC$3,0,0,'Données projet'!$E$12+1,1))-AVERAGE(OFFSET($H$3,0,0,'Données projet'!$E$12+1,1))</f>
        <v>292.52253679467469</v>
      </c>
      <c r="CE79" s="59">
        <f t="shared" si="94"/>
        <v>155.7114133976541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29.870692373456851</v>
      </c>
      <c r="CM79" s="21">
        <f>EXP(-LN(2)/2)*CM78+(1-EXP(-LN(2)/2))/(LN(2)/2)*CG79*CJ79*VLOOKUP('Données projet'!$B$12,Paramètres!$A$1:$I$89,3,0)*0.475*44/12</f>
        <v>0.73305746212249689</v>
      </c>
      <c r="CN79" s="22">
        <f t="shared" si="66"/>
        <v>30.603749835579347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-1.1368683772161603E-13</v>
      </c>
      <c r="CU79" s="17">
        <f>CT79*VLOOKUP('Données projet'!$B$13,Paramètres!$A$1:$I$89,3,0)*VLOOKUP('Données projet'!$B$13,Paramètres!$A$1:$I$89,5,0)</f>
        <v>-8.8675733422860506E-14</v>
      </c>
      <c r="CV79" s="13" t="e">
        <f t="shared" si="95"/>
        <v>#NUM!</v>
      </c>
      <c r="CW79" s="20" t="e">
        <f t="shared" si="67"/>
        <v>#NUM!</v>
      </c>
      <c r="CX79" s="59" t="e">
        <f t="shared" si="68"/>
        <v>#NUM!</v>
      </c>
      <c r="CY79" s="59">
        <f ca="1">AVERAGE(OFFSET($CX$3,0,0,'Données projet'!$E$13+1,1))-AVERAGE(OFFSET($H$3,0,0,'Données projet'!$E$13+1,1))</f>
        <v>100.54865094989304</v>
      </c>
      <c r="CZ79" s="59">
        <f t="shared" si="96"/>
        <v>99.95654161405389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23.99515265066146</v>
      </c>
      <c r="DG79" s="21">
        <f>EXP(-LN(2)/25)*DG78+(1-EXP(-LN(2)/25))/(LN(2)/25)*Calculateur!DB79*Calculateur!DD79*VLOOKUP('Données projet'!$B$13,Paramètres!$A$1:$I$89,3,0)*0.475*44/12</f>
        <v>22.350561245993347</v>
      </c>
      <c r="DH79" s="21">
        <f>EXP(-LN(2)/2)*DH78+(1-EXP(-LN(2)/2))/(LN(2)/2)*DB79*DE79*VLOOKUP('Données projet'!$B$13,Paramètres!$A$1:$I$89,3,0)*0.475*44/12</f>
        <v>3.4423874125763954</v>
      </c>
      <c r="DI79" s="22">
        <f t="shared" si="69"/>
        <v>49.788101309231202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4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67.267200000000102</v>
      </c>
      <c r="D80" s="11">
        <f t="shared" si="86"/>
        <v>18.993242158132951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665.87007981716749</v>
      </c>
      <c r="H80" s="67">
        <f t="shared" si="56"/>
        <v>443.57027009208173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3.4106051316484809E-13</v>
      </c>
      <c r="O80" s="13">
        <f>N80*VLOOKUP('Données projet'!$B$9,Paramètres!$A$1:$I$89,3,0)*VLOOKUP('Données projet'!$B$9,Paramètres!$A$1:$I$89,5,0)</f>
        <v>1.9065282685915009E-13</v>
      </c>
      <c r="P80" s="13">
        <f t="shared" si="87"/>
        <v>2.6568987209435707E-12</v>
      </c>
      <c r="Q80" s="20">
        <f t="shared" si="54"/>
        <v>4.959485612423072E-12</v>
      </c>
      <c r="R80" s="59">
        <f t="shared" si="55"/>
        <v>293.33333333333826</v>
      </c>
      <c r="S80" s="59">
        <f ca="1">AVERAGE(OFFSET($R$3,0,0,'Données projet'!$E$9+1,1))-AVERAGE(OFFSET($H$3,0,0,'Données projet'!$E$9+1,1))</f>
        <v>324.69474275039357</v>
      </c>
      <c r="T80" s="59">
        <f t="shared" si="88"/>
        <v>437.68177084535927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156.46549753994793</v>
      </c>
      <c r="AA80" s="21">
        <f>EXP(-LN(2)/25)*AA79+(1-EXP(-LN(2)/25))/(LN(2)/25)*Calculateur!V80*Calculateur!X80*VLOOKUP('Données projet'!$B$9,Paramètres!$A$1:$I$89,3,0)*0.475*44/12</f>
        <v>44.923649818142849</v>
      </c>
      <c r="AB80" s="21">
        <f>EXP(-LN(2)/2)*AB79+(1-EXP(-LN(2)/2))/(LN(2)/2)*V80*Y80*VLOOKUP('Données projet'!$B$9,Paramètres!$A$1:$I$89,3,0)*0.475*44/12</f>
        <v>3.1594730168862842E-2</v>
      </c>
      <c r="AC80" s="22">
        <f t="shared" si="57"/>
        <v>201.42074208825966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1.1368683772161603E-13</v>
      </c>
      <c r="AJ80" s="13">
        <f>AI80*VLOOKUP('Données projet'!$B$10,Paramètres!$A$1:$I$89,3,0)*VLOOKUP('Données projet'!$B$10,Paramètres!$A$1:$I$89,5,0)</f>
        <v>6.7984728957526396E-14</v>
      </c>
      <c r="AK80" s="13">
        <f t="shared" si="89"/>
        <v>1.0682447123141398E-12</v>
      </c>
      <c r="AL80" s="20">
        <f t="shared" si="58"/>
        <v>1.978932943548152E-12</v>
      </c>
      <c r="AM80" s="59">
        <f t="shared" si="59"/>
        <v>293.3333333333353</v>
      </c>
      <c r="AN80" s="59">
        <f ca="1">AVERAGE(OFFSET($AM$3,0,0,'Données projet'!$E$10+1,1))-AVERAGE(OFFSET($H$3,0,0,'Données projet'!$E$10+1,1))</f>
        <v>214.93913810439858</v>
      </c>
      <c r="AO80" s="59">
        <f t="shared" si="90"/>
        <v>210.65603079265924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99.17245846861735</v>
      </c>
      <c r="AV80" s="21">
        <f>EXP(-LN(2)/25)*AV79+(1-EXP(-LN(2)/25))/(LN(2)/25)*Calculateur!AQ80*Calculateur!AS80*VLOOKUP('Données projet'!$B$10,Paramètres!$A$1:$I$89,3,0)*0.475*44/12</f>
        <v>30.234889064613949</v>
      </c>
      <c r="AW80" s="21">
        <f>EXP(-LN(2)/2)*AW79+(1-EXP(-LN(2)/2))/(LN(2)/2)*AQ80*AT80*VLOOKUP('Données projet'!$B$10,Paramètres!$A$1:$I$89,3,0)*0.475*44/12</f>
        <v>0.16562165168016665</v>
      </c>
      <c r="AX80" s="21">
        <f t="shared" si="60"/>
        <v>129.57296918491147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12.082500000000003</v>
      </c>
      <c r="BD80" s="12">
        <f>IF('Données projet'!$A$88&gt;35,BD79+BC80-BL79,IF(A80&lt;'Données projet'!$A$88,$BA$205^A80,IF(A80='Données projet'!$A$88,'Données projet'!$B$88,BD79+BC80-BL79)))</f>
        <v>375.75750000000005</v>
      </c>
      <c r="BE80" s="13">
        <f>BD80*VLOOKUP('Données projet'!$B$11,Paramètres!$A$1:$I$89,3,0)*VLOOKUP('Données projet'!$B$11,Paramètres!$A$1:$I$89,5,0)</f>
        <v>339.98538600000006</v>
      </c>
      <c r="BF80" s="13">
        <f t="shared" si="91"/>
        <v>79.496927069315888</v>
      </c>
      <c r="BG80" s="20">
        <f t="shared" si="61"/>
        <v>730.59836192905857</v>
      </c>
      <c r="BH80" s="59">
        <f t="shared" si="62"/>
        <v>1023.9316952623919</v>
      </c>
      <c r="BI80" s="59">
        <f ca="1">AVERAGE(OFFSET($BH$3,0,0,'Données projet'!$E$11+1,1))-AVERAGE(OFFSET($H$3,0,0,'Données projet'!$E$11+1,1))</f>
        <v>507.69556381324213</v>
      </c>
      <c r="BJ80" s="59">
        <f t="shared" si="92"/>
        <v>129.52638237044044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26.740296022948826</v>
      </c>
      <c r="BQ80" s="21">
        <f>EXP(-LN(2)/25)*BQ79+(1-EXP(-LN(2)/25))/(LN(2)/25)*Calculateur!BL80*Calculateur!BN80*VLOOKUP('Données projet'!$B$11,Paramètres!$A$1:$I$89,3,0)*0.475*44/12</f>
        <v>36.924469761383179</v>
      </c>
      <c r="BR80" s="21">
        <f>EXP(-LN(2)/2)*BR79+(1-EXP(-LN(2)/2))/(LN(2)/2)*BL80*BO80*VLOOKUP('Données projet'!$B$11,Paramètres!$A$1:$I$89,3,0)*0.475*44/12</f>
        <v>2.4256083142302249</v>
      </c>
      <c r="BS80" s="22">
        <f t="shared" si="63"/>
        <v>66.090374098562236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>
        <f>VLOOKUP(A80,'Données projet'!$A$113:$I$133,2,0)</f>
        <v>202.52</v>
      </c>
      <c r="BW80" s="12">
        <f>VLOOKUP(A80,'Données projet'!$A$113:$I$133,9,0)</f>
        <v>6.7437500000000021</v>
      </c>
      <c r="BX80" s="12">
        <f t="array" ref="BX80">INDEX(BW:BW,MIN(IF(ISNUMBER(BW80:BW276),ROW(BW80:BW276),"")))</f>
        <v>6.7437500000000021</v>
      </c>
      <c r="BY80" s="12">
        <f>IF('Données projet'!$A$114&gt;35,BY79+BX80-CG79,IF(A80&lt;'Données projet'!$A$114,$BV$205^A80,IF(A80='Données projet'!$A$114,'Données projet'!$B$114,BY79+BX80-CG79)))</f>
        <v>202.52000000000004</v>
      </c>
      <c r="BZ80" s="13">
        <f>BY80*VLOOKUP('Données projet'!$B$12,Paramètres!$A$1:$I$89,3,0)*VLOOKUP('Données projet'!$B$12,Paramètres!$A$1:$I$89,5,0)</f>
        <v>195.87734400000005</v>
      </c>
      <c r="CA80" s="13">
        <f t="shared" si="93"/>
        <v>48.8370373231038</v>
      </c>
      <c r="CB80" s="20">
        <f t="shared" si="64"/>
        <v>426.21088080440586</v>
      </c>
      <c r="CC80" s="59">
        <f t="shared" si="65"/>
        <v>719.54421413773912</v>
      </c>
      <c r="CD80" s="59">
        <f ca="1">AVERAGE(OFFSET($CC$3,0,0,'Données projet'!$E$12+1,1))-AVERAGE(OFFSET($H$3,0,0,'Données projet'!$E$12+1,1))</f>
        <v>292.52253679467469</v>
      </c>
      <c r="CE80" s="59">
        <f t="shared" si="94"/>
        <v>155.7114133976541</v>
      </c>
      <c r="CF80" s="15">
        <f>IF(ISNA(VLOOKUP(A80,'Données projet'!$A$113:$I$133,3,0)),0,VLOOKUP(A80,'Données projet'!$A$113:$I$133,3,0))</f>
        <v>3</v>
      </c>
      <c r="CG80" s="15">
        <f>IF(ISNA(VLOOKUP(A80,'Données projet'!$A$113:$I$133,4,0)),0,VLOOKUP(A80,'Données projet'!$A$113:$I$133,4,0))</f>
        <v>33.950000000000017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0.34400000000000003</v>
      </c>
      <c r="CJ80" s="16">
        <f>IF(ISNA(VLOOKUP(A80,'Données projet'!$A$113:$I$133,7,0)),0%,VLOOKUP(A80,'Données projet'!$A$113:$I$133,7,0))</f>
        <v>0.2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41.491811101169567</v>
      </c>
      <c r="CM80" s="21">
        <f>EXP(-LN(2)/2)*CM79+(1-EXP(-LN(2)/2))/(LN(2)/2)*CG80*CJ80*VLOOKUP('Données projet'!$B$12,Paramètres!$A$1:$I$89,3,0)*0.475*44/12</f>
        <v>6.7147628864312123</v>
      </c>
      <c r="CN80" s="22">
        <f t="shared" si="66"/>
        <v>48.206573987600777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-1.1368683772161603E-13</v>
      </c>
      <c r="CU80" s="17">
        <f>CT80*VLOOKUP('Données projet'!$B$13,Paramètres!$A$1:$I$89,3,0)*VLOOKUP('Données projet'!$B$13,Paramètres!$A$1:$I$89,5,0)</f>
        <v>-8.8675733422860506E-14</v>
      </c>
      <c r="CV80" s="13" t="e">
        <f t="shared" si="95"/>
        <v>#NUM!</v>
      </c>
      <c r="CW80" s="20" t="e">
        <f t="shared" si="67"/>
        <v>#NUM!</v>
      </c>
      <c r="CX80" s="59" t="e">
        <f t="shared" si="68"/>
        <v>#NUM!</v>
      </c>
      <c r="CY80" s="59">
        <f ca="1">AVERAGE(OFFSET($CX$3,0,0,'Données projet'!$E$13+1,1))-AVERAGE(OFFSET($H$3,0,0,'Données projet'!$E$13+1,1))</f>
        <v>100.54865094989304</v>
      </c>
      <c r="CZ80" s="59">
        <f t="shared" si="96"/>
        <v>99.95654161405389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23.52462234277996</v>
      </c>
      <c r="DG80" s="21">
        <f>EXP(-LN(2)/25)*DG79+(1-EXP(-LN(2)/25))/(LN(2)/25)*Calculateur!DB80*Calculateur!DD80*VLOOKUP('Données projet'!$B$13,Paramètres!$A$1:$I$89,3,0)*0.475*44/12</f>
        <v>21.739383973356727</v>
      </c>
      <c r="DH80" s="21">
        <f>EXP(-LN(2)/2)*DH79+(1-EXP(-LN(2)/2))/(LN(2)/2)*DB80*DE80*VLOOKUP('Données projet'!$B$13,Paramètres!$A$1:$I$89,3,0)*0.475*44/12</f>
        <v>2.434135482903983</v>
      </c>
      <c r="DI80" s="22">
        <f t="shared" si="69"/>
        <v>47.69814179904067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4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68.140800000000098</v>
      </c>
      <c r="D81" s="11">
        <f t="shared" si="86"/>
        <v>19.211031830304485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674.29484219884239</v>
      </c>
      <c r="H81" s="67">
        <f t="shared" si="56"/>
        <v>445.47110710444713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3.4106051316484809E-13</v>
      </c>
      <c r="O81" s="13">
        <f>N81*VLOOKUP('Données projet'!$B$9,Paramètres!$A$1:$I$89,3,0)*VLOOKUP('Données projet'!$B$9,Paramètres!$A$1:$I$89,5,0)</f>
        <v>1.9065282685915009E-13</v>
      </c>
      <c r="P81" s="13">
        <f t="shared" si="87"/>
        <v>2.6568987209435707E-12</v>
      </c>
      <c r="Q81" s="20">
        <f t="shared" si="54"/>
        <v>4.959485612423072E-12</v>
      </c>
      <c r="R81" s="59">
        <f t="shared" si="55"/>
        <v>293.33333333333826</v>
      </c>
      <c r="S81" s="59">
        <f ca="1">AVERAGE(OFFSET($R$3,0,0,'Données projet'!$E$9+1,1))-AVERAGE(OFFSET($H$3,0,0,'Données projet'!$E$9+1,1))</f>
        <v>324.69474275039357</v>
      </c>
      <c r="T81" s="59">
        <f t="shared" si="88"/>
        <v>437.68177084535927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153.39730456771969</v>
      </c>
      <c r="AA81" s="21">
        <f>EXP(-LN(2)/25)*AA80+(1-EXP(-LN(2)/25))/(LN(2)/25)*Calculateur!V81*Calculateur!X81*VLOOKUP('Données projet'!$B$9,Paramètres!$A$1:$I$89,3,0)*0.475*44/12</f>
        <v>43.695210251433664</v>
      </c>
      <c r="AB81" s="21">
        <f>EXP(-LN(2)/2)*AB80+(1-EXP(-LN(2)/2))/(LN(2)/2)*V81*Y81*VLOOKUP('Données projet'!$B$9,Paramètres!$A$1:$I$89,3,0)*0.475*44/12</f>
        <v>2.234084795216211E-2</v>
      </c>
      <c r="AC81" s="22">
        <f t="shared" si="57"/>
        <v>197.1148556671055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1.1368683772161603E-13</v>
      </c>
      <c r="AJ81" s="13">
        <f>AI81*VLOOKUP('Données projet'!$B$10,Paramètres!$A$1:$I$89,3,0)*VLOOKUP('Données projet'!$B$10,Paramètres!$A$1:$I$89,5,0)</f>
        <v>6.7984728957526396E-14</v>
      </c>
      <c r="AK81" s="13">
        <f t="shared" si="89"/>
        <v>1.0682447123141398E-12</v>
      </c>
      <c r="AL81" s="20">
        <f t="shared" si="58"/>
        <v>1.978932943548152E-12</v>
      </c>
      <c r="AM81" s="59">
        <f t="shared" si="59"/>
        <v>293.3333333333353</v>
      </c>
      <c r="AN81" s="59">
        <f ca="1">AVERAGE(OFFSET($AM$3,0,0,'Données projet'!$E$10+1,1))-AVERAGE(OFFSET($H$3,0,0,'Données projet'!$E$10+1,1))</f>
        <v>214.93913810439858</v>
      </c>
      <c r="AO81" s="59">
        <f t="shared" si="90"/>
        <v>210.65603079265924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97.227747047274619</v>
      </c>
      <c r="AV81" s="21">
        <f>EXP(-LN(2)/25)*AV80+(1-EXP(-LN(2)/25))/(LN(2)/25)*Calculateur!AQ81*Calculateur!AS81*VLOOKUP('Données projet'!$B$10,Paramètres!$A$1:$I$89,3,0)*0.475*44/12</f>
        <v>29.408114433158367</v>
      </c>
      <c r="AW81" s="21">
        <f>EXP(-LN(2)/2)*AW80+(1-EXP(-LN(2)/2))/(LN(2)/2)*AQ81*AT81*VLOOKUP('Données projet'!$B$10,Paramètres!$A$1:$I$89,3,0)*0.475*44/12</f>
        <v>0.1171121930143622</v>
      </c>
      <c r="AX81" s="21">
        <f t="shared" si="60"/>
        <v>126.75297367344736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12.082500000000003</v>
      </c>
      <c r="BD81" s="12">
        <f>IF('Données projet'!$A$88&gt;35,BD80+BC81-BL80,IF(A81&lt;'Données projet'!$A$88,$BA$205^A81,IF(A81='Données projet'!$A$88,'Données projet'!$B$88,BD80+BC81-BL80)))</f>
        <v>387.84000000000003</v>
      </c>
      <c r="BE81" s="13">
        <f>BD81*VLOOKUP('Données projet'!$B$11,Paramètres!$A$1:$I$89,3,0)*VLOOKUP('Données projet'!$B$11,Paramètres!$A$1:$I$89,5,0)</f>
        <v>350.91763200000003</v>
      </c>
      <c r="BF81" s="13">
        <f t="shared" si="91"/>
        <v>81.751432393323299</v>
      </c>
      <c r="BG81" s="20">
        <f t="shared" si="61"/>
        <v>753.56528715170464</v>
      </c>
      <c r="BH81" s="59">
        <f t="shared" si="62"/>
        <v>1046.898620485038</v>
      </c>
      <c r="BI81" s="59">
        <f ca="1">AVERAGE(OFFSET($BH$3,0,0,'Données projet'!$E$11+1,1))-AVERAGE(OFFSET($H$3,0,0,'Données projet'!$E$11+1,1))</f>
        <v>507.69556381324213</v>
      </c>
      <c r="BJ81" s="59">
        <f t="shared" si="92"/>
        <v>129.52638237044044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26.215935127908896</v>
      </c>
      <c r="BQ81" s="21">
        <f>EXP(-LN(2)/25)*BQ80+(1-EXP(-LN(2)/25))/(LN(2)/25)*Calculateur!BL81*Calculateur!BN81*VLOOKUP('Données projet'!$B$11,Paramètres!$A$1:$I$89,3,0)*0.475*44/12</f>
        <v>35.914768193984685</v>
      </c>
      <c r="BR81" s="21">
        <f>EXP(-LN(2)/2)*BR80+(1-EXP(-LN(2)/2))/(LN(2)/2)*BL81*BO81*VLOOKUP('Données projet'!$B$11,Paramètres!$A$1:$I$89,3,0)*0.475*44/12</f>
        <v>1.7151640874946621</v>
      </c>
      <c r="BS81" s="22">
        <f t="shared" si="63"/>
        <v>63.845867409388241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6.7444444444444462</v>
      </c>
      <c r="BY81" s="12">
        <f>IF('Données projet'!$A$114&gt;35,BY80+BX81-CG80,IF(A81&lt;'Données projet'!$A$114,$BV$205^A81,IF(A81='Données projet'!$A$114,'Données projet'!$B$114,BY80+BX81-CG80)))</f>
        <v>175.31444444444446</v>
      </c>
      <c r="BZ81" s="13">
        <f>BY81*VLOOKUP('Données projet'!$B$12,Paramètres!$A$1:$I$89,3,0)*VLOOKUP('Données projet'!$B$12,Paramètres!$A$1:$I$89,5,0)</f>
        <v>169.5641306666667</v>
      </c>
      <c r="CA81" s="13">
        <f t="shared" si="93"/>
        <v>42.992388773200261</v>
      </c>
      <c r="CB81" s="20">
        <f t="shared" si="64"/>
        <v>370.20260469110161</v>
      </c>
      <c r="CC81" s="59">
        <f t="shared" si="65"/>
        <v>663.53593802443493</v>
      </c>
      <c r="CD81" s="59">
        <f ca="1">AVERAGE(OFFSET($CC$3,0,0,'Données projet'!$E$12+1,1))-AVERAGE(OFFSET($H$3,0,0,'Données projet'!$E$12+1,1))</f>
        <v>292.52253679467469</v>
      </c>
      <c r="CE81" s="59">
        <f t="shared" si="94"/>
        <v>155.7114133976541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40.357215344648573</v>
      </c>
      <c r="CM81" s="21">
        <f>EXP(-LN(2)/2)*CM80+(1-EXP(-LN(2)/2))/(LN(2)/2)*CG81*CJ81*VLOOKUP('Données projet'!$B$12,Paramètres!$A$1:$I$89,3,0)*0.475*44/12</f>
        <v>4.7480543710552663</v>
      </c>
      <c r="CN81" s="22">
        <f t="shared" si="66"/>
        <v>45.105269715703841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-1.1368683772161603E-13</v>
      </c>
      <c r="CU81" s="17">
        <f>CT81*VLOOKUP('Données projet'!$B$13,Paramètres!$A$1:$I$89,3,0)*VLOOKUP('Données projet'!$B$13,Paramètres!$A$1:$I$89,5,0)</f>
        <v>-8.8675733422860506E-14</v>
      </c>
      <c r="CV81" s="13" t="e">
        <f t="shared" si="95"/>
        <v>#NUM!</v>
      </c>
      <c r="CW81" s="20" t="e">
        <f t="shared" si="67"/>
        <v>#NUM!</v>
      </c>
      <c r="CX81" s="59" t="e">
        <f t="shared" si="68"/>
        <v>#NUM!</v>
      </c>
      <c r="CY81" s="59">
        <f ca="1">AVERAGE(OFFSET($CX$3,0,0,'Données projet'!$E$13+1,1))-AVERAGE(OFFSET($H$3,0,0,'Données projet'!$E$13+1,1))</f>
        <v>100.54865094989304</v>
      </c>
      <c r="CZ81" s="59">
        <f t="shared" si="96"/>
        <v>99.95654161405389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23.063318847240868</v>
      </c>
      <c r="DG81" s="21">
        <f>EXP(-LN(2)/25)*DG80+(1-EXP(-LN(2)/25))/(LN(2)/25)*Calculateur!DB81*Calculateur!DD81*VLOOKUP('Données projet'!$B$13,Paramètres!$A$1:$I$89,3,0)*0.475*44/12</f>
        <v>21.14491937538077</v>
      </c>
      <c r="DH81" s="21">
        <f>EXP(-LN(2)/2)*DH80+(1-EXP(-LN(2)/2))/(LN(2)/2)*DB81*DE81*VLOOKUP('Données projet'!$B$13,Paramètres!$A$1:$I$89,3,0)*0.475*44/12</f>
        <v>1.7211937062881979</v>
      </c>
      <c r="DI81" s="22">
        <f t="shared" si="69"/>
        <v>45.929431928909835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4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69.014400000000094</v>
      </c>
      <c r="D82" s="11">
        <f t="shared" si="86"/>
        <v>19.428496726251062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682.71709753597372</v>
      </c>
      <c r="H82" s="67">
        <f t="shared" si="56"/>
        <v>447.37137846488741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3.4106051316484809E-13</v>
      </c>
      <c r="O82" s="13">
        <f>N82*VLOOKUP('Données projet'!$B$9,Paramètres!$A$1:$I$89,3,0)*VLOOKUP('Données projet'!$B$9,Paramètres!$A$1:$I$89,5,0)</f>
        <v>1.9065282685915009E-13</v>
      </c>
      <c r="P82" s="13">
        <f t="shared" si="87"/>
        <v>2.6568987209435707E-12</v>
      </c>
      <c r="Q82" s="20">
        <f t="shared" si="54"/>
        <v>4.959485612423072E-12</v>
      </c>
      <c r="R82" s="59">
        <f t="shared" si="55"/>
        <v>293.33333333333826</v>
      </c>
      <c r="S82" s="59">
        <f ca="1">AVERAGE(OFFSET($R$3,0,0,'Données projet'!$E$9+1,1))-AVERAGE(OFFSET($H$3,0,0,'Données projet'!$E$9+1,1))</f>
        <v>324.69474275039357</v>
      </c>
      <c r="T82" s="59">
        <f t="shared" si="88"/>
        <v>437.68177084535927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150.3892769882639</v>
      </c>
      <c r="AA82" s="21">
        <f>EXP(-LN(2)/25)*AA81+(1-EXP(-LN(2)/25))/(LN(2)/25)*Calculateur!V82*Calculateur!X82*VLOOKUP('Données projet'!$B$9,Paramètres!$A$1:$I$89,3,0)*0.475*44/12</f>
        <v>42.500362429276969</v>
      </c>
      <c r="AB82" s="21">
        <f>EXP(-LN(2)/2)*AB81+(1-EXP(-LN(2)/2))/(LN(2)/2)*V82*Y82*VLOOKUP('Données projet'!$B$9,Paramètres!$A$1:$I$89,3,0)*0.475*44/12</f>
        <v>1.5797365084431421E-2</v>
      </c>
      <c r="AC82" s="22">
        <f t="shared" si="57"/>
        <v>192.90543678262532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1.1368683772161603E-13</v>
      </c>
      <c r="AJ82" s="13">
        <f>AI82*VLOOKUP('Données projet'!$B$10,Paramètres!$A$1:$I$89,3,0)*VLOOKUP('Données projet'!$B$10,Paramètres!$A$1:$I$89,5,0)</f>
        <v>6.7984728957526396E-14</v>
      </c>
      <c r="AK82" s="13">
        <f t="shared" si="89"/>
        <v>1.0682447123141398E-12</v>
      </c>
      <c r="AL82" s="20">
        <f t="shared" si="58"/>
        <v>1.978932943548152E-12</v>
      </c>
      <c r="AM82" s="59">
        <f t="shared" si="59"/>
        <v>293.3333333333353</v>
      </c>
      <c r="AN82" s="59">
        <f ca="1">AVERAGE(OFFSET($AM$3,0,0,'Données projet'!$E$10+1,1))-AVERAGE(OFFSET($H$3,0,0,'Données projet'!$E$10+1,1))</f>
        <v>214.93913810439858</v>
      </c>
      <c r="AO82" s="59">
        <f t="shared" si="90"/>
        <v>210.65603079265924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95.321170230747569</v>
      </c>
      <c r="AV82" s="21">
        <f>EXP(-LN(2)/25)*AV81+(1-EXP(-LN(2)/25))/(LN(2)/25)*Calculateur!AQ82*Calculateur!AS82*VLOOKUP('Données projet'!$B$10,Paramètres!$A$1:$I$89,3,0)*0.475*44/12</f>
        <v>28.603947997478127</v>
      </c>
      <c r="AW82" s="21">
        <f>EXP(-LN(2)/2)*AW81+(1-EXP(-LN(2)/2))/(LN(2)/2)*AQ82*AT82*VLOOKUP('Données projet'!$B$10,Paramètres!$A$1:$I$89,3,0)*0.475*44/12</f>
        <v>8.2810825840083341E-2</v>
      </c>
      <c r="AX82" s="21">
        <f t="shared" si="60"/>
        <v>124.00792905406578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12.082500000000003</v>
      </c>
      <c r="BD82" s="12">
        <f>IF('Données projet'!$A$88&gt;35,BD81+BC82-BL81,IF(A82&lt;'Données projet'!$A$88,$BA$205^A82,IF(A82='Données projet'!$A$88,'Données projet'!$B$88,BD81+BC82-BL81)))</f>
        <v>399.92250000000001</v>
      </c>
      <c r="BE82" s="13">
        <f>BD82*VLOOKUP('Données projet'!$B$11,Paramètres!$A$1:$I$89,3,0)*VLOOKUP('Données projet'!$B$11,Paramètres!$A$1:$I$89,5,0)</f>
        <v>361.84987799999999</v>
      </c>
      <c r="BF82" s="13">
        <f t="shared" si="91"/>
        <v>83.997775738072022</v>
      </c>
      <c r="BG82" s="20">
        <f t="shared" si="61"/>
        <v>776.51799692714212</v>
      </c>
      <c r="BH82" s="59">
        <f t="shared" si="62"/>
        <v>1069.8513302604754</v>
      </c>
      <c r="BI82" s="59">
        <f ca="1">AVERAGE(OFFSET($BH$3,0,0,'Données projet'!$E$11+1,1))-AVERAGE(OFFSET($H$3,0,0,'Données projet'!$E$11+1,1))</f>
        <v>507.69556381324213</v>
      </c>
      <c r="BJ82" s="59">
        <f t="shared" si="92"/>
        <v>129.52638237044044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25.701856630192136</v>
      </c>
      <c r="BQ82" s="21">
        <f>EXP(-LN(2)/25)*BQ81+(1-EXP(-LN(2)/25))/(LN(2)/25)*Calculateur!BL82*Calculateur!BN82*VLOOKUP('Données projet'!$B$11,Paramètres!$A$1:$I$89,3,0)*0.475*44/12</f>
        <v>34.9326769690446</v>
      </c>
      <c r="BR82" s="21">
        <f>EXP(-LN(2)/2)*BR81+(1-EXP(-LN(2)/2))/(LN(2)/2)*BL82*BO82*VLOOKUP('Données projet'!$B$11,Paramètres!$A$1:$I$89,3,0)*0.475*44/12</f>
        <v>1.2128041571151125</v>
      </c>
      <c r="BS82" s="22">
        <f t="shared" si="63"/>
        <v>61.847337756351848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6.7444444444444462</v>
      </c>
      <c r="BY82" s="12">
        <f>IF('Données projet'!$A$114&gt;35,BY81+BX82-CG81,IF(A82&lt;'Données projet'!$A$114,$BV$205^A82,IF(A82='Données projet'!$A$114,'Données projet'!$B$114,BY81+BX82-CG81)))</f>
        <v>182.0588888888889</v>
      </c>
      <c r="BZ82" s="13">
        <f>BY82*VLOOKUP('Données projet'!$B$12,Paramètres!$A$1:$I$89,3,0)*VLOOKUP('Données projet'!$B$12,Paramètres!$A$1:$I$89,5,0)</f>
        <v>176.08735733333333</v>
      </c>
      <c r="CA82" s="13">
        <f t="shared" si="93"/>
        <v>44.450585000092076</v>
      </c>
      <c r="CB82" s="20">
        <f t="shared" si="64"/>
        <v>384.10358289738252</v>
      </c>
      <c r="CC82" s="59">
        <f t="shared" si="65"/>
        <v>677.43691623071584</v>
      </c>
      <c r="CD82" s="59">
        <f ca="1">AVERAGE(OFFSET($CC$3,0,0,'Données projet'!$E$12+1,1))-AVERAGE(OFFSET($H$3,0,0,'Données projet'!$E$12+1,1))</f>
        <v>292.52253679467469</v>
      </c>
      <c r="CE82" s="59">
        <f t="shared" si="94"/>
        <v>155.7114133976541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39.25364516875544</v>
      </c>
      <c r="CM82" s="21">
        <f>EXP(-LN(2)/2)*CM81+(1-EXP(-LN(2)/2))/(LN(2)/2)*CG82*CJ82*VLOOKUP('Données projet'!$B$12,Paramètres!$A$1:$I$89,3,0)*0.475*44/12</f>
        <v>3.3573814432156071</v>
      </c>
      <c r="CN82" s="22">
        <f t="shared" si="66"/>
        <v>42.611026611971049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-1.1368683772161603E-13</v>
      </c>
      <c r="CU82" s="17">
        <f>CT82*VLOOKUP('Données projet'!$B$13,Paramètres!$A$1:$I$89,3,0)*VLOOKUP('Données projet'!$B$13,Paramètres!$A$1:$I$89,5,0)</f>
        <v>-8.8675733422860506E-14</v>
      </c>
      <c r="CV82" s="13" t="e">
        <f t="shared" si="95"/>
        <v>#NUM!</v>
      </c>
      <c r="CW82" s="20" t="e">
        <f t="shared" si="67"/>
        <v>#NUM!</v>
      </c>
      <c r="CX82" s="59" t="e">
        <f t="shared" si="68"/>
        <v>#NUM!</v>
      </c>
      <c r="CY82" s="59">
        <f ca="1">AVERAGE(OFFSET($CX$3,0,0,'Données projet'!$E$13+1,1))-AVERAGE(OFFSET($H$3,0,0,'Données projet'!$E$13+1,1))</f>
        <v>100.54865094989304</v>
      </c>
      <c r="CZ82" s="59">
        <f t="shared" si="96"/>
        <v>99.95654161405389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22.611061231881948</v>
      </c>
      <c r="DG82" s="21">
        <f>EXP(-LN(2)/25)*DG81+(1-EXP(-LN(2)/25))/(LN(2)/25)*Calculateur!DB82*Calculateur!DD82*VLOOKUP('Données projet'!$B$13,Paramètres!$A$1:$I$89,3,0)*0.475*44/12</f>
        <v>20.566710443098</v>
      </c>
      <c r="DH82" s="21">
        <f>EXP(-LN(2)/2)*DH81+(1-EXP(-LN(2)/2))/(LN(2)/2)*DB82*DE82*VLOOKUP('Données projet'!$B$13,Paramètres!$A$1:$I$89,3,0)*0.475*44/12</f>
        <v>1.2170677414519915</v>
      </c>
      <c r="DI82" s="22">
        <f t="shared" si="69"/>
        <v>44.394839416431942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4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69.88800000000009</v>
      </c>
      <c r="D83" s="11">
        <f t="shared" si="86"/>
        <v>19.645641432461971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691.13688123304053</v>
      </c>
      <c r="H83" s="67">
        <f t="shared" si="56"/>
        <v>449.27109216153804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3.4106051316484809E-13</v>
      </c>
      <c r="O83" s="13">
        <f>N83*VLOOKUP('Données projet'!$B$9,Paramètres!$A$1:$I$89,3,0)*VLOOKUP('Données projet'!$B$9,Paramètres!$A$1:$I$89,5,0)</f>
        <v>1.9065282685915009E-13</v>
      </c>
      <c r="P83" s="13">
        <f t="shared" si="87"/>
        <v>2.6568987209435707E-12</v>
      </c>
      <c r="Q83" s="20">
        <f t="shared" si="54"/>
        <v>4.959485612423072E-12</v>
      </c>
      <c r="R83" s="59">
        <f t="shared" si="55"/>
        <v>293.33333333333826</v>
      </c>
      <c r="S83" s="59">
        <f ca="1">AVERAGE(OFFSET($R$3,0,0,'Données projet'!$E$9+1,1))-AVERAGE(OFFSET($H$3,0,0,'Données projet'!$E$9+1,1))</f>
        <v>324.69474275039357</v>
      </c>
      <c r="T83" s="59">
        <f t="shared" si="88"/>
        <v>437.68177084535927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147.44023499492559</v>
      </c>
      <c r="AA83" s="21">
        <f>EXP(-LN(2)/25)*AA82+(1-EXP(-LN(2)/25))/(LN(2)/25)*Calculateur!V83*Calculateur!X83*VLOOKUP('Données projet'!$B$9,Paramètres!$A$1:$I$89,3,0)*0.475*44/12</f>
        <v>41.338187783651463</v>
      </c>
      <c r="AB83" s="21">
        <f>EXP(-LN(2)/2)*AB82+(1-EXP(-LN(2)/2))/(LN(2)/2)*V83*Y83*VLOOKUP('Données projet'!$B$9,Paramètres!$A$1:$I$89,3,0)*0.475*44/12</f>
        <v>1.1170423976081055E-2</v>
      </c>
      <c r="AC83" s="22">
        <f t="shared" si="57"/>
        <v>188.78959320255314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1.1368683772161603E-13</v>
      </c>
      <c r="AJ83" s="13">
        <f>AI83*VLOOKUP('Données projet'!$B$10,Paramètres!$A$1:$I$89,3,0)*VLOOKUP('Données projet'!$B$10,Paramètres!$A$1:$I$89,5,0)</f>
        <v>6.7984728957526396E-14</v>
      </c>
      <c r="AK83" s="13">
        <f t="shared" si="89"/>
        <v>1.0682447123141398E-12</v>
      </c>
      <c r="AL83" s="20">
        <f t="shared" si="58"/>
        <v>1.978932943548152E-12</v>
      </c>
      <c r="AM83" s="59">
        <f t="shared" si="59"/>
        <v>293.3333333333353</v>
      </c>
      <c r="AN83" s="59">
        <f ca="1">AVERAGE(OFFSET($AM$3,0,0,'Données projet'!$E$10+1,1))-AVERAGE(OFFSET($H$3,0,0,'Données projet'!$E$10+1,1))</f>
        <v>214.93913810439858</v>
      </c>
      <c r="AO83" s="59">
        <f t="shared" si="90"/>
        <v>210.65603079265924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93.451980222695582</v>
      </c>
      <c r="AV83" s="21">
        <f>EXP(-LN(2)/25)*AV82+(1-EXP(-LN(2)/25))/(LN(2)/25)*Calculateur!AQ83*Calculateur!AS83*VLOOKUP('Données projet'!$B$10,Paramètres!$A$1:$I$89,3,0)*0.475*44/12</f>
        <v>27.821771535270837</v>
      </c>
      <c r="AW83" s="21">
        <f>EXP(-LN(2)/2)*AW82+(1-EXP(-LN(2)/2))/(LN(2)/2)*AQ83*AT83*VLOOKUP('Données projet'!$B$10,Paramètres!$A$1:$I$89,3,0)*0.475*44/12</f>
        <v>5.8556096507181112E-2</v>
      </c>
      <c r="AX83" s="21">
        <f t="shared" si="60"/>
        <v>121.3323078544736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12.082500000000003</v>
      </c>
      <c r="BD83" s="12">
        <f>IF('Données projet'!$A$88&gt;35,BD82+BC83-BL82,IF(A83&lt;'Données projet'!$A$88,$BA$205^A83,IF(A83='Données projet'!$A$88,'Données projet'!$B$88,BD82+BC83-BL82)))</f>
        <v>412.005</v>
      </c>
      <c r="BE83" s="13">
        <f>BD83*VLOOKUP('Données projet'!$B$11,Paramètres!$A$1:$I$89,3,0)*VLOOKUP('Données projet'!$B$11,Paramètres!$A$1:$I$89,5,0)</f>
        <v>372.78212400000001</v>
      </c>
      <c r="BF83" s="13">
        <f t="shared" si="91"/>
        <v>86.236231998585495</v>
      </c>
      <c r="BG83" s="20">
        <f t="shared" si="61"/>
        <v>799.45697003086968</v>
      </c>
      <c r="BH83" s="59">
        <f t="shared" si="62"/>
        <v>1092.7903033642031</v>
      </c>
      <c r="BI83" s="59">
        <f ca="1">AVERAGE(OFFSET($BH$3,0,0,'Données projet'!$E$11+1,1))-AVERAGE(OFFSET($H$3,0,0,'Données projet'!$E$11+1,1))</f>
        <v>507.69556381324213</v>
      </c>
      <c r="BJ83" s="59">
        <f t="shared" si="92"/>
        <v>129.52638237044044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25.19785889825868</v>
      </c>
      <c r="BQ83" s="21">
        <f>EXP(-LN(2)/25)*BQ82+(1-EXP(-LN(2)/25))/(LN(2)/25)*Calculateur!BL83*Calculateur!BN83*VLOOKUP('Données projet'!$B$11,Paramètres!$A$1:$I$89,3,0)*0.475*44/12</f>
        <v>33.97744108029643</v>
      </c>
      <c r="BR83" s="21">
        <f>EXP(-LN(2)/2)*BR82+(1-EXP(-LN(2)/2))/(LN(2)/2)*BL83*BO83*VLOOKUP('Données projet'!$B$11,Paramètres!$A$1:$I$89,3,0)*0.475*44/12</f>
        <v>0.85758204374733105</v>
      </c>
      <c r="BS83" s="22">
        <f t="shared" si="63"/>
        <v>60.032882022302438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6.7444444444444462</v>
      </c>
      <c r="BY83" s="12">
        <f>IF('Données projet'!$A$114&gt;35,BY82+BX83-CG82,IF(A83&lt;'Données projet'!$A$114,$BV$205^A83,IF(A83='Données projet'!$A$114,'Données projet'!$B$114,BY82+BX83-CG82)))</f>
        <v>188.80333333333334</v>
      </c>
      <c r="BZ83" s="13">
        <f>BY83*VLOOKUP('Données projet'!$B$12,Paramètres!$A$1:$I$89,3,0)*VLOOKUP('Données projet'!$B$12,Paramètres!$A$1:$I$89,5,0)</f>
        <v>182.61058400000002</v>
      </c>
      <c r="CA83" s="13">
        <f t="shared" si="93"/>
        <v>45.9025053826808</v>
      </c>
      <c r="CB83" s="20">
        <f t="shared" si="64"/>
        <v>397.99363067483574</v>
      </c>
      <c r="CC83" s="59">
        <f t="shared" si="65"/>
        <v>691.32696400816906</v>
      </c>
      <c r="CD83" s="59">
        <f ca="1">AVERAGE(OFFSET($CC$3,0,0,'Données projet'!$E$12+1,1))-AVERAGE(OFFSET($H$3,0,0,'Données projet'!$E$12+1,1))</f>
        <v>292.52253679467469</v>
      </c>
      <c r="CE83" s="59">
        <f t="shared" si="94"/>
        <v>155.7114133976541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38.180252177356337</v>
      </c>
      <c r="CM83" s="21">
        <f>EXP(-LN(2)/2)*CM82+(1-EXP(-LN(2)/2))/(LN(2)/2)*CG83*CJ83*VLOOKUP('Données projet'!$B$12,Paramètres!$A$1:$I$89,3,0)*0.475*44/12</f>
        <v>2.3740271855276336</v>
      </c>
      <c r="CN83" s="22">
        <f t="shared" si="66"/>
        <v>40.554279362883968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-1.1368683772161603E-13</v>
      </c>
      <c r="CU83" s="17">
        <f>CT83*VLOOKUP('Données projet'!$B$13,Paramètres!$A$1:$I$89,3,0)*VLOOKUP('Données projet'!$B$13,Paramètres!$A$1:$I$89,5,0)</f>
        <v>-8.8675733422860506E-14</v>
      </c>
      <c r="CV83" s="13" t="e">
        <f t="shared" si="95"/>
        <v>#NUM!</v>
      </c>
      <c r="CW83" s="20" t="e">
        <f t="shared" si="67"/>
        <v>#NUM!</v>
      </c>
      <c r="CX83" s="59" t="e">
        <f t="shared" si="68"/>
        <v>#NUM!</v>
      </c>
      <c r="CY83" s="59">
        <f ca="1">AVERAGE(OFFSET($CX$3,0,0,'Données projet'!$E$13+1,1))-AVERAGE(OFFSET($H$3,0,0,'Données projet'!$E$13+1,1))</f>
        <v>100.54865094989304</v>
      </c>
      <c r="CZ83" s="59">
        <f t="shared" si="96"/>
        <v>99.95654161405389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22.167672112510306</v>
      </c>
      <c r="DG83" s="21">
        <f>EXP(-LN(2)/25)*DG82+(1-EXP(-LN(2)/25))/(LN(2)/25)*Calculateur!DB83*Calculateur!DD83*VLOOKUP('Données projet'!$B$13,Paramètres!$A$1:$I$89,3,0)*0.475*44/12</f>
        <v>20.00431266447519</v>
      </c>
      <c r="DH83" s="21">
        <f>EXP(-LN(2)/2)*DH82+(1-EXP(-LN(2)/2))/(LN(2)/2)*DB83*DE83*VLOOKUP('Données projet'!$B$13,Paramètres!$A$1:$I$89,3,0)*0.475*44/12</f>
        <v>0.86059685314409895</v>
      </c>
      <c r="DI83" s="22">
        <f t="shared" si="69"/>
        <v>43.032581630129599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4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70.761600000000087</v>
      </c>
      <c r="D84" s="11">
        <f t="shared" si="86"/>
        <v>19.862470414169785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699.55422775850423</v>
      </c>
      <c r="H84" s="67">
        <f t="shared" si="56"/>
        <v>451.1702559713458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3.4106051316484809E-13</v>
      </c>
      <c r="O84" s="13">
        <f>N84*VLOOKUP('Données projet'!$B$9,Paramètres!$A$1:$I$89,3,0)*VLOOKUP('Données projet'!$B$9,Paramètres!$A$1:$I$89,5,0)</f>
        <v>1.9065282685915009E-13</v>
      </c>
      <c r="P84" s="13">
        <f t="shared" si="87"/>
        <v>2.6568987209435707E-12</v>
      </c>
      <c r="Q84" s="20">
        <f t="shared" si="54"/>
        <v>4.959485612423072E-12</v>
      </c>
      <c r="R84" s="59">
        <f t="shared" si="55"/>
        <v>293.33333333333826</v>
      </c>
      <c r="S84" s="59">
        <f ca="1">AVERAGE(OFFSET($R$3,0,0,'Données projet'!$E$9+1,1))-AVERAGE(OFFSET($H$3,0,0,'Données projet'!$E$9+1,1))</f>
        <v>324.69474275039357</v>
      </c>
      <c r="T84" s="59">
        <f t="shared" si="88"/>
        <v>437.68177084535927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144.54902191633863</v>
      </c>
      <c r="AA84" s="21">
        <f>EXP(-LN(2)/25)*AA83+(1-EXP(-LN(2)/25))/(LN(2)/25)*Calculateur!V84*Calculateur!X84*VLOOKUP('Données projet'!$B$9,Paramètres!$A$1:$I$89,3,0)*0.475*44/12</f>
        <v>40.2077928648267</v>
      </c>
      <c r="AB84" s="21">
        <f>EXP(-LN(2)/2)*AB83+(1-EXP(-LN(2)/2))/(LN(2)/2)*V84*Y84*VLOOKUP('Données projet'!$B$9,Paramètres!$A$1:$I$89,3,0)*0.475*44/12</f>
        <v>7.8986825422157105E-3</v>
      </c>
      <c r="AC84" s="22">
        <f t="shared" si="57"/>
        <v>184.76471346370755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1.1368683772161603E-13</v>
      </c>
      <c r="AJ84" s="13">
        <f>AI84*VLOOKUP('Données projet'!$B$10,Paramètres!$A$1:$I$89,3,0)*VLOOKUP('Données projet'!$B$10,Paramètres!$A$1:$I$89,5,0)</f>
        <v>6.7984728957526396E-14</v>
      </c>
      <c r="AK84" s="13">
        <f t="shared" si="89"/>
        <v>1.0682447123141398E-12</v>
      </c>
      <c r="AL84" s="20">
        <f t="shared" si="58"/>
        <v>1.978932943548152E-12</v>
      </c>
      <c r="AM84" s="59">
        <f t="shared" si="59"/>
        <v>293.3333333333353</v>
      </c>
      <c r="AN84" s="59">
        <f ca="1">AVERAGE(OFFSET($AM$3,0,0,'Données projet'!$E$10+1,1))-AVERAGE(OFFSET($H$3,0,0,'Données projet'!$E$10+1,1))</f>
        <v>214.93913810439858</v>
      </c>
      <c r="AO84" s="59">
        <f t="shared" si="90"/>
        <v>210.65603079265924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91.619443890608167</v>
      </c>
      <c r="AV84" s="21">
        <f>EXP(-LN(2)/25)*AV83+(1-EXP(-LN(2)/25))/(LN(2)/25)*Calculateur!AQ84*Calculateur!AS84*VLOOKUP('Données projet'!$B$10,Paramètres!$A$1:$I$89,3,0)*0.475*44/12</f>
        <v>27.060983729555478</v>
      </c>
      <c r="AW84" s="21">
        <f>EXP(-LN(2)/2)*AW83+(1-EXP(-LN(2)/2))/(LN(2)/2)*AQ84*AT84*VLOOKUP('Données projet'!$B$10,Paramètres!$A$1:$I$89,3,0)*0.475*44/12</f>
        <v>4.1405412920041677E-2</v>
      </c>
      <c r="AX84" s="21">
        <f t="shared" si="60"/>
        <v>118.72183303308368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12.082500000000003</v>
      </c>
      <c r="BD84" s="12">
        <f>IF('Données projet'!$A$88&gt;35,BD83+BC84-BL83,IF(A84&lt;'Données projet'!$A$88,$BA$205^A84,IF(A84='Données projet'!$A$88,'Données projet'!$B$88,BD83+BC84-BL83)))</f>
        <v>424.08749999999998</v>
      </c>
      <c r="BE84" s="13">
        <f>BD84*VLOOKUP('Données projet'!$B$11,Paramètres!$A$1:$I$89,3,0)*VLOOKUP('Données projet'!$B$11,Paramètres!$A$1:$I$89,5,0)</f>
        <v>383.71436999999997</v>
      </c>
      <c r="BF84" s="13">
        <f t="shared" si="91"/>
        <v>88.467059030009779</v>
      </c>
      <c r="BG84" s="20">
        <f t="shared" si="61"/>
        <v>822.38265556060048</v>
      </c>
      <c r="BH84" s="59">
        <f t="shared" si="62"/>
        <v>1115.7159888939339</v>
      </c>
      <c r="BI84" s="59">
        <f ca="1">AVERAGE(OFFSET($BH$3,0,0,'Données projet'!$E$11+1,1))-AVERAGE(OFFSET($H$3,0,0,'Données projet'!$E$11+1,1))</f>
        <v>507.69556381324213</v>
      </c>
      <c r="BJ84" s="59">
        <f t="shared" si="92"/>
        <v>129.52638237044044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24.703744254440174</v>
      </c>
      <c r="BQ84" s="21">
        <f>EXP(-LN(2)/25)*BQ83+(1-EXP(-LN(2)/25))/(LN(2)/25)*Calculateur!BL84*Calculateur!BN84*VLOOKUP('Données projet'!$B$11,Paramètres!$A$1:$I$89,3,0)*0.475*44/12</f>
        <v>33.048326167159757</v>
      </c>
      <c r="BR84" s="21">
        <f>EXP(-LN(2)/2)*BR83+(1-EXP(-LN(2)/2))/(LN(2)/2)*BL84*BO84*VLOOKUP('Données projet'!$B$11,Paramètres!$A$1:$I$89,3,0)*0.475*44/12</f>
        <v>0.60640207855755623</v>
      </c>
      <c r="BS84" s="22">
        <f t="shared" si="63"/>
        <v>58.35847250015749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6.7444444444444462</v>
      </c>
      <c r="BY84" s="12">
        <f>IF('Données projet'!$A$114&gt;35,BY83+BX84-CG83,IF(A84&lt;'Données projet'!$A$114,$BV$205^A84,IF(A84='Données projet'!$A$114,'Données projet'!$B$114,BY83+BX84-CG83)))</f>
        <v>195.54777777777778</v>
      </c>
      <c r="BZ84" s="13">
        <f>BY84*VLOOKUP('Données projet'!$B$12,Paramètres!$A$1:$I$89,3,0)*VLOOKUP('Données projet'!$B$12,Paramètres!$A$1:$I$89,5,0)</f>
        <v>189.13381066666668</v>
      </c>
      <c r="CA84" s="13">
        <f t="shared" si="93"/>
        <v>47.348399790775353</v>
      </c>
      <c r="CB84" s="20">
        <f t="shared" si="64"/>
        <v>411.87318321337824</v>
      </c>
      <c r="CC84" s="59">
        <f t="shared" si="65"/>
        <v>705.20651654671155</v>
      </c>
      <c r="CD84" s="59">
        <f ca="1">AVERAGE(OFFSET($CC$3,0,0,'Données projet'!$E$12+1,1))-AVERAGE(OFFSET($H$3,0,0,'Données projet'!$E$12+1,1))</f>
        <v>292.52253679467469</v>
      </c>
      <c r="CE84" s="59">
        <f t="shared" si="94"/>
        <v>155.7114133976541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37.136211173754326</v>
      </c>
      <c r="CM84" s="21">
        <f>EXP(-LN(2)/2)*CM83+(1-EXP(-LN(2)/2))/(LN(2)/2)*CG84*CJ84*VLOOKUP('Données projet'!$B$12,Paramètres!$A$1:$I$89,3,0)*0.475*44/12</f>
        <v>1.6786907216078037</v>
      </c>
      <c r="CN84" s="22">
        <f t="shared" si="66"/>
        <v>38.814901895362127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-1.1368683772161603E-13</v>
      </c>
      <c r="CU84" s="17">
        <f>CT84*VLOOKUP('Données projet'!$B$13,Paramètres!$A$1:$I$89,3,0)*VLOOKUP('Données projet'!$B$13,Paramètres!$A$1:$I$89,5,0)</f>
        <v>-8.8675733422860506E-14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100.54865094989304</v>
      </c>
      <c r="CZ84" s="59">
        <f t="shared" si="96"/>
        <v>99.95654161405389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21.732977583328886</v>
      </c>
      <c r="DG84" s="21">
        <f>EXP(-LN(2)/25)*DG83+(1-EXP(-LN(2)/25))/(LN(2)/25)*Calculateur!DB84*Calculateur!DD84*VLOOKUP('Données projet'!$B$13,Paramètres!$A$1:$I$89,3,0)*0.475*44/12</f>
        <v>19.457293682684032</v>
      </c>
      <c r="DH84" s="21">
        <f>EXP(-LN(2)/2)*DH83+(1-EXP(-LN(2)/2))/(LN(2)/2)*DB84*DE84*VLOOKUP('Données projet'!$B$13,Paramètres!$A$1:$I$89,3,0)*0.475*44/12</f>
        <v>0.60853387072599574</v>
      </c>
      <c r="DI84" s="22">
        <f t="shared" si="69"/>
        <v>41.798805136738906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4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71.635200000000083</v>
      </c>
      <c r="D85" s="11">
        <f t="shared" si="86"/>
        <v>20.078988020012666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707.96917068080029</v>
      </c>
      <c r="H85" s="67">
        <f t="shared" si="56"/>
        <v>453.06887746818882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3.4106051316484809E-13</v>
      </c>
      <c r="O85" s="13">
        <f>N85*VLOOKUP('Données projet'!$B$9,Paramètres!$A$1:$I$89,3,0)*VLOOKUP('Données projet'!$B$9,Paramètres!$A$1:$I$89,5,0)</f>
        <v>1.9065282685915009E-13</v>
      </c>
      <c r="P85" s="13">
        <f t="shared" si="87"/>
        <v>2.6568987209435707E-12</v>
      </c>
      <c r="Q85" s="20">
        <f t="shared" si="54"/>
        <v>4.959485612423072E-12</v>
      </c>
      <c r="R85" s="59">
        <f t="shared" si="55"/>
        <v>293.33333333333826</v>
      </c>
      <c r="S85" s="59">
        <f ca="1">AVERAGE(OFFSET($R$3,0,0,'Données projet'!$E$9+1,1))-AVERAGE(OFFSET($H$3,0,0,'Données projet'!$E$9+1,1))</f>
        <v>324.69474275039357</v>
      </c>
      <c r="T85" s="59">
        <f t="shared" si="88"/>
        <v>437.68177084535927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141.71450376275692</v>
      </c>
      <c r="AA85" s="21">
        <f>EXP(-LN(2)/25)*AA84+(1-EXP(-LN(2)/25))/(LN(2)/25)*Calculateur!V85*Calculateur!X85*VLOOKUP('Données projet'!$B$9,Paramètres!$A$1:$I$89,3,0)*0.475*44/12</f>
        <v>39.108308654502082</v>
      </c>
      <c r="AB85" s="21">
        <f>EXP(-LN(2)/2)*AB84+(1-EXP(-LN(2)/2))/(LN(2)/2)*V85*Y85*VLOOKUP('Données projet'!$B$9,Paramètres!$A$1:$I$89,3,0)*0.475*44/12</f>
        <v>5.5852119880405275E-3</v>
      </c>
      <c r="AC85" s="22">
        <f t="shared" si="57"/>
        <v>180.82839762924704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1.1368683772161603E-13</v>
      </c>
      <c r="AJ85" s="13">
        <f>AI85*VLOOKUP('Données projet'!$B$10,Paramètres!$A$1:$I$89,3,0)*VLOOKUP('Données projet'!$B$10,Paramètres!$A$1:$I$89,5,0)</f>
        <v>6.7984728957526396E-14</v>
      </c>
      <c r="AK85" s="13">
        <f t="shared" si="89"/>
        <v>1.0682447123141398E-12</v>
      </c>
      <c r="AL85" s="20">
        <f t="shared" si="58"/>
        <v>1.978932943548152E-12</v>
      </c>
      <c r="AM85" s="59">
        <f t="shared" si="59"/>
        <v>293.3333333333353</v>
      </c>
      <c r="AN85" s="59">
        <f ca="1">AVERAGE(OFFSET($AM$3,0,0,'Données projet'!$E$10+1,1))-AVERAGE(OFFSET($H$3,0,0,'Données projet'!$E$10+1,1))</f>
        <v>214.93913810439858</v>
      </c>
      <c r="AO85" s="59">
        <f t="shared" si="90"/>
        <v>210.65603079265924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89.822842478256192</v>
      </c>
      <c r="AV85" s="21">
        <f>EXP(-LN(2)/25)*AV84+(1-EXP(-LN(2)/25))/(LN(2)/25)*Calculateur!AQ85*Calculateur!AS85*VLOOKUP('Données projet'!$B$10,Paramètres!$A$1:$I$89,3,0)*0.475*44/12</f>
        <v>26.320999706395497</v>
      </c>
      <c r="AW85" s="21">
        <f>EXP(-LN(2)/2)*AW84+(1-EXP(-LN(2)/2))/(LN(2)/2)*AQ85*AT85*VLOOKUP('Données projet'!$B$10,Paramètres!$A$1:$I$89,3,0)*0.475*44/12</f>
        <v>2.9278048253590559E-2</v>
      </c>
      <c r="AX85" s="21">
        <f t="shared" si="60"/>
        <v>116.17312023290528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>
        <f>VLOOKUP(A85,'Données projet'!$A$87:$I$107,2,0)</f>
        <v>436.17</v>
      </c>
      <c r="BB85" s="12">
        <f>VLOOKUP(A85,'Données projet'!$A$87:$I$107,9,0)</f>
        <v>12.082500000000003</v>
      </c>
      <c r="BC85" s="12">
        <f t="array" ref="BC85">INDEX(BB:BB,MIN(IF(ISNUMBER(BB85:BB281),ROW(BB85:BB281),"")))</f>
        <v>12.082500000000003</v>
      </c>
      <c r="BD85" s="12">
        <f>IF('Données projet'!$A$88&gt;35,BD84+BC85-BL84,IF(A85&lt;'Données projet'!$A$88,$BA$205^A85,IF(A85='Données projet'!$A$88,'Données projet'!$B$88,BD84+BC85-BL84)))</f>
        <v>436.16999999999996</v>
      </c>
      <c r="BE85" s="13">
        <f>BD85*VLOOKUP('Données projet'!$B$11,Paramètres!$A$1:$I$89,3,0)*VLOOKUP('Données projet'!$B$11,Paramètres!$A$1:$I$89,5,0)</f>
        <v>394.64661599999999</v>
      </c>
      <c r="BF85" s="13">
        <f t="shared" si="91"/>
        <v>90.690499158874985</v>
      </c>
      <c r="BG85" s="20">
        <f t="shared" si="61"/>
        <v>845.29547556837406</v>
      </c>
      <c r="BH85" s="59">
        <f t="shared" si="62"/>
        <v>1138.6288089017073</v>
      </c>
      <c r="BI85" s="59">
        <f ca="1">AVERAGE(OFFSET($BH$3,0,0,'Données projet'!$E$11+1,1))-AVERAGE(OFFSET($H$3,0,0,'Données projet'!$E$11+1,1))</f>
        <v>507.69556381324213</v>
      </c>
      <c r="BJ85" s="59">
        <f t="shared" si="92"/>
        <v>129.52638237044044</v>
      </c>
      <c r="BK85" s="15">
        <f>IF(ISNA(VLOOKUP(A85,'Données projet'!$A$87:$I$107,3,0)),0,VLOOKUP(A85,'Données projet'!$A$87:$I$107,3,0))</f>
        <v>7</v>
      </c>
      <c r="BL85" s="15">
        <f>IF(ISNA(VLOOKUP(A85,'Données projet'!$A$87:$I$107,4,0)),0,VLOOKUP(A85,'Données projet'!$A$87:$I$107,4,0))</f>
        <v>58.140000000000043</v>
      </c>
      <c r="BM85" s="16">
        <f>IF(ISNA(VLOOKUP(A85,'Données projet'!$A$87:$I$107,5,0)),0%,VLOOKUP(A85,'Données projet'!$A$87:$I$107,5,0)*VLOOKUP('Données projet'!$B$11,Paramètres!$A$1:$I$89,7,0))</f>
        <v>0.15049999999999999</v>
      </c>
      <c r="BN85" s="16">
        <f>IF(ISNA(VLOOKUP(A85,'Données projet'!$A$87:$I$107,6,0)),0%,VLOOKUP(A85,'Données projet'!$A$87:$I$107,6,0)*VLOOKUP('Données projet'!$B$11,Paramètres!$A$1:$I$89,7,0))</f>
        <v>8.6000000000000007E-2</v>
      </c>
      <c r="BO85" s="16">
        <f>IF(ISNA(VLOOKUP(A85,'Données projet'!$A$87:$I$107,7,0)),0%,VLOOKUP(A85,'Données projet'!$A$87:$I$107,7,0))</f>
        <v>0.1</v>
      </c>
      <c r="BP85" s="21">
        <f>EXP(-LN(2)/35)*BP84+(1-EXP(-LN(2)/35))/(LN(2)/35)*BL85*BM85*VLOOKUP('Données projet'!$B$11,Paramètres!$A$1:$I$89,3,0)*0.475*44/12</f>
        <v>32.971397908241109</v>
      </c>
      <c r="BQ85" s="21">
        <f>EXP(-LN(2)/25)*BQ84+(1-EXP(-LN(2)/25))/(LN(2)/25)*Calculateur!BL85*Calculateur!BN85*VLOOKUP('Données projet'!$B$11,Paramètres!$A$1:$I$89,3,0)*0.475*44/12</f>
        <v>37.126114373591477</v>
      </c>
      <c r="BR85" s="21">
        <f>EXP(-LN(2)/2)*BR84+(1-EXP(-LN(2)/2))/(LN(2)/2)*BL85*BO85*VLOOKUP('Données projet'!$B$11,Paramètres!$A$1:$I$89,3,0)*0.475*44/12</f>
        <v>5.3922211495490986</v>
      </c>
      <c r="BS85" s="22">
        <f t="shared" si="63"/>
        <v>75.489733431381694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6.7444444444444462</v>
      </c>
      <c r="BY85" s="12">
        <f>IF('Données projet'!$A$114&gt;35,BY84+BX85-CG84,IF(A85&lt;'Données projet'!$A$114,$BV$205^A85,IF(A85='Données projet'!$A$114,'Données projet'!$B$114,BY84+BX85-CG84)))</f>
        <v>202.29222222222222</v>
      </c>
      <c r="BZ85" s="13">
        <f>BY85*VLOOKUP('Données projet'!$B$12,Paramètres!$A$1:$I$89,3,0)*VLOOKUP('Données projet'!$B$12,Paramètres!$A$1:$I$89,5,0)</f>
        <v>195.65703733333334</v>
      </c>
      <c r="CA85" s="13">
        <f t="shared" si="93"/>
        <v>48.788499880593612</v>
      </c>
      <c r="CB85" s="20">
        <f t="shared" si="64"/>
        <v>425.74264398092276</v>
      </c>
      <c r="CC85" s="59">
        <f t="shared" si="65"/>
        <v>719.07597731425608</v>
      </c>
      <c r="CD85" s="59">
        <f ca="1">AVERAGE(OFFSET($CC$3,0,0,'Données projet'!$E$12+1,1))-AVERAGE(OFFSET($H$3,0,0,'Données projet'!$E$12+1,1))</f>
        <v>292.52253679467469</v>
      </c>
      <c r="CE85" s="59">
        <f t="shared" si="94"/>
        <v>155.7114133976541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36.120719526299546</v>
      </c>
      <c r="CM85" s="21">
        <f>EXP(-LN(2)/2)*CM84+(1-EXP(-LN(2)/2))/(LN(2)/2)*CG85*CJ85*VLOOKUP('Données projet'!$B$12,Paramètres!$A$1:$I$89,3,0)*0.475*44/12</f>
        <v>1.187013592763817</v>
      </c>
      <c r="CN85" s="22">
        <f t="shared" si="66"/>
        <v>37.307733119063364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-1.1368683772161603E-13</v>
      </c>
      <c r="CU85" s="17">
        <f>CT85*VLOOKUP('Données projet'!$B$13,Paramètres!$A$1:$I$89,3,0)*VLOOKUP('Données projet'!$B$13,Paramètres!$A$1:$I$89,5,0)</f>
        <v>-8.8675733422860506E-14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100.54865094989304</v>
      </c>
      <c r="CZ85" s="59">
        <f t="shared" si="96"/>
        <v>99.95654161405389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21.306807148727231</v>
      </c>
      <c r="DG85" s="21">
        <f>EXP(-LN(2)/25)*DG84+(1-EXP(-LN(2)/25))/(LN(2)/25)*Calculateur!DB85*Calculateur!DD85*VLOOKUP('Données projet'!$B$13,Paramètres!$A$1:$I$89,3,0)*0.475*44/12</f>
        <v>18.925232963716432</v>
      </c>
      <c r="DH85" s="21">
        <f>EXP(-LN(2)/2)*DH84+(1-EXP(-LN(2)/2))/(LN(2)/2)*DB85*DE85*VLOOKUP('Données projet'!$B$13,Paramètres!$A$1:$I$89,3,0)*0.475*44/12</f>
        <v>0.43029842657204947</v>
      </c>
      <c r="DI85" s="22">
        <f t="shared" si="69"/>
        <v>40.662338539015714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4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72.508800000000079</v>
      </c>
      <c r="D86" s="11">
        <f t="shared" si="86"/>
        <v>20.295198486462844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716.38174270252091</v>
      </c>
      <c r="H86" s="67">
        <f t="shared" si="56"/>
        <v>454.96696403058957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3.4106051316484809E-13</v>
      </c>
      <c r="O86" s="13">
        <f>N86*VLOOKUP('Données projet'!$B$9,Paramètres!$A$1:$I$89,3,0)*VLOOKUP('Données projet'!$B$9,Paramètres!$A$1:$I$89,5,0)</f>
        <v>1.9065282685915009E-13</v>
      </c>
      <c r="P86" s="13">
        <f t="shared" si="87"/>
        <v>2.6568987209435707E-12</v>
      </c>
      <c r="Q86" s="20">
        <f t="shared" si="54"/>
        <v>4.959485612423072E-12</v>
      </c>
      <c r="R86" s="59">
        <f t="shared" si="55"/>
        <v>293.33333333333826</v>
      </c>
      <c r="S86" s="59">
        <f ca="1">AVERAGE(OFFSET($R$3,0,0,'Données projet'!$E$9+1,1))-AVERAGE(OFFSET($H$3,0,0,'Données projet'!$E$9+1,1))</f>
        <v>324.69474275039357</v>
      </c>
      <c r="T86" s="59">
        <f t="shared" si="88"/>
        <v>437.68177084535927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138.93556878128157</v>
      </c>
      <c r="AA86" s="21">
        <f>EXP(-LN(2)/25)*AA85+(1-EXP(-LN(2)/25))/(LN(2)/25)*Calculateur!V86*Calculateur!X86*VLOOKUP('Données projet'!$B$9,Paramètres!$A$1:$I$89,3,0)*0.475*44/12</f>
        <v>38.038889897728154</v>
      </c>
      <c r="AB86" s="21">
        <f>EXP(-LN(2)/2)*AB85+(1-EXP(-LN(2)/2))/(LN(2)/2)*V86*Y86*VLOOKUP('Données projet'!$B$9,Paramètres!$A$1:$I$89,3,0)*0.475*44/12</f>
        <v>3.9493412711078552E-3</v>
      </c>
      <c r="AC86" s="22">
        <f t="shared" si="57"/>
        <v>176.97840802028082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1.1368683772161603E-13</v>
      </c>
      <c r="AJ86" s="13">
        <f>AI86*VLOOKUP('Données projet'!$B$10,Paramètres!$A$1:$I$89,3,0)*VLOOKUP('Données projet'!$B$10,Paramètres!$A$1:$I$89,5,0)</f>
        <v>6.7984728957526396E-14</v>
      </c>
      <c r="AK86" s="13">
        <f t="shared" si="89"/>
        <v>1.0682447123141398E-12</v>
      </c>
      <c r="AL86" s="20">
        <f t="shared" si="58"/>
        <v>1.978932943548152E-12</v>
      </c>
      <c r="AM86" s="59">
        <f t="shared" si="59"/>
        <v>293.3333333333353</v>
      </c>
      <c r="AN86" s="59">
        <f ca="1">AVERAGE(OFFSET($AM$3,0,0,'Données projet'!$E$10+1,1))-AVERAGE(OFFSET($H$3,0,0,'Données projet'!$E$10+1,1))</f>
        <v>214.93913810439858</v>
      </c>
      <c r="AO86" s="59">
        <f t="shared" si="90"/>
        <v>210.65603079265924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88.061471323781774</v>
      </c>
      <c r="AV86" s="21">
        <f>EXP(-LN(2)/25)*AV85+(1-EXP(-LN(2)/25))/(LN(2)/25)*Calculateur!AQ86*Calculateur!AS86*VLOOKUP('Données projet'!$B$10,Paramètres!$A$1:$I$89,3,0)*0.475*44/12</f>
        <v>25.601250585262896</v>
      </c>
      <c r="AW86" s="21">
        <f>EXP(-LN(2)/2)*AW85+(1-EXP(-LN(2)/2))/(LN(2)/2)*AQ86*AT86*VLOOKUP('Données projet'!$B$10,Paramètres!$A$1:$I$89,3,0)*0.475*44/12</f>
        <v>2.0702706460020842E-2</v>
      </c>
      <c r="AX86" s="21">
        <f t="shared" si="60"/>
        <v>113.68342461550469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11.667500000000004</v>
      </c>
      <c r="BD86" s="12">
        <f>IF('Données projet'!$A$88&gt;35,BD85+BC86-BL85,IF(A86&lt;'Données projet'!$A$88,$BA$205^A86,IF(A86='Données projet'!$A$88,'Données projet'!$B$88,BD85+BC86-BL85)))</f>
        <v>389.69749999999993</v>
      </c>
      <c r="BE86" s="13">
        <f>BD86*VLOOKUP('Données projet'!$B$11,Paramètres!$A$1:$I$89,3,0)*VLOOKUP('Données projet'!$B$11,Paramètres!$A$1:$I$89,5,0)</f>
        <v>352.59829799999994</v>
      </c>
      <c r="BF86" s="13">
        <f t="shared" si="91"/>
        <v>82.097297257859907</v>
      </c>
      <c r="BG86" s="20">
        <f t="shared" si="61"/>
        <v>757.09482840743919</v>
      </c>
      <c r="BH86" s="59">
        <f t="shared" si="62"/>
        <v>1050.4281617407726</v>
      </c>
      <c r="BI86" s="59">
        <f ca="1">AVERAGE(OFFSET($BH$3,0,0,'Données projet'!$E$11+1,1))-AVERAGE(OFFSET($H$3,0,0,'Données projet'!$E$11+1,1))</f>
        <v>507.69556381324213</v>
      </c>
      <c r="BJ86" s="59">
        <f t="shared" si="92"/>
        <v>129.52638237044044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32.324848905827473</v>
      </c>
      <c r="BQ86" s="21">
        <f>EXP(-LN(2)/25)*BQ85+(1-EXP(-LN(2)/25))/(LN(2)/25)*Calculateur!BL86*Calculateur!BN86*VLOOKUP('Données projet'!$B$11,Paramètres!$A$1:$I$89,3,0)*0.475*44/12</f>
        <v>36.110898823668116</v>
      </c>
      <c r="BR86" s="21">
        <f>EXP(-LN(2)/2)*BR85+(1-EXP(-LN(2)/2))/(LN(2)/2)*BL86*BO86*VLOOKUP('Données projet'!$B$11,Paramètres!$A$1:$I$89,3,0)*0.475*44/12</f>
        <v>3.8128761405036884</v>
      </c>
      <c r="BS86" s="22">
        <f t="shared" si="63"/>
        <v>72.248623869999278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6.7444444444444462</v>
      </c>
      <c r="BY86" s="12">
        <f>IF('Données projet'!$A$114&gt;35,BY85+BX86-CG85,IF(A86&lt;'Données projet'!$A$114,$BV$205^A86,IF(A86='Données projet'!$A$114,'Données projet'!$B$114,BY85+BX86-CG85)))</f>
        <v>209.03666666666666</v>
      </c>
      <c r="BZ86" s="13">
        <f>BY86*VLOOKUP('Données projet'!$B$12,Paramètres!$A$1:$I$89,3,0)*VLOOKUP('Données projet'!$B$12,Paramètres!$A$1:$I$89,5,0)</f>
        <v>202.18026399999999</v>
      </c>
      <c r="CA86" s="13">
        <f t="shared" si="93"/>
        <v>50.223020984939033</v>
      </c>
      <c r="CB86" s="20">
        <f t="shared" si="64"/>
        <v>439.60238801543551</v>
      </c>
      <c r="CC86" s="59">
        <f t="shared" si="65"/>
        <v>732.93572134876877</v>
      </c>
      <c r="CD86" s="59">
        <f ca="1">AVERAGE(OFFSET($CC$3,0,0,'Données projet'!$E$12+1,1))-AVERAGE(OFFSET($H$3,0,0,'Données projet'!$E$12+1,1))</f>
        <v>292.52253679467469</v>
      </c>
      <c r="CE86" s="59">
        <f t="shared" si="94"/>
        <v>155.7114133976541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35.1329965513468</v>
      </c>
      <c r="CM86" s="21">
        <f>EXP(-LN(2)/2)*CM85+(1-EXP(-LN(2)/2))/(LN(2)/2)*CG86*CJ86*VLOOKUP('Données projet'!$B$12,Paramètres!$A$1:$I$89,3,0)*0.475*44/12</f>
        <v>0.8393453608039021</v>
      </c>
      <c r="CN86" s="22">
        <f t="shared" si="66"/>
        <v>35.972341912150704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-1.1368683772161603E-13</v>
      </c>
      <c r="CU86" s="17">
        <f>CT86*VLOOKUP('Données projet'!$B$13,Paramètres!$A$1:$I$89,3,0)*VLOOKUP('Données projet'!$B$13,Paramètres!$A$1:$I$89,5,0)</f>
        <v>-8.8675733422860506E-14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100.54865094989304</v>
      </c>
      <c r="CZ86" s="59">
        <f t="shared" si="96"/>
        <v>99.95654161405389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20.888993656409816</v>
      </c>
      <c r="DG86" s="21">
        <f>EXP(-LN(2)/25)*DG85+(1-EXP(-LN(2)/25))/(LN(2)/25)*Calculateur!DB86*Calculateur!DD86*VLOOKUP('Données projet'!$B$13,Paramètres!$A$1:$I$89,3,0)*0.475*44/12</f>
        <v>18.407721473088859</v>
      </c>
      <c r="DH86" s="21">
        <f>EXP(-LN(2)/2)*DH85+(1-EXP(-LN(2)/2))/(LN(2)/2)*DB86*DE86*VLOOKUP('Données projet'!$B$13,Paramètres!$A$1:$I$89,3,0)*0.475*44/12</f>
        <v>0.30426693536299787</v>
      </c>
      <c r="DI86" s="22">
        <f t="shared" si="69"/>
        <v>39.600982064861675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4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73.382400000000075</v>
      </c>
      <c r="D87" s="11">
        <f t="shared" si="86"/>
        <v>20.511105942035563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724.7919756929067</v>
      </c>
      <c r="H87" s="67">
        <f t="shared" si="56"/>
        <v>456.86452284904533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3.4106051316484809E-13</v>
      </c>
      <c r="O87" s="13">
        <f>N87*VLOOKUP('Données projet'!$B$9,Paramètres!$A$1:$I$89,3,0)*VLOOKUP('Données projet'!$B$9,Paramètres!$A$1:$I$89,5,0)</f>
        <v>1.9065282685915009E-13</v>
      </c>
      <c r="P87" s="13">
        <f t="shared" si="87"/>
        <v>2.6568987209435707E-12</v>
      </c>
      <c r="Q87" s="20">
        <f t="shared" si="54"/>
        <v>4.959485612423072E-12</v>
      </c>
      <c r="R87" s="59">
        <f t="shared" si="55"/>
        <v>293.33333333333826</v>
      </c>
      <c r="S87" s="59">
        <f ca="1">AVERAGE(OFFSET($R$3,0,0,'Données projet'!$E$9+1,1))-AVERAGE(OFFSET($H$3,0,0,'Données projet'!$E$9+1,1))</f>
        <v>324.69474275039357</v>
      </c>
      <c r="T87" s="59">
        <f t="shared" si="88"/>
        <v>437.68177084535927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136.21112701980999</v>
      </c>
      <c r="AA87" s="21">
        <f>EXP(-LN(2)/25)*AA86+(1-EXP(-LN(2)/25))/(LN(2)/25)*Calculateur!V87*Calculateur!X87*VLOOKUP('Données projet'!$B$9,Paramètres!$A$1:$I$89,3,0)*0.475*44/12</f>
        <v>36.998714453096497</v>
      </c>
      <c r="AB87" s="21">
        <f>EXP(-LN(2)/2)*AB86+(1-EXP(-LN(2)/2))/(LN(2)/2)*V87*Y87*VLOOKUP('Données projet'!$B$9,Paramètres!$A$1:$I$89,3,0)*0.475*44/12</f>
        <v>2.7926059940202638E-3</v>
      </c>
      <c r="AC87" s="22">
        <f t="shared" si="57"/>
        <v>173.21263407890049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1.1368683772161603E-13</v>
      </c>
      <c r="AJ87" s="13">
        <f>AI87*VLOOKUP('Données projet'!$B$10,Paramètres!$A$1:$I$89,3,0)*VLOOKUP('Données projet'!$B$10,Paramètres!$A$1:$I$89,5,0)</f>
        <v>6.7984728957526396E-14</v>
      </c>
      <c r="AK87" s="13">
        <f t="shared" si="89"/>
        <v>1.0682447123141398E-12</v>
      </c>
      <c r="AL87" s="20">
        <f t="shared" si="58"/>
        <v>1.978932943548152E-12</v>
      </c>
      <c r="AM87" s="59">
        <f t="shared" si="59"/>
        <v>293.3333333333353</v>
      </c>
      <c r="AN87" s="59">
        <f ca="1">AVERAGE(OFFSET($AM$3,0,0,'Données projet'!$E$10+1,1))-AVERAGE(OFFSET($H$3,0,0,'Données projet'!$E$10+1,1))</f>
        <v>214.93913810439858</v>
      </c>
      <c r="AO87" s="59">
        <f t="shared" si="90"/>
        <v>210.65603079265924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86.334639583316289</v>
      </c>
      <c r="AV87" s="21">
        <f>EXP(-LN(2)/25)*AV86+(1-EXP(-LN(2)/25))/(LN(2)/25)*Calculateur!AQ87*Calculateur!AS87*VLOOKUP('Données projet'!$B$10,Paramètres!$A$1:$I$89,3,0)*0.475*44/12</f>
        <v>24.901183041697628</v>
      </c>
      <c r="AW87" s="21">
        <f>EXP(-LN(2)/2)*AW86+(1-EXP(-LN(2)/2))/(LN(2)/2)*AQ87*AT87*VLOOKUP('Données projet'!$B$10,Paramètres!$A$1:$I$89,3,0)*0.475*44/12</f>
        <v>1.4639024126795283E-2</v>
      </c>
      <c r="AX87" s="21">
        <f t="shared" si="60"/>
        <v>111.25046164914072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11.667500000000004</v>
      </c>
      <c r="BD87" s="12">
        <f>IF('Données projet'!$A$88&gt;35,BD86+BC87-BL86,IF(A87&lt;'Données projet'!$A$88,$BA$205^A87,IF(A87='Données projet'!$A$88,'Données projet'!$B$88,BD86+BC87-BL86)))</f>
        <v>401.36499999999995</v>
      </c>
      <c r="BE87" s="13">
        <f>BD87*VLOOKUP('Données projet'!$B$11,Paramètres!$A$1:$I$89,3,0)*VLOOKUP('Données projet'!$B$11,Paramètres!$A$1:$I$89,5,0)</f>
        <v>363.15505199999996</v>
      </c>
      <c r="BF87" s="13">
        <f t="shared" si="91"/>
        <v>84.265428925746718</v>
      </c>
      <c r="BG87" s="20">
        <f t="shared" si="61"/>
        <v>779.25733761234221</v>
      </c>
      <c r="BH87" s="59">
        <f t="shared" si="62"/>
        <v>1072.5906709456756</v>
      </c>
      <c r="BI87" s="59">
        <f ca="1">AVERAGE(OFFSET($BH$3,0,0,'Données projet'!$E$11+1,1))-AVERAGE(OFFSET($H$3,0,0,'Données projet'!$E$11+1,1))</f>
        <v>507.69556381324213</v>
      </c>
      <c r="BJ87" s="59">
        <f t="shared" si="92"/>
        <v>129.52638237044044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31.690978334995215</v>
      </c>
      <c r="BQ87" s="21">
        <f>EXP(-LN(2)/25)*BQ86+(1-EXP(-LN(2)/25))/(LN(2)/25)*Calculateur!BL87*Calculateur!BN87*VLOOKUP('Données projet'!$B$11,Paramètres!$A$1:$I$89,3,0)*0.475*44/12</f>
        <v>35.123444396345278</v>
      </c>
      <c r="BR87" s="21">
        <f>EXP(-LN(2)/2)*BR86+(1-EXP(-LN(2)/2))/(LN(2)/2)*BL87*BO87*VLOOKUP('Données projet'!$B$11,Paramètres!$A$1:$I$89,3,0)*0.475*44/12</f>
        <v>2.6961105747745497</v>
      </c>
      <c r="BS87" s="22">
        <f t="shared" si="63"/>
        <v>69.51053330611505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6.7444444444444462</v>
      </c>
      <c r="BY87" s="12">
        <f>IF('Données projet'!$A$114&gt;35,BY86+BX87-CG86,IF(A87&lt;'Données projet'!$A$114,$BV$205^A87,IF(A87='Données projet'!$A$114,'Données projet'!$B$114,BY86+BX87-CG86)))</f>
        <v>215.7811111111111</v>
      </c>
      <c r="BZ87" s="13">
        <f>BY87*VLOOKUP('Données projet'!$B$12,Paramètres!$A$1:$I$89,3,0)*VLOOKUP('Données projet'!$B$12,Paramètres!$A$1:$I$89,5,0)</f>
        <v>208.70349066666665</v>
      </c>
      <c r="CA87" s="13">
        <f t="shared" si="93"/>
        <v>51.652163752582879</v>
      </c>
      <c r="CB87" s="20">
        <f t="shared" si="64"/>
        <v>453.45276478019287</v>
      </c>
      <c r="CC87" s="59">
        <f t="shared" si="65"/>
        <v>746.78609811352612</v>
      </c>
      <c r="CD87" s="59">
        <f ca="1">AVERAGE(OFFSET($CC$3,0,0,'Données projet'!$E$12+1,1))-AVERAGE(OFFSET($H$3,0,0,'Données projet'!$E$12+1,1))</f>
        <v>292.52253679467469</v>
      </c>
      <c r="CE87" s="59">
        <f t="shared" si="94"/>
        <v>155.7114133976541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34.172282913086228</v>
      </c>
      <c r="CM87" s="21">
        <f>EXP(-LN(2)/2)*CM86+(1-EXP(-LN(2)/2))/(LN(2)/2)*CG87*CJ87*VLOOKUP('Données projet'!$B$12,Paramètres!$A$1:$I$89,3,0)*0.475*44/12</f>
        <v>0.59350679638190862</v>
      </c>
      <c r="CN87" s="22">
        <f t="shared" si="66"/>
        <v>34.765789709468137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-1.1368683772161603E-13</v>
      </c>
      <c r="CU87" s="17">
        <f>CT87*VLOOKUP('Données projet'!$B$13,Paramètres!$A$1:$I$89,3,0)*VLOOKUP('Données projet'!$B$13,Paramètres!$A$1:$I$89,5,0)</f>
        <v>-8.8675733422860506E-14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100.54865094989304</v>
      </c>
      <c r="CZ87" s="59">
        <f t="shared" si="96"/>
        <v>99.95654161405389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20.479373231835677</v>
      </c>
      <c r="DG87" s="21">
        <f>EXP(-LN(2)/25)*DG86+(1-EXP(-LN(2)/25))/(LN(2)/25)*Calculateur!DB87*Calculateur!DD87*VLOOKUP('Données projet'!$B$13,Paramètres!$A$1:$I$89,3,0)*0.475*44/12</f>
        <v>17.904361361387245</v>
      </c>
      <c r="DH87" s="21">
        <f>EXP(-LN(2)/2)*DH86+(1-EXP(-LN(2)/2))/(LN(2)/2)*DB87*DE87*VLOOKUP('Données projet'!$B$13,Paramètres!$A$1:$I$89,3,0)*0.475*44/12</f>
        <v>0.21514921328602474</v>
      </c>
      <c r="DI87" s="22">
        <f t="shared" si="69"/>
        <v>38.598883806508951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4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74.256000000000071</v>
      </c>
      <c r="D88" s="11">
        <f t="shared" si="86"/>
        <v>20.726714411291841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733.19990071874463</v>
      </c>
      <c r="H88" s="67">
        <f t="shared" si="56"/>
        <v>458.76156093300006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3.4106051316484809E-13</v>
      </c>
      <c r="O88" s="13">
        <f>N88*VLOOKUP('Données projet'!$B$9,Paramètres!$A$1:$I$89,3,0)*VLOOKUP('Données projet'!$B$9,Paramètres!$A$1:$I$89,5,0)</f>
        <v>1.9065282685915009E-13</v>
      </c>
      <c r="P88" s="13">
        <f t="shared" si="87"/>
        <v>2.6568987209435707E-12</v>
      </c>
      <c r="Q88" s="20">
        <f t="shared" si="54"/>
        <v>4.959485612423072E-12</v>
      </c>
      <c r="R88" s="59">
        <f t="shared" si="55"/>
        <v>293.33333333333826</v>
      </c>
      <c r="S88" s="59">
        <f ca="1">AVERAGE(OFFSET($R$3,0,0,'Données projet'!$E$9+1,1))-AVERAGE(OFFSET($H$3,0,0,'Données projet'!$E$9+1,1))</f>
        <v>324.69474275039357</v>
      </c>
      <c r="T88" s="59">
        <f t="shared" si="88"/>
        <v>437.68177084535927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133.54010989953548</v>
      </c>
      <c r="AA88" s="21">
        <f>EXP(-LN(2)/25)*AA87+(1-EXP(-LN(2)/25))/(LN(2)/25)*Calculateur!V88*Calculateur!X88*VLOOKUP('Données projet'!$B$9,Paramètres!$A$1:$I$89,3,0)*0.475*44/12</f>
        <v>35.986982660698743</v>
      </c>
      <c r="AB88" s="21">
        <f>EXP(-LN(2)/2)*AB87+(1-EXP(-LN(2)/2))/(LN(2)/2)*V88*Y88*VLOOKUP('Données projet'!$B$9,Paramètres!$A$1:$I$89,3,0)*0.475*44/12</f>
        <v>1.9746706355539276E-3</v>
      </c>
      <c r="AC88" s="22">
        <f t="shared" si="57"/>
        <v>169.52906723086977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1.1368683772161603E-13</v>
      </c>
      <c r="AJ88" s="13">
        <f>AI88*VLOOKUP('Données projet'!$B$10,Paramètres!$A$1:$I$89,3,0)*VLOOKUP('Données projet'!$B$10,Paramètres!$A$1:$I$89,5,0)</f>
        <v>6.7984728957526396E-14</v>
      </c>
      <c r="AK88" s="13">
        <f t="shared" si="89"/>
        <v>1.0682447123141398E-12</v>
      </c>
      <c r="AL88" s="20">
        <f t="shared" si="58"/>
        <v>1.978932943548152E-12</v>
      </c>
      <c r="AM88" s="59">
        <f t="shared" si="59"/>
        <v>293.3333333333353</v>
      </c>
      <c r="AN88" s="59">
        <f ca="1">AVERAGE(OFFSET($AM$3,0,0,'Données projet'!$E$10+1,1))-AVERAGE(OFFSET($H$3,0,0,'Données projet'!$E$10+1,1))</f>
        <v>214.93913810439858</v>
      </c>
      <c r="AO88" s="59">
        <f t="shared" si="90"/>
        <v>210.65603079265924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84.641669960017964</v>
      </c>
      <c r="AV88" s="21">
        <f>EXP(-LN(2)/25)*AV87+(1-EXP(-LN(2)/25))/(LN(2)/25)*Calculateur!AQ88*Calculateur!AS88*VLOOKUP('Données projet'!$B$10,Paramètres!$A$1:$I$89,3,0)*0.475*44/12</f>
        <v>24.220258881926103</v>
      </c>
      <c r="AW88" s="21">
        <f>EXP(-LN(2)/2)*AW87+(1-EXP(-LN(2)/2))/(LN(2)/2)*AQ88*AT88*VLOOKUP('Données projet'!$B$10,Paramètres!$A$1:$I$89,3,0)*0.475*44/12</f>
        <v>1.0351353230010423E-2</v>
      </c>
      <c r="AX88" s="21">
        <f t="shared" si="60"/>
        <v>108.87228019517407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11.667500000000004</v>
      </c>
      <c r="BD88" s="12">
        <f>IF('Données projet'!$A$88&gt;35,BD87+BC88-BL87,IF(A88&lt;'Données projet'!$A$88,$BA$205^A88,IF(A88='Données projet'!$A$88,'Données projet'!$B$88,BD87+BC88-BL87)))</f>
        <v>413.03249999999997</v>
      </c>
      <c r="BE88" s="13">
        <f>BD88*VLOOKUP('Données projet'!$B$11,Paramètres!$A$1:$I$89,3,0)*VLOOKUP('Données projet'!$B$11,Paramètres!$A$1:$I$89,5,0)</f>
        <v>373.71180599999997</v>
      </c>
      <c r="BF88" s="13">
        <f t="shared" si="91"/>
        <v>86.426235603807172</v>
      </c>
      <c r="BG88" s="20">
        <f t="shared" si="61"/>
        <v>801.40708912663069</v>
      </c>
      <c r="BH88" s="59">
        <f t="shared" si="62"/>
        <v>1094.7404224599641</v>
      </c>
      <c r="BI88" s="59">
        <f ca="1">AVERAGE(OFFSET($BH$3,0,0,'Données projet'!$E$11+1,1))-AVERAGE(OFFSET($H$3,0,0,'Données projet'!$E$11+1,1))</f>
        <v>507.69556381324213</v>
      </c>
      <c r="BJ88" s="59">
        <f t="shared" si="92"/>
        <v>129.52638237044044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31.069537579434105</v>
      </c>
      <c r="BQ88" s="21">
        <f>EXP(-LN(2)/25)*BQ87+(1-EXP(-LN(2)/25))/(LN(2)/25)*Calculateur!BL88*Calculateur!BN88*VLOOKUP('Données projet'!$B$11,Paramètres!$A$1:$I$89,3,0)*0.475*44/12</f>
        <v>34.162991962265551</v>
      </c>
      <c r="BR88" s="21">
        <f>EXP(-LN(2)/2)*BR87+(1-EXP(-LN(2)/2))/(LN(2)/2)*BL88*BO88*VLOOKUP('Données projet'!$B$11,Paramètres!$A$1:$I$89,3,0)*0.475*44/12</f>
        <v>1.9064380702518446</v>
      </c>
      <c r="BS88" s="22">
        <f t="shared" si="63"/>
        <v>67.138967611951486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6.7444444444444462</v>
      </c>
      <c r="BY88" s="12">
        <f>IF('Données projet'!$A$114&gt;35,BY87+BX88-CG87,IF(A88&lt;'Données projet'!$A$114,$BV$205^A88,IF(A88='Données projet'!$A$114,'Données projet'!$B$114,BY87+BX88-CG87)))</f>
        <v>222.52555555555554</v>
      </c>
      <c r="BZ88" s="13">
        <f>BY88*VLOOKUP('Données projet'!$B$12,Paramètres!$A$1:$I$89,3,0)*VLOOKUP('Données projet'!$B$12,Paramètres!$A$1:$I$89,5,0)</f>
        <v>215.22671733333331</v>
      </c>
      <c r="CA88" s="13">
        <f t="shared" si="93"/>
        <v>53.076115576927016</v>
      </c>
      <c r="CB88" s="20">
        <f t="shared" si="64"/>
        <v>467.29410065203678</v>
      </c>
      <c r="CC88" s="59">
        <f t="shared" si="65"/>
        <v>760.62743398537009</v>
      </c>
      <c r="CD88" s="59">
        <f ca="1">AVERAGE(OFFSET($CC$3,0,0,'Données projet'!$E$12+1,1))-AVERAGE(OFFSET($H$3,0,0,'Données projet'!$E$12+1,1))</f>
        <v>292.52253679467469</v>
      </c>
      <c r="CE88" s="59">
        <f t="shared" si="94"/>
        <v>155.7114133976541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33.237840039785631</v>
      </c>
      <c r="CM88" s="21">
        <f>EXP(-LN(2)/2)*CM87+(1-EXP(-LN(2)/2))/(LN(2)/2)*CG88*CJ88*VLOOKUP('Données projet'!$B$12,Paramètres!$A$1:$I$89,3,0)*0.475*44/12</f>
        <v>0.4196726804019511</v>
      </c>
      <c r="CN88" s="22">
        <f t="shared" si="66"/>
        <v>33.657512720187583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-1.1368683772161603E-13</v>
      </c>
      <c r="CU88" s="17">
        <f>CT88*VLOOKUP('Données projet'!$B$13,Paramètres!$A$1:$I$89,3,0)*VLOOKUP('Données projet'!$B$13,Paramètres!$A$1:$I$89,5,0)</f>
        <v>-8.8675733422860506E-14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100.54865094989304</v>
      </c>
      <c r="CZ88" s="59">
        <f t="shared" si="96"/>
        <v>99.95654161405389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20.077785213943649</v>
      </c>
      <c r="DG88" s="21">
        <f>EXP(-LN(2)/25)*DG87+(1-EXP(-LN(2)/25))/(LN(2)/25)*Calculateur!DB88*Calculateur!DD88*VLOOKUP('Données projet'!$B$13,Paramètres!$A$1:$I$89,3,0)*0.475*44/12</f>
        <v>17.414765658410669</v>
      </c>
      <c r="DH88" s="21">
        <f>EXP(-LN(2)/2)*DH87+(1-EXP(-LN(2)/2))/(LN(2)/2)*DB88*DE88*VLOOKUP('Données projet'!$B$13,Paramètres!$A$1:$I$89,3,0)*0.475*44/12</f>
        <v>0.15213346768149894</v>
      </c>
      <c r="DI88" s="22">
        <f t="shared" si="69"/>
        <v>37.644684340035816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4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75.129600000000067</v>
      </c>
      <c r="D89" s="11">
        <f t="shared" si="86"/>
        <v>20.942027818647599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741.6055480737715</v>
      </c>
      <c r="H89" s="67">
        <f t="shared" si="56"/>
        <v>460.65808511747798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3.4106051316484809E-13</v>
      </c>
      <c r="O89" s="13">
        <f>N89*VLOOKUP('Données projet'!$B$9,Paramètres!$A$1:$I$89,3,0)*VLOOKUP('Données projet'!$B$9,Paramètres!$A$1:$I$89,5,0)</f>
        <v>1.9065282685915009E-13</v>
      </c>
      <c r="P89" s="13">
        <f t="shared" si="87"/>
        <v>2.6568987209435707E-12</v>
      </c>
      <c r="Q89" s="20">
        <f t="shared" si="54"/>
        <v>4.959485612423072E-12</v>
      </c>
      <c r="R89" s="59">
        <f t="shared" si="55"/>
        <v>293.33333333333826</v>
      </c>
      <c r="S89" s="59">
        <f ca="1">AVERAGE(OFFSET($R$3,0,0,'Données projet'!$E$9+1,1))-AVERAGE(OFFSET($H$3,0,0,'Données projet'!$E$9+1,1))</f>
        <v>324.69474275039357</v>
      </c>
      <c r="T89" s="59">
        <f t="shared" si="88"/>
        <v>437.68177084535927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130.92146979582998</v>
      </c>
      <c r="AA89" s="21">
        <f>EXP(-LN(2)/25)*AA88+(1-EXP(-LN(2)/25))/(LN(2)/25)*Calculateur!V89*Calculateur!X89*VLOOKUP('Données projet'!$B$9,Paramètres!$A$1:$I$89,3,0)*0.475*44/12</f>
        <v>35.00291672736877</v>
      </c>
      <c r="AB89" s="21">
        <f>EXP(-LN(2)/2)*AB88+(1-EXP(-LN(2)/2))/(LN(2)/2)*V89*Y89*VLOOKUP('Données projet'!$B$9,Paramètres!$A$1:$I$89,3,0)*0.475*44/12</f>
        <v>1.3963029970101319E-3</v>
      </c>
      <c r="AC89" s="22">
        <f t="shared" si="57"/>
        <v>165.92578282619576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1.1368683772161603E-13</v>
      </c>
      <c r="AJ89" s="13">
        <f>AI89*VLOOKUP('Données projet'!$B$10,Paramètres!$A$1:$I$89,3,0)*VLOOKUP('Données projet'!$B$10,Paramètres!$A$1:$I$89,5,0)</f>
        <v>6.7984728957526396E-14</v>
      </c>
      <c r="AK89" s="13">
        <f t="shared" si="89"/>
        <v>1.0682447123141398E-12</v>
      </c>
      <c r="AL89" s="20">
        <f t="shared" si="58"/>
        <v>1.978932943548152E-12</v>
      </c>
      <c r="AM89" s="59">
        <f t="shared" si="59"/>
        <v>293.3333333333353</v>
      </c>
      <c r="AN89" s="59">
        <f ca="1">AVERAGE(OFFSET($AM$3,0,0,'Données projet'!$E$10+1,1))-AVERAGE(OFFSET($H$3,0,0,'Données projet'!$E$10+1,1))</f>
        <v>214.93913810439858</v>
      </c>
      <c r="AO89" s="59">
        <f t="shared" si="90"/>
        <v>210.65603079265924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82.981898438423016</v>
      </c>
      <c r="AV89" s="21">
        <f>EXP(-LN(2)/25)*AV88+(1-EXP(-LN(2)/25))/(LN(2)/25)*Calculateur!AQ89*Calculateur!AS89*VLOOKUP('Données projet'!$B$10,Paramètres!$A$1:$I$89,3,0)*0.475*44/12</f>
        <v>23.557954629111777</v>
      </c>
      <c r="AW89" s="21">
        <f>EXP(-LN(2)/2)*AW88+(1-EXP(-LN(2)/2))/(LN(2)/2)*AQ89*AT89*VLOOKUP('Données projet'!$B$10,Paramètres!$A$1:$I$89,3,0)*0.475*44/12</f>
        <v>7.3195120633976424E-3</v>
      </c>
      <c r="AX89" s="21">
        <f t="shared" si="60"/>
        <v>106.5471725795982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11.667500000000004</v>
      </c>
      <c r="BD89" s="12">
        <f>IF('Données projet'!$A$88&gt;35,BD88+BC89-BL88,IF(A89&lt;'Données projet'!$A$88,$BA$205^A89,IF(A89='Données projet'!$A$88,'Données projet'!$B$88,BD88+BC89-BL88)))</f>
        <v>424.7</v>
      </c>
      <c r="BE89" s="13">
        <f>BD89*VLOOKUP('Données projet'!$B$11,Paramètres!$A$1:$I$89,3,0)*VLOOKUP('Données projet'!$B$11,Paramètres!$A$1:$I$89,5,0)</f>
        <v>384.26855999999998</v>
      </c>
      <c r="BF89" s="13">
        <f t="shared" si="91"/>
        <v>88.579947979334634</v>
      </c>
      <c r="BG89" s="20">
        <f t="shared" si="61"/>
        <v>823.54448473067441</v>
      </c>
      <c r="BH89" s="59">
        <f t="shared" si="62"/>
        <v>1116.8778180640077</v>
      </c>
      <c r="BI89" s="59">
        <f ca="1">AVERAGE(OFFSET($BH$3,0,0,'Données projet'!$E$11+1,1))-AVERAGE(OFFSET($H$3,0,0,'Données projet'!$E$11+1,1))</f>
        <v>507.69556381324213</v>
      </c>
      <c r="BJ89" s="59">
        <f t="shared" si="92"/>
        <v>129.52638237044044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30.460282898048114</v>
      </c>
      <c r="BQ89" s="21">
        <f>EXP(-LN(2)/25)*BQ88+(1-EXP(-LN(2)/25))/(LN(2)/25)*Calculateur!BL89*Calculateur!BN89*VLOOKUP('Données projet'!$B$11,Paramètres!$A$1:$I$89,3,0)*0.475*44/12</f>
        <v>33.22880315050373</v>
      </c>
      <c r="BR89" s="21">
        <f>EXP(-LN(2)/2)*BR88+(1-EXP(-LN(2)/2))/(LN(2)/2)*BL89*BO89*VLOOKUP('Données projet'!$B$11,Paramètres!$A$1:$I$89,3,0)*0.475*44/12</f>
        <v>1.3480552873872751</v>
      </c>
      <c r="BS89" s="22">
        <f t="shared" si="63"/>
        <v>65.037141335939111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>
        <f>VLOOKUP(A89,'Données projet'!$A$113:$I$133,2,0)</f>
        <v>229.27</v>
      </c>
      <c r="BW89" s="12">
        <f>VLOOKUP(A89,'Données projet'!$A$113:$I$133,9,0)</f>
        <v>6.7444444444444462</v>
      </c>
      <c r="BX89" s="12">
        <f t="array" ref="BX89">INDEX(BW:BW,MIN(IF(ISNUMBER(BW89:BW285),ROW(BW89:BW285),"")))</f>
        <v>6.7444444444444462</v>
      </c>
      <c r="BY89" s="12">
        <f>IF('Données projet'!$A$114&gt;35,BY88+BX89-CG88,IF(A89&lt;'Données projet'!$A$114,$BV$205^A89,IF(A89='Données projet'!$A$114,'Données projet'!$B$114,BY88+BX89-CG88)))</f>
        <v>229.26999999999998</v>
      </c>
      <c r="BZ89" s="13">
        <f>BY89*VLOOKUP('Données projet'!$B$12,Paramètres!$A$1:$I$89,3,0)*VLOOKUP('Données projet'!$B$12,Paramètres!$A$1:$I$89,5,0)</f>
        <v>221.74994399999997</v>
      </c>
      <c r="CA89" s="13">
        <f t="shared" si="93"/>
        <v>54.495051846596574</v>
      </c>
      <c r="CB89" s="20">
        <f t="shared" si="64"/>
        <v>481.12670109948903</v>
      </c>
      <c r="CC89" s="59">
        <f t="shared" si="65"/>
        <v>774.46003443282234</v>
      </c>
      <c r="CD89" s="59">
        <f ca="1">AVERAGE(OFFSET($CC$3,0,0,'Données projet'!$E$12+1,1))-AVERAGE(OFFSET($H$3,0,0,'Données projet'!$E$12+1,1))</f>
        <v>292.52253679467469</v>
      </c>
      <c r="CE89" s="59">
        <f t="shared" si="94"/>
        <v>155.7114133976541</v>
      </c>
      <c r="CF89" s="15">
        <f>IF(ISNA(VLOOKUP(A89,'Données projet'!$A$113:$I$133,3,0)),0,VLOOKUP(A89,'Données projet'!$A$113:$I$133,3,0))</f>
        <v>4</v>
      </c>
      <c r="CG89" s="15">
        <f>IF(ISNA(VLOOKUP(A89,'Données projet'!$A$113:$I$133,4,0)),0,VLOOKUP(A89,'Données projet'!$A$113:$I$133,4,0))</f>
        <v>37.54000000000002</v>
      </c>
      <c r="CH89" s="16">
        <f>IF(ISNA(VLOOKUP(A89,'Données projet'!$A$113:$I$133,5,0)),0%,VLOOKUP(A89,'Données projet'!$A$113:$I$133,5,0)*VLOOKUP('Données projet'!$B$12,Paramètres!$A$1:$I$89,7,0))</f>
        <v>0.15049999999999999</v>
      </c>
      <c r="CI89" s="16">
        <f>IF(ISNA(VLOOKUP(A89,'Données projet'!$A$113:$I$133,6,0)),0%,VLOOKUP(A89,'Données projet'!$A$113:$I$133,6,0)*VLOOKUP('Données projet'!$B$12,Paramètres!$A$1:$I$89,7,0))</f>
        <v>8.6000000000000007E-2</v>
      </c>
      <c r="CJ89" s="16">
        <f>IF(ISNA(VLOOKUP(A89,'Données projet'!$A$113:$I$133,7,0)),0%,VLOOKUP(A89,'Données projet'!$A$113:$I$133,7,0))</f>
        <v>0.1</v>
      </c>
      <c r="CK89" s="21">
        <f>EXP(-LN(2)/35)*CK88+(1-EXP(-LN(2)/35))/(LN(2)/35)*CG89*CH89*VLOOKUP('Données projet'!$B$12,Paramètres!$A$1:$I$89,3,0)*0.475*44/12</f>
        <v>6.0407959551073747</v>
      </c>
      <c r="CL89" s="21">
        <f>EXP(-LN(2)/25)*CL88+(1-EXP(-LN(2)/25))/(LN(2)/25)*Calculateur!CG89*Calculateur!CI89*VLOOKUP('Données projet'!$B$12,Paramètres!$A$1:$I$89,3,0)*0.475*44/12</f>
        <v>35.767241578686168</v>
      </c>
      <c r="CM89" s="21">
        <f>EXP(-LN(2)/2)*CM88+(1-EXP(-LN(2)/2))/(LN(2)/2)*CG89*CJ89*VLOOKUP('Données projet'!$B$12,Paramètres!$A$1:$I$89,3,0)*0.475*44/12</f>
        <v>3.7225758343919244</v>
      </c>
      <c r="CN89" s="22">
        <f t="shared" si="66"/>
        <v>45.53061336818547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-1.1368683772161603E-13</v>
      </c>
      <c r="CU89" s="17">
        <f>CT89*VLOOKUP('Données projet'!$B$13,Paramètres!$A$1:$I$89,3,0)*VLOOKUP('Données projet'!$B$13,Paramètres!$A$1:$I$89,5,0)</f>
        <v>-8.8675733422860506E-14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100.54865094989304</v>
      </c>
      <c r="CZ89" s="59">
        <f t="shared" si="96"/>
        <v>99.95654161405389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19.684072092137978</v>
      </c>
      <c r="DG89" s="21">
        <f>EXP(-LN(2)/25)*DG88+(1-EXP(-LN(2)/25))/(LN(2)/25)*Calculateur!DB89*Calculateur!DD89*VLOOKUP('Données projet'!$B$13,Paramètres!$A$1:$I$89,3,0)*0.475*44/12</f>
        <v>16.938557975678705</v>
      </c>
      <c r="DH89" s="21">
        <f>EXP(-LN(2)/2)*DH88+(1-EXP(-LN(2)/2))/(LN(2)/2)*DB89*DE89*VLOOKUP('Données projet'!$B$13,Paramètres!$A$1:$I$89,3,0)*0.475*44/12</f>
        <v>0.10757460664301237</v>
      </c>
      <c r="DI89" s="22">
        <f t="shared" si="69"/>
        <v>36.730204674459699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4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76.003200000000064</v>
      </c>
      <c r="D90" s="11">
        <f t="shared" si="86"/>
        <v>21.157049992000456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750.00894730667062</v>
      </c>
      <c r="H90" s="67">
        <f t="shared" si="56"/>
        <v>462.55410206940087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3.4106051316484809E-13</v>
      </c>
      <c r="O90" s="13">
        <f>N90*VLOOKUP('Données projet'!$B$9,Paramètres!$A$1:$I$89,3,0)*VLOOKUP('Données projet'!$B$9,Paramètres!$A$1:$I$89,5,0)</f>
        <v>1.9065282685915009E-13</v>
      </c>
      <c r="P90" s="13">
        <f t="shared" si="87"/>
        <v>2.6568987209435707E-12</v>
      </c>
      <c r="Q90" s="20">
        <f t="shared" si="54"/>
        <v>4.959485612423072E-12</v>
      </c>
      <c r="R90" s="59">
        <f t="shared" si="55"/>
        <v>293.33333333333826</v>
      </c>
      <c r="S90" s="59">
        <f ca="1">AVERAGE(OFFSET($R$3,0,0,'Données projet'!$E$9+1,1))-AVERAGE(OFFSET($H$3,0,0,'Données projet'!$E$9+1,1))</f>
        <v>324.69474275039357</v>
      </c>
      <c r="T90" s="59">
        <f t="shared" si="88"/>
        <v>437.68177084535927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128.35417962734539</v>
      </c>
      <c r="AA90" s="21">
        <f>EXP(-LN(2)/25)*AA89+(1-EXP(-LN(2)/25))/(LN(2)/25)*Calculateur!V90*Calculateur!X90*VLOOKUP('Données projet'!$B$9,Paramètres!$A$1:$I$89,3,0)*0.475*44/12</f>
        <v>34.045760128735481</v>
      </c>
      <c r="AB90" s="21">
        <f>EXP(-LN(2)/2)*AB89+(1-EXP(-LN(2)/2))/(LN(2)/2)*V90*Y90*VLOOKUP('Données projet'!$B$9,Paramètres!$A$1:$I$89,3,0)*0.475*44/12</f>
        <v>9.8733531777696381E-4</v>
      </c>
      <c r="AC90" s="22">
        <f t="shared" si="57"/>
        <v>162.40092709139864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1.1368683772161603E-13</v>
      </c>
      <c r="AJ90" s="13">
        <f>AI90*VLOOKUP('Données projet'!$B$10,Paramètres!$A$1:$I$89,3,0)*VLOOKUP('Données projet'!$B$10,Paramètres!$A$1:$I$89,5,0)</f>
        <v>6.7984728957526396E-14</v>
      </c>
      <c r="AK90" s="13">
        <f t="shared" si="89"/>
        <v>1.0682447123141398E-12</v>
      </c>
      <c r="AL90" s="20">
        <f t="shared" si="58"/>
        <v>1.978932943548152E-12</v>
      </c>
      <c r="AM90" s="59">
        <f t="shared" si="59"/>
        <v>293.3333333333353</v>
      </c>
      <c r="AN90" s="59">
        <f ca="1">AVERAGE(OFFSET($AM$3,0,0,'Données projet'!$E$10+1,1))-AVERAGE(OFFSET($H$3,0,0,'Données projet'!$E$10+1,1))</f>
        <v>214.93913810439858</v>
      </c>
      <c r="AO90" s="59">
        <f t="shared" si="90"/>
        <v>210.65603079265924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81.354674024005874</v>
      </c>
      <c r="AV90" s="21">
        <f>EXP(-LN(2)/25)*AV89+(1-EXP(-LN(2)/25))/(LN(2)/25)*Calculateur!AQ90*Calculateur!AS90*VLOOKUP('Données projet'!$B$10,Paramètres!$A$1:$I$89,3,0)*0.475*44/12</f>
        <v>22.913761120919723</v>
      </c>
      <c r="AW90" s="21">
        <f>EXP(-LN(2)/2)*AW89+(1-EXP(-LN(2)/2))/(LN(2)/2)*AQ90*AT90*VLOOKUP('Données projet'!$B$10,Paramètres!$A$1:$I$89,3,0)*0.475*44/12</f>
        <v>5.1756766150052123E-3</v>
      </c>
      <c r="AX90" s="21">
        <f t="shared" si="60"/>
        <v>104.27361082154061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11.667500000000004</v>
      </c>
      <c r="BD90" s="12">
        <f>IF('Données projet'!$A$88&gt;35,BD89+BC90-BL89,IF(A90&lt;'Données projet'!$A$88,$BA$205^A90,IF(A90='Données projet'!$A$88,'Données projet'!$B$88,BD89+BC90-BL89)))</f>
        <v>436.36750000000001</v>
      </c>
      <c r="BE90" s="13">
        <f>BD90*VLOOKUP('Données projet'!$B$11,Paramètres!$A$1:$I$89,3,0)*VLOOKUP('Données projet'!$B$11,Paramètres!$A$1:$I$89,5,0)</f>
        <v>394.82531399999999</v>
      </c>
      <c r="BF90" s="13">
        <f t="shared" si="91"/>
        <v>90.726783343228391</v>
      </c>
      <c r="BG90" s="20">
        <f t="shared" si="61"/>
        <v>845.66990287278952</v>
      </c>
      <c r="BH90" s="59">
        <f t="shared" si="62"/>
        <v>1139.0032362061229</v>
      </c>
      <c r="BI90" s="59">
        <f ca="1">AVERAGE(OFFSET($BH$3,0,0,'Données projet'!$E$11+1,1))-AVERAGE(OFFSET($H$3,0,0,'Données projet'!$E$11+1,1))</f>
        <v>507.69556381324213</v>
      </c>
      <c r="BJ90" s="59">
        <f t="shared" si="92"/>
        <v>129.52638237044044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29.862975329355439</v>
      </c>
      <c r="BQ90" s="21">
        <f>EXP(-LN(2)/25)*BQ89+(1-EXP(-LN(2)/25))/(LN(2)/25)*Calculateur!BL90*Calculateur!BN90*VLOOKUP('Données projet'!$B$11,Paramètres!$A$1:$I$89,3,0)*0.475*44/12</f>
        <v>32.320159780926396</v>
      </c>
      <c r="BR90" s="21">
        <f>EXP(-LN(2)/2)*BR89+(1-EXP(-LN(2)/2))/(LN(2)/2)*BL90*BO90*VLOOKUP('Données projet'!$B$11,Paramètres!$A$1:$I$89,3,0)*0.475*44/12</f>
        <v>0.95321903512592243</v>
      </c>
      <c r="BS90" s="22">
        <f t="shared" si="63"/>
        <v>63.136354145407765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6.7600000000000007</v>
      </c>
      <c r="BY90" s="12">
        <f>IF('Données projet'!$A$114&gt;35,BY89+BX90-CG89,IF(A90&lt;'Données projet'!$A$114,$BV$205^A90,IF(A90='Données projet'!$A$114,'Données projet'!$B$114,BY89+BX90-CG89)))</f>
        <v>198.48999999999995</v>
      </c>
      <c r="BZ90" s="13">
        <f>BY90*VLOOKUP('Données projet'!$B$12,Paramètres!$A$1:$I$89,3,0)*VLOOKUP('Données projet'!$B$12,Paramètres!$A$1:$I$89,5,0)</f>
        <v>191.97952799999996</v>
      </c>
      <c r="CA90" s="13">
        <f t="shared" si="93"/>
        <v>47.977334038454906</v>
      </c>
      <c r="CB90" s="20">
        <f t="shared" si="64"/>
        <v>417.92486805030893</v>
      </c>
      <c r="CC90" s="59">
        <f t="shared" si="65"/>
        <v>711.25820138364224</v>
      </c>
      <c r="CD90" s="59">
        <f ca="1">AVERAGE(OFFSET($CC$3,0,0,'Données projet'!$E$12+1,1))-AVERAGE(OFFSET($H$3,0,0,'Données projet'!$E$12+1,1))</f>
        <v>292.52253679467469</v>
      </c>
      <c r="CE90" s="59">
        <f t="shared" si="94"/>
        <v>155.7114133976541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5.9223396309494349</v>
      </c>
      <c r="CL90" s="21">
        <f>EXP(-LN(2)/25)*CL89+(1-EXP(-LN(2)/25))/(LN(2)/25)*Calculateur!CG90*Calculateur!CI90*VLOOKUP('Données projet'!$B$12,Paramètres!$A$1:$I$89,3,0)*0.475*44/12</f>
        <v>34.789184476799505</v>
      </c>
      <c r="CM90" s="21">
        <f>EXP(-LN(2)/2)*CM89+(1-EXP(-LN(2)/2))/(LN(2)/2)*CG90*CJ90*VLOOKUP('Données projet'!$B$12,Paramètres!$A$1:$I$89,3,0)*0.475*44/12</f>
        <v>2.6322586159797003</v>
      </c>
      <c r="CN90" s="22">
        <f t="shared" si="66"/>
        <v>43.343782723728644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-1.1368683772161603E-13</v>
      </c>
      <c r="CU90" s="17">
        <f>CT90*VLOOKUP('Données projet'!$B$13,Paramètres!$A$1:$I$89,3,0)*VLOOKUP('Données projet'!$B$13,Paramètres!$A$1:$I$89,5,0)</f>
        <v>-8.8675733422860506E-14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100.54865094989304</v>
      </c>
      <c r="CZ90" s="59">
        <f t="shared" si="96"/>
        <v>99.95654161405389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19.298079444509625</v>
      </c>
      <c r="DG90" s="21">
        <f>EXP(-LN(2)/25)*DG89+(1-EXP(-LN(2)/25))/(LN(2)/25)*Calculateur!DB90*Calculateur!DD90*VLOOKUP('Données projet'!$B$13,Paramètres!$A$1:$I$89,3,0)*0.475*44/12</f>
        <v>16.475372217073719</v>
      </c>
      <c r="DH90" s="21">
        <f>EXP(-LN(2)/2)*DH89+(1-EXP(-LN(2)/2))/(LN(2)/2)*DB90*DE90*VLOOKUP('Données projet'!$B$13,Paramètres!$A$1:$I$89,3,0)*0.475*44/12</f>
        <v>7.6066733840749468E-2</v>
      </c>
      <c r="DI90" s="22">
        <f t="shared" si="69"/>
        <v>35.849518395424091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4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76.87680000000006</v>
      </c>
      <c r="D91" s="11">
        <f t="shared" si="86"/>
        <v>21.371784666185135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758.41012724774544</v>
      </c>
      <c r="H91" s="67">
        <f t="shared" si="56"/>
        <v>464.44961829360585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3.4106051316484809E-13</v>
      </c>
      <c r="O91" s="13">
        <f>N91*VLOOKUP('Données projet'!$B$9,Paramètres!$A$1:$I$89,3,0)*VLOOKUP('Données projet'!$B$9,Paramètres!$A$1:$I$89,5,0)</f>
        <v>1.9065282685915009E-13</v>
      </c>
      <c r="P91" s="13">
        <f t="shared" si="87"/>
        <v>2.6568987209435707E-12</v>
      </c>
      <c r="Q91" s="20">
        <f t="shared" si="54"/>
        <v>4.959485612423072E-12</v>
      </c>
      <c r="R91" s="59">
        <f t="shared" si="55"/>
        <v>293.33333333333826</v>
      </c>
      <c r="S91" s="59">
        <f ca="1">AVERAGE(OFFSET($R$3,0,0,'Données projet'!$E$9+1,1))-AVERAGE(OFFSET($H$3,0,0,'Données projet'!$E$9+1,1))</f>
        <v>324.69474275039357</v>
      </c>
      <c r="T91" s="59">
        <f t="shared" si="88"/>
        <v>437.68177084535927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125.83723245317239</v>
      </c>
      <c r="AA91" s="21">
        <f>EXP(-LN(2)/25)*AA90+(1-EXP(-LN(2)/25))/(LN(2)/25)*Calculateur!V91*Calculateur!X91*VLOOKUP('Données projet'!$B$9,Paramètres!$A$1:$I$89,3,0)*0.475*44/12</f>
        <v>33.114777027626495</v>
      </c>
      <c r="AB91" s="21">
        <f>EXP(-LN(2)/2)*AB90+(1-EXP(-LN(2)/2))/(LN(2)/2)*V91*Y91*VLOOKUP('Données projet'!$B$9,Paramètres!$A$1:$I$89,3,0)*0.475*44/12</f>
        <v>6.9815149850506594E-4</v>
      </c>
      <c r="AC91" s="22">
        <f t="shared" si="57"/>
        <v>158.9527076322974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1.1368683772161603E-13</v>
      </c>
      <c r="AJ91" s="13">
        <f>AI91*VLOOKUP('Données projet'!$B$10,Paramètres!$A$1:$I$89,3,0)*VLOOKUP('Données projet'!$B$10,Paramètres!$A$1:$I$89,5,0)</f>
        <v>6.7984728957526396E-14</v>
      </c>
      <c r="AK91" s="13">
        <f t="shared" si="89"/>
        <v>1.0682447123141398E-12</v>
      </c>
      <c r="AL91" s="20">
        <f t="shared" si="58"/>
        <v>1.978932943548152E-12</v>
      </c>
      <c r="AM91" s="59">
        <f t="shared" si="59"/>
        <v>293.3333333333353</v>
      </c>
      <c r="AN91" s="59">
        <f ca="1">AVERAGE(OFFSET($AM$3,0,0,'Données projet'!$E$10+1,1))-AVERAGE(OFFSET($H$3,0,0,'Données projet'!$E$10+1,1))</f>
        <v>214.93913810439858</v>
      </c>
      <c r="AO91" s="59">
        <f t="shared" si="90"/>
        <v>210.65603079265924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79.759358487846555</v>
      </c>
      <c r="AV91" s="21">
        <f>EXP(-LN(2)/25)*AV90+(1-EXP(-LN(2)/25))/(LN(2)/25)*Calculateur!AQ91*Calculateur!AS91*VLOOKUP('Données projet'!$B$10,Paramètres!$A$1:$I$89,3,0)*0.475*44/12</f>
        <v>22.287183118085846</v>
      </c>
      <c r="AW91" s="21">
        <f>EXP(-LN(2)/2)*AW90+(1-EXP(-LN(2)/2))/(LN(2)/2)*AQ91*AT91*VLOOKUP('Données projet'!$B$10,Paramètres!$A$1:$I$89,3,0)*0.475*44/12</f>
        <v>3.6597560316988216E-3</v>
      </c>
      <c r="AX91" s="21">
        <f t="shared" si="60"/>
        <v>102.0502013619641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11.667500000000004</v>
      </c>
      <c r="BD91" s="12">
        <f>IF('Données projet'!$A$88&gt;35,BD90+BC91-BL90,IF(A91&lt;'Données projet'!$A$88,$BA$205^A91,IF(A91='Données projet'!$A$88,'Données projet'!$B$88,BD90+BC91-BL90)))</f>
        <v>448.03500000000003</v>
      </c>
      <c r="BE91" s="13">
        <f>BD91*VLOOKUP('Données projet'!$B$11,Paramètres!$A$1:$I$89,3,0)*VLOOKUP('Données projet'!$B$11,Paramètres!$A$1:$I$89,5,0)</f>
        <v>405.382068</v>
      </c>
      <c r="BF91" s="13">
        <f t="shared" si="91"/>
        <v>92.866946705059107</v>
      </c>
      <c r="BG91" s="20">
        <f t="shared" si="61"/>
        <v>867.78370061131125</v>
      </c>
      <c r="BH91" s="59">
        <f t="shared" si="62"/>
        <v>1161.1170339446446</v>
      </c>
      <c r="BI91" s="59">
        <f ca="1">AVERAGE(OFFSET($BH$3,0,0,'Données projet'!$E$11+1,1))-AVERAGE(OFFSET($H$3,0,0,'Données projet'!$E$11+1,1))</f>
        <v>507.69556381324213</v>
      </c>
      <c r="BJ91" s="59">
        <f t="shared" si="92"/>
        <v>129.52638237044044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29.277380597763187</v>
      </c>
      <c r="BQ91" s="21">
        <f>EXP(-LN(2)/25)*BQ90+(1-EXP(-LN(2)/25))/(LN(2)/25)*Calculateur!BL91*Calculateur!BN91*VLOOKUP('Données projet'!$B$11,Paramètres!$A$1:$I$89,3,0)*0.475*44/12</f>
        <v>31.436363312073631</v>
      </c>
      <c r="BR91" s="21">
        <f>EXP(-LN(2)/2)*BR90+(1-EXP(-LN(2)/2))/(LN(2)/2)*BL91*BO91*VLOOKUP('Données projet'!$B$11,Paramètres!$A$1:$I$89,3,0)*0.475*44/12</f>
        <v>0.67402764369363766</v>
      </c>
      <c r="BS91" s="22">
        <f t="shared" si="63"/>
        <v>61.387771553530456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6.7600000000000007</v>
      </c>
      <c r="BY91" s="12">
        <f>IF('Données projet'!$A$114&gt;35,BY90+BX91-CG90,IF(A91&lt;'Données projet'!$A$114,$BV$205^A91,IF(A91='Données projet'!$A$114,'Données projet'!$B$114,BY90+BX91-CG90)))</f>
        <v>205.24999999999994</v>
      </c>
      <c r="BZ91" s="13">
        <f>BY91*VLOOKUP('Données projet'!$B$12,Paramètres!$A$1:$I$89,3,0)*VLOOKUP('Données projet'!$B$12,Paramètres!$A$1:$I$89,5,0)</f>
        <v>198.51779999999997</v>
      </c>
      <c r="CA91" s="13">
        <f t="shared" si="93"/>
        <v>49.418284138701907</v>
      </c>
      <c r="CB91" s="20">
        <f t="shared" si="64"/>
        <v>431.82201320823901</v>
      </c>
      <c r="CC91" s="59">
        <f t="shared" si="65"/>
        <v>725.15534654157227</v>
      </c>
      <c r="CD91" s="59">
        <f ca="1">AVERAGE(OFFSET($CC$3,0,0,'Données projet'!$E$12+1,1))-AVERAGE(OFFSET($H$3,0,0,'Données projet'!$E$12+1,1))</f>
        <v>292.52253679467469</v>
      </c>
      <c r="CE91" s="59">
        <f t="shared" si="94"/>
        <v>155.7114133976541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5.8062061630570092</v>
      </c>
      <c r="CL91" s="21">
        <f>EXP(-LN(2)/25)*CL90+(1-EXP(-LN(2)/25))/(LN(2)/25)*Calculateur!CG91*Calculateur!CI91*VLOOKUP('Données projet'!$B$12,Paramètres!$A$1:$I$89,3,0)*0.475*44/12</f>
        <v>33.837872397797724</v>
      </c>
      <c r="CM91" s="21">
        <f>EXP(-LN(2)/2)*CM90+(1-EXP(-LN(2)/2))/(LN(2)/2)*CG91*CJ91*VLOOKUP('Données projet'!$B$12,Paramètres!$A$1:$I$89,3,0)*0.475*44/12</f>
        <v>1.8612879171959624</v>
      </c>
      <c r="CN91" s="22">
        <f t="shared" si="66"/>
        <v>41.505366478050696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-1.1368683772161603E-13</v>
      </c>
      <c r="CU91" s="17">
        <f>CT91*VLOOKUP('Données projet'!$B$13,Paramètres!$A$1:$I$89,3,0)*VLOOKUP('Données projet'!$B$13,Paramètres!$A$1:$I$89,5,0)</f>
        <v>-8.8675733422860506E-14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100.54865094989304</v>
      </c>
      <c r="CZ91" s="59">
        <f t="shared" si="96"/>
        <v>99.95654161405389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18.919655877268994</v>
      </c>
      <c r="DG91" s="21">
        <f>EXP(-LN(2)/25)*DG90+(1-EXP(-LN(2)/25))/(LN(2)/25)*Calculateur!DB91*Calculateur!DD91*VLOOKUP('Données projet'!$B$13,Paramètres!$A$1:$I$89,3,0)*0.475*44/12</f>
        <v>16.024852297395668</v>
      </c>
      <c r="DH91" s="21">
        <f>EXP(-LN(2)/2)*DH90+(1-EXP(-LN(2)/2))/(LN(2)/2)*DB91*DE91*VLOOKUP('Données projet'!$B$13,Paramètres!$A$1:$I$89,3,0)*0.475*44/12</f>
        <v>5.3787303321506184E-2</v>
      </c>
      <c r="DI91" s="22">
        <f t="shared" si="69"/>
        <v>34.998295477986169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4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77.750400000000056</v>
      </c>
      <c r="D92" s="11">
        <f t="shared" si="86"/>
        <v>21.586235486267142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766.80911603434333</v>
      </c>
      <c r="H92" s="67">
        <f t="shared" si="56"/>
        <v>466.34464013858201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3.4106051316484809E-13</v>
      </c>
      <c r="O92" s="13">
        <f>N92*VLOOKUP('Données projet'!$B$9,Paramètres!$A$1:$I$89,3,0)*VLOOKUP('Données projet'!$B$9,Paramètres!$A$1:$I$89,5,0)</f>
        <v>1.9065282685915009E-13</v>
      </c>
      <c r="P92" s="13">
        <f t="shared" si="87"/>
        <v>2.6568987209435707E-12</v>
      </c>
      <c r="Q92" s="20">
        <f t="shared" si="54"/>
        <v>4.959485612423072E-12</v>
      </c>
      <c r="R92" s="59">
        <f t="shared" si="55"/>
        <v>293.33333333333826</v>
      </c>
      <c r="S92" s="59">
        <f ca="1">AVERAGE(OFFSET($R$3,0,0,'Données projet'!$E$9+1,1))-AVERAGE(OFFSET($H$3,0,0,'Données projet'!$E$9+1,1))</f>
        <v>324.69474275039357</v>
      </c>
      <c r="T92" s="59">
        <f t="shared" si="88"/>
        <v>437.68177084535927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123.36964107789873</v>
      </c>
      <c r="AA92" s="21">
        <f>EXP(-LN(2)/25)*AA91+(1-EXP(-LN(2)/25))/(LN(2)/25)*Calculateur!V92*Calculateur!X92*VLOOKUP('Données projet'!$B$9,Paramètres!$A$1:$I$89,3,0)*0.475*44/12</f>
        <v>32.209251708375611</v>
      </c>
      <c r="AB92" s="21">
        <f>EXP(-LN(2)/2)*AB91+(1-EXP(-LN(2)/2))/(LN(2)/2)*V92*Y92*VLOOKUP('Données projet'!$B$9,Paramètres!$A$1:$I$89,3,0)*0.475*44/12</f>
        <v>4.936676588884819E-4</v>
      </c>
      <c r="AC92" s="22">
        <f t="shared" si="57"/>
        <v>155.57938645393324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1.1368683772161603E-13</v>
      </c>
      <c r="AJ92" s="13">
        <f>AI92*VLOOKUP('Données projet'!$B$10,Paramètres!$A$1:$I$89,3,0)*VLOOKUP('Données projet'!$B$10,Paramètres!$A$1:$I$89,5,0)</f>
        <v>6.7984728957526396E-14</v>
      </c>
      <c r="AK92" s="13">
        <f t="shared" si="89"/>
        <v>1.0682447123141398E-12</v>
      </c>
      <c r="AL92" s="20">
        <f t="shared" si="58"/>
        <v>1.978932943548152E-12</v>
      </c>
      <c r="AM92" s="59">
        <f t="shared" si="59"/>
        <v>293.3333333333353</v>
      </c>
      <c r="AN92" s="59">
        <f ca="1">AVERAGE(OFFSET($AM$3,0,0,'Données projet'!$E$10+1,1))-AVERAGE(OFFSET($H$3,0,0,'Données projet'!$E$10+1,1))</f>
        <v>214.93913810439858</v>
      </c>
      <c r="AO92" s="59">
        <f t="shared" si="90"/>
        <v>210.65603079265924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78.195326116304926</v>
      </c>
      <c r="AV92" s="21">
        <f>EXP(-LN(2)/25)*AV91+(1-EXP(-LN(2)/25))/(LN(2)/25)*Calculateur!AQ92*Calculateur!AS92*VLOOKUP('Données projet'!$B$10,Paramètres!$A$1:$I$89,3,0)*0.475*44/12</f>
        <v>21.677738923689766</v>
      </c>
      <c r="AW92" s="21">
        <f>EXP(-LN(2)/2)*AW91+(1-EXP(-LN(2)/2))/(LN(2)/2)*AQ92*AT92*VLOOKUP('Données projet'!$B$10,Paramètres!$A$1:$I$89,3,0)*0.475*44/12</f>
        <v>2.5878383075026061E-3</v>
      </c>
      <c r="AX92" s="21">
        <f t="shared" si="60"/>
        <v>99.875652878302191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11.667500000000004</v>
      </c>
      <c r="BD92" s="12">
        <f>IF('Données projet'!$A$88&gt;35,BD91+BC92-BL91,IF(A92&lt;'Données projet'!$A$88,$BA$205^A92,IF(A92='Données projet'!$A$88,'Données projet'!$B$88,BD91+BC92-BL91)))</f>
        <v>459.70250000000004</v>
      </c>
      <c r="BE92" s="13">
        <f>BD92*VLOOKUP('Données projet'!$B$11,Paramètres!$A$1:$I$89,3,0)*VLOOKUP('Données projet'!$B$11,Paramètres!$A$1:$I$89,5,0)</f>
        <v>415.93882200000002</v>
      </c>
      <c r="BF92" s="13">
        <f t="shared" si="91"/>
        <v>95.000631788713704</v>
      </c>
      <c r="BG92" s="20">
        <f t="shared" si="61"/>
        <v>889.88621534867627</v>
      </c>
      <c r="BH92" s="59">
        <f t="shared" si="62"/>
        <v>1183.2195486820096</v>
      </c>
      <c r="BI92" s="59">
        <f ca="1">AVERAGE(OFFSET($BH$3,0,0,'Données projet'!$E$11+1,1))-AVERAGE(OFFSET($H$3,0,0,'Données projet'!$E$11+1,1))</f>
        <v>507.69556381324213</v>
      </c>
      <c r="BJ92" s="59">
        <f t="shared" si="92"/>
        <v>129.52638237044044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28.70326902167994</v>
      </c>
      <c r="BQ92" s="21">
        <f>EXP(-LN(2)/25)*BQ91+(1-EXP(-LN(2)/25))/(LN(2)/25)*Calculateur!BL92*Calculateur!BN92*VLOOKUP('Données projet'!$B$11,Paramètres!$A$1:$I$89,3,0)*0.475*44/12</f>
        <v>30.57673430413848</v>
      </c>
      <c r="BR92" s="21">
        <f>EXP(-LN(2)/2)*BR91+(1-EXP(-LN(2)/2))/(LN(2)/2)*BL92*BO92*VLOOKUP('Données projet'!$B$11,Paramètres!$A$1:$I$89,3,0)*0.475*44/12</f>
        <v>0.47660951756296127</v>
      </c>
      <c r="BS92" s="22">
        <f t="shared" si="63"/>
        <v>59.756612843381383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6.7600000000000007</v>
      </c>
      <c r="BY92" s="12">
        <f>IF('Données projet'!$A$114&gt;35,BY91+BX92-CG91,IF(A92&lt;'Données projet'!$A$114,$BV$205^A92,IF(A92='Données projet'!$A$114,'Données projet'!$B$114,BY91+BX92-CG91)))</f>
        <v>212.00999999999993</v>
      </c>
      <c r="BZ92" s="13">
        <f>BY92*VLOOKUP('Données projet'!$B$12,Paramètres!$A$1:$I$89,3,0)*VLOOKUP('Données projet'!$B$12,Paramètres!$A$1:$I$89,5,0)</f>
        <v>205.05607199999992</v>
      </c>
      <c r="CA92" s="13">
        <f t="shared" si="93"/>
        <v>50.853719611219461</v>
      </c>
      <c r="CB92" s="20">
        <f t="shared" si="64"/>
        <v>445.70955372287375</v>
      </c>
      <c r="CC92" s="59">
        <f t="shared" si="65"/>
        <v>739.04288705620706</v>
      </c>
      <c r="CD92" s="59">
        <f ca="1">AVERAGE(OFFSET($CC$3,0,0,'Données projet'!$E$12+1,1))-AVERAGE(OFFSET($H$3,0,0,'Données projet'!$E$12+1,1))</f>
        <v>292.52253679467469</v>
      </c>
      <c r="CE92" s="59">
        <f t="shared" si="94"/>
        <v>155.7114133976541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5.6923500016355328</v>
      </c>
      <c r="CL92" s="21">
        <f>EXP(-LN(2)/25)*CL91+(1-EXP(-LN(2)/25))/(LN(2)/25)*Calculateur!CG92*Calculateur!CI92*VLOOKUP('Données projet'!$B$12,Paramètres!$A$1:$I$89,3,0)*0.475*44/12</f>
        <v>32.912573997623575</v>
      </c>
      <c r="CM92" s="21">
        <f>EXP(-LN(2)/2)*CM91+(1-EXP(-LN(2)/2))/(LN(2)/2)*CG92*CJ92*VLOOKUP('Données projet'!$B$12,Paramètres!$A$1:$I$89,3,0)*0.475*44/12</f>
        <v>1.3161293079898502</v>
      </c>
      <c r="CN92" s="22">
        <f t="shared" si="66"/>
        <v>39.921053307248954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-1.1368683772161603E-13</v>
      </c>
      <c r="CU92" s="17">
        <f>CT92*VLOOKUP('Données projet'!$B$13,Paramètres!$A$1:$I$89,3,0)*VLOOKUP('Données projet'!$B$13,Paramètres!$A$1:$I$89,5,0)</f>
        <v>-8.8675733422860506E-14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100.54865094989304</v>
      </c>
      <c r="CZ92" s="59">
        <f t="shared" si="96"/>
        <v>99.95654161405389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18.548652965366369</v>
      </c>
      <c r="DG92" s="21">
        <f>EXP(-LN(2)/25)*DG91+(1-EXP(-LN(2)/25))/(LN(2)/25)*Calculateur!DB92*Calculateur!DD92*VLOOKUP('Données projet'!$B$13,Paramètres!$A$1:$I$89,3,0)*0.475*44/12</f>
        <v>15.586651868613027</v>
      </c>
      <c r="DH92" s="21">
        <f>EXP(-LN(2)/2)*DH91+(1-EXP(-LN(2)/2))/(LN(2)/2)*DB92*DE92*VLOOKUP('Données projet'!$B$13,Paramètres!$A$1:$I$89,3,0)*0.475*44/12</f>
        <v>3.8033366920374734E-2</v>
      </c>
      <c r="DI92" s="22">
        <f t="shared" si="69"/>
        <v>34.173338200899771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4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78.624000000000052</v>
      </c>
      <c r="D93" s="11">
        <f t="shared" si="86"/>
        <v>21.800406010684462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775.20594113510867</v>
      </c>
      <c r="H93" s="67">
        <f t="shared" si="56"/>
        <v>468.23917380194217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3.4106051316484809E-13</v>
      </c>
      <c r="O93" s="13">
        <f>N93*VLOOKUP('Données projet'!$B$9,Paramètres!$A$1:$I$89,3,0)*VLOOKUP('Données projet'!$B$9,Paramètres!$A$1:$I$89,5,0)</f>
        <v>1.9065282685915009E-13</v>
      </c>
      <c r="P93" s="13">
        <f t="shared" si="87"/>
        <v>2.6568987209435707E-12</v>
      </c>
      <c r="Q93" s="20">
        <f t="shared" si="54"/>
        <v>4.959485612423072E-12</v>
      </c>
      <c r="R93" s="59">
        <f t="shared" si="55"/>
        <v>293.33333333333826</v>
      </c>
      <c r="S93" s="59">
        <f ca="1">AVERAGE(OFFSET($R$3,0,0,'Données projet'!$E$9+1,1))-AVERAGE(OFFSET($H$3,0,0,'Données projet'!$E$9+1,1))</f>
        <v>324.69474275039357</v>
      </c>
      <c r="T93" s="59">
        <f t="shared" si="88"/>
        <v>437.68177084535927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120.95043766441206</v>
      </c>
      <c r="AA93" s="21">
        <f>EXP(-LN(2)/25)*AA92+(1-EXP(-LN(2)/25))/(LN(2)/25)*Calculateur!V93*Calculateur!X93*VLOOKUP('Données projet'!$B$9,Paramètres!$A$1:$I$89,3,0)*0.475*44/12</f>
        <v>31.328488026599146</v>
      </c>
      <c r="AB93" s="21">
        <f>EXP(-LN(2)/2)*AB92+(1-EXP(-LN(2)/2))/(LN(2)/2)*V93*Y93*VLOOKUP('Données projet'!$B$9,Paramètres!$A$1:$I$89,3,0)*0.475*44/12</f>
        <v>3.4907574925253297E-4</v>
      </c>
      <c r="AC93" s="22">
        <f t="shared" si="57"/>
        <v>152.27927476676047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1.1368683772161603E-13</v>
      </c>
      <c r="AJ93" s="13">
        <f>AI93*VLOOKUP('Données projet'!$B$10,Paramètres!$A$1:$I$89,3,0)*VLOOKUP('Données projet'!$B$10,Paramètres!$A$1:$I$89,5,0)</f>
        <v>6.7984728957526396E-14</v>
      </c>
      <c r="AK93" s="13">
        <f t="shared" si="89"/>
        <v>1.0682447123141398E-12</v>
      </c>
      <c r="AL93" s="20">
        <f t="shared" si="58"/>
        <v>1.978932943548152E-12</v>
      </c>
      <c r="AM93" s="59">
        <f t="shared" si="59"/>
        <v>293.3333333333353</v>
      </c>
      <c r="AN93" s="59">
        <f ca="1">AVERAGE(OFFSET($AM$3,0,0,'Données projet'!$E$10+1,1))-AVERAGE(OFFSET($H$3,0,0,'Données projet'!$E$10+1,1))</f>
        <v>214.93913810439858</v>
      </c>
      <c r="AO93" s="59">
        <f t="shared" si="90"/>
        <v>210.65603079265924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76.661963465603677</v>
      </c>
      <c r="AV93" s="21">
        <f>EXP(-LN(2)/25)*AV92+(1-EXP(-LN(2)/25))/(LN(2)/25)*Calculateur!AQ93*Calculateur!AS93*VLOOKUP('Données projet'!$B$10,Paramètres!$A$1:$I$89,3,0)*0.475*44/12</f>
        <v>21.084960012838724</v>
      </c>
      <c r="AW93" s="21">
        <f>EXP(-LN(2)/2)*AW92+(1-EXP(-LN(2)/2))/(LN(2)/2)*AQ93*AT93*VLOOKUP('Données projet'!$B$10,Paramètres!$A$1:$I$89,3,0)*0.475*44/12</f>
        <v>1.8298780158494108E-3</v>
      </c>
      <c r="AX93" s="21">
        <f t="shared" si="60"/>
        <v>97.748753356458252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471.37</v>
      </c>
      <c r="BB93" s="12">
        <f>VLOOKUP(A93,'Données projet'!$A$87:$I$107,9,0)</f>
        <v>11.667500000000004</v>
      </c>
      <c r="BC93" s="12">
        <f t="array" ref="BC93">INDEX(BB:BB,MIN(IF(ISNUMBER(BB93:BB289),ROW(BB93:BB289),"")))</f>
        <v>11.667500000000004</v>
      </c>
      <c r="BD93" s="12">
        <f>IF('Données projet'!$A$88&gt;35,BD92+BC93-BL92,IF(A93&lt;'Données projet'!$A$88,$BA$205^A93,IF(A93='Données projet'!$A$88,'Données projet'!$B$88,BD92+BC93-BL92)))</f>
        <v>471.37000000000006</v>
      </c>
      <c r="BE93" s="13">
        <f>BD93*VLOOKUP('Données projet'!$B$11,Paramètres!$A$1:$I$89,3,0)*VLOOKUP('Données projet'!$B$11,Paramètres!$A$1:$I$89,5,0)</f>
        <v>426.49557600000003</v>
      </c>
      <c r="BF93" s="13">
        <f t="shared" si="91"/>
        <v>97.128021924116638</v>
      </c>
      <c r="BG93" s="20">
        <f t="shared" si="61"/>
        <v>911.9777663845033</v>
      </c>
      <c r="BH93" s="59">
        <f t="shared" si="62"/>
        <v>1205.3110997178367</v>
      </c>
      <c r="BI93" s="59">
        <f ca="1">AVERAGE(OFFSET($BH$3,0,0,'Données projet'!$E$11+1,1))-AVERAGE(OFFSET($H$3,0,0,'Données projet'!$E$11+1,1))</f>
        <v>507.69556381324213</v>
      </c>
      <c r="BJ93" s="59">
        <f t="shared" si="92"/>
        <v>129.52638237044044</v>
      </c>
      <c r="BK93" s="15">
        <f>IF(ISNA(VLOOKUP(A93,'Données projet'!$A$87:$I$107,3,0)),0,VLOOKUP(A93,'Données projet'!$A$87:$I$107,3,0))</f>
        <v>8</v>
      </c>
      <c r="BL93" s="15">
        <f>IF(ISNA(VLOOKUP(A93,'Données projet'!$A$87:$I$107,4,0)),0,VLOOKUP(A93,'Données projet'!$A$87:$I$107,4,0))</f>
        <v>68.54000000000002</v>
      </c>
      <c r="BM93" s="16">
        <f>IF(ISNA(VLOOKUP(A93,'Données projet'!$A$87:$I$107,5,0)),0%,VLOOKUP(A93,'Données projet'!$A$87:$I$107,5,0)*VLOOKUP('Données projet'!$B$11,Paramètres!$A$1:$I$89,7,0))</f>
        <v>0.15049999999999999</v>
      </c>
      <c r="BN93" s="16">
        <f>IF(ISNA(VLOOKUP(A93,'Données projet'!$A$87:$I$107,6,0)),0%,VLOOKUP(A93,'Données projet'!$A$87:$I$107,6,0)*VLOOKUP('Données projet'!$B$11,Paramètres!$A$1:$I$89,7,0))</f>
        <v>8.6000000000000007E-2</v>
      </c>
      <c r="BO93" s="16">
        <f>IF(ISNA(VLOOKUP(A93,'Données projet'!$A$87:$I$107,7,0)),0%,VLOOKUP(A93,'Données projet'!$A$87:$I$107,7,0))</f>
        <v>0.1</v>
      </c>
      <c r="BP93" s="21">
        <f>EXP(-LN(2)/35)*BP92+(1-EXP(-LN(2)/35))/(LN(2)/35)*BL93*BM93*VLOOKUP('Données projet'!$B$11,Paramètres!$A$1:$I$89,3,0)*0.475*44/12</f>
        <v>38.458053803247623</v>
      </c>
      <c r="BQ93" s="21">
        <f>EXP(-LN(2)/25)*BQ92+(1-EXP(-LN(2)/25))/(LN(2)/25)*Calculateur!BL93*Calculateur!BN93*VLOOKUP('Données projet'!$B$11,Paramètres!$A$1:$I$89,3,0)*0.475*44/12</f>
        <v>35.61319127159561</v>
      </c>
      <c r="BR93" s="21">
        <f>EXP(-LN(2)/2)*BR92+(1-EXP(-LN(2)/2))/(LN(2)/2)*BL93*BO93*VLOOKUP('Données projet'!$B$11,Paramètres!$A$1:$I$89,3,0)*0.475*44/12</f>
        <v>6.1882952279506034</v>
      </c>
      <c r="BS93" s="22">
        <f t="shared" si="63"/>
        <v>80.259540302793837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6.7600000000000007</v>
      </c>
      <c r="BY93" s="12">
        <f>IF('Données projet'!$A$114&gt;35,BY92+BX93-CG92,IF(A93&lt;'Données projet'!$A$114,$BV$205^A93,IF(A93='Données projet'!$A$114,'Données projet'!$B$114,BY92+BX93-CG92)))</f>
        <v>218.76999999999992</v>
      </c>
      <c r="BZ93" s="13">
        <f>BY93*VLOOKUP('Données projet'!$B$12,Paramètres!$A$1:$I$89,3,0)*VLOOKUP('Données projet'!$B$12,Paramètres!$A$1:$I$89,5,0)</f>
        <v>211.59434399999995</v>
      </c>
      <c r="CA93" s="13">
        <f t="shared" si="93"/>
        <v>52.283836462333554</v>
      </c>
      <c r="CB93" s="20">
        <f t="shared" si="64"/>
        <v>459.58783097189752</v>
      </c>
      <c r="CC93" s="59">
        <f t="shared" si="65"/>
        <v>752.92116430523083</v>
      </c>
      <c r="CD93" s="59">
        <f ca="1">AVERAGE(OFFSET($CC$3,0,0,'Données projet'!$E$12+1,1))-AVERAGE(OFFSET($H$3,0,0,'Données projet'!$E$12+1,1))</f>
        <v>292.52253679467469</v>
      </c>
      <c r="CE93" s="59">
        <f t="shared" si="94"/>
        <v>155.7114133976541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5.58072649009413</v>
      </c>
      <c r="CL93" s="21">
        <f>EXP(-LN(2)/25)*CL92+(1-EXP(-LN(2)/25))/(LN(2)/25)*Calculateur!CG93*Calculateur!CI93*VLOOKUP('Données projet'!$B$12,Paramètres!$A$1:$I$89,3,0)*0.475*44/12</f>
        <v>32.012577930861518</v>
      </c>
      <c r="CM93" s="21">
        <f>EXP(-LN(2)/2)*CM92+(1-EXP(-LN(2)/2))/(LN(2)/2)*CG93*CJ93*VLOOKUP('Données projet'!$B$12,Paramètres!$A$1:$I$89,3,0)*0.475*44/12</f>
        <v>0.93064395859798121</v>
      </c>
      <c r="CN93" s="22">
        <f t="shared" si="66"/>
        <v>38.52394837955363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-1.1368683772161603E-13</v>
      </c>
      <c r="CU93" s="17">
        <f>CT93*VLOOKUP('Données projet'!$B$13,Paramètres!$A$1:$I$89,3,0)*VLOOKUP('Données projet'!$B$13,Paramètres!$A$1:$I$89,5,0)</f>
        <v>-8.8675733422860506E-14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100.54865094989304</v>
      </c>
      <c r="CZ93" s="59">
        <f t="shared" si="96"/>
        <v>99.95654161405389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18.184925194276722</v>
      </c>
      <c r="DG93" s="21">
        <f>EXP(-LN(2)/25)*DG92+(1-EXP(-LN(2)/25))/(LN(2)/25)*Calculateur!DB93*Calculateur!DD93*VLOOKUP('Données projet'!$B$13,Paramètres!$A$1:$I$89,3,0)*0.475*44/12</f>
        <v>15.160434053599406</v>
      </c>
      <c r="DH93" s="21">
        <f>EXP(-LN(2)/2)*DH92+(1-EXP(-LN(2)/2))/(LN(2)/2)*DB93*DE93*VLOOKUP('Données projet'!$B$13,Paramètres!$A$1:$I$89,3,0)*0.475*44/12</f>
        <v>2.6893651660753092E-2</v>
      </c>
      <c r="DI93" s="22">
        <f t="shared" si="69"/>
        <v>33.372252899536882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4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79.497600000000048</v>
      </c>
      <c r="D94" s="11">
        <f t="shared" si="86"/>
        <v>22.014299714245357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783.6006293731225</v>
      </c>
      <c r="H94" s="67">
        <f t="shared" si="56"/>
        <v>470.13322533564406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3.4106051316484809E-13</v>
      </c>
      <c r="O94" s="13">
        <f>N94*VLOOKUP('Données projet'!$B$9,Paramètres!$A$1:$I$89,3,0)*VLOOKUP('Données projet'!$B$9,Paramètres!$A$1:$I$89,5,0)</f>
        <v>1.9065282685915009E-13</v>
      </c>
      <c r="P94" s="13">
        <f t="shared" si="87"/>
        <v>2.6568987209435707E-12</v>
      </c>
      <c r="Q94" s="20">
        <f t="shared" si="54"/>
        <v>4.959485612423072E-12</v>
      </c>
      <c r="R94" s="59">
        <f t="shared" si="55"/>
        <v>293.33333333333826</v>
      </c>
      <c r="S94" s="59">
        <f ca="1">AVERAGE(OFFSET($R$3,0,0,'Données projet'!$E$9+1,1))-AVERAGE(OFFSET($H$3,0,0,'Données projet'!$E$9+1,1))</f>
        <v>324.69474275039357</v>
      </c>
      <c r="T94" s="59">
        <f t="shared" si="88"/>
        <v>437.68177084535927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118.57867335429549</v>
      </c>
      <c r="AA94" s="21">
        <f>EXP(-LN(2)/25)*AA93+(1-EXP(-LN(2)/25))/(LN(2)/25)*Calculateur!V94*Calculateur!X94*VLOOKUP('Données projet'!$B$9,Paramètres!$A$1:$I$89,3,0)*0.475*44/12</f>
        <v>30.471808874018208</v>
      </c>
      <c r="AB94" s="21">
        <f>EXP(-LN(2)/2)*AB93+(1-EXP(-LN(2)/2))/(LN(2)/2)*V94*Y94*VLOOKUP('Données projet'!$B$9,Paramètres!$A$1:$I$89,3,0)*0.475*44/12</f>
        <v>2.4683382944424095E-4</v>
      </c>
      <c r="AC94" s="22">
        <f t="shared" si="57"/>
        <v>149.05072906214312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1.1368683772161603E-13</v>
      </c>
      <c r="AJ94" s="13">
        <f>AI94*VLOOKUP('Données projet'!$B$10,Paramètres!$A$1:$I$89,3,0)*VLOOKUP('Données projet'!$B$10,Paramètres!$A$1:$I$89,5,0)</f>
        <v>6.7984728957526396E-14</v>
      </c>
      <c r="AK94" s="13">
        <f t="shared" si="89"/>
        <v>1.0682447123141398E-12</v>
      </c>
      <c r="AL94" s="20">
        <f t="shared" si="58"/>
        <v>1.978932943548152E-12</v>
      </c>
      <c r="AM94" s="59">
        <f t="shared" si="59"/>
        <v>293.3333333333353</v>
      </c>
      <c r="AN94" s="59">
        <f ca="1">AVERAGE(OFFSET($AM$3,0,0,'Données projet'!$E$10+1,1))-AVERAGE(OFFSET($H$3,0,0,'Données projet'!$E$10+1,1))</f>
        <v>214.93913810439858</v>
      </c>
      <c r="AO94" s="59">
        <f t="shared" si="90"/>
        <v>210.65603079265924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75.158669121223824</v>
      </c>
      <c r="AV94" s="21">
        <f>EXP(-LN(2)/25)*AV93+(1-EXP(-LN(2)/25))/(LN(2)/25)*Calculateur!AQ94*Calculateur!AS94*VLOOKUP('Données projet'!$B$10,Paramètres!$A$1:$I$89,3,0)*0.475*44/12</f>
        <v>20.508390672477791</v>
      </c>
      <c r="AW94" s="21">
        <f>EXP(-LN(2)/2)*AW93+(1-EXP(-LN(2)/2))/(LN(2)/2)*AQ94*AT94*VLOOKUP('Données projet'!$B$10,Paramètres!$A$1:$I$89,3,0)*0.475*44/12</f>
        <v>1.2939191537513031E-3</v>
      </c>
      <c r="AX94" s="21">
        <f t="shared" si="60"/>
        <v>95.668353712855364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11.283999999999997</v>
      </c>
      <c r="BD94" s="12">
        <f>IF('Données projet'!$A$88&gt;35,BD93+BC94-BL93,IF(A94&lt;'Données projet'!$A$88,$BA$205^A94,IF(A94='Données projet'!$A$88,'Données projet'!$B$88,BD93+BC94-BL93)))</f>
        <v>414.11400000000003</v>
      </c>
      <c r="BE94" s="13">
        <f>BD94*VLOOKUP('Données projet'!$B$11,Paramètres!$A$1:$I$89,3,0)*VLOOKUP('Données projet'!$B$11,Paramètres!$A$1:$I$89,5,0)</f>
        <v>374.69034720000002</v>
      </c>
      <c r="BF94" s="13">
        <f t="shared" si="91"/>
        <v>86.626165379177522</v>
      </c>
      <c r="BG94" s="20">
        <f t="shared" si="61"/>
        <v>803.45959274206746</v>
      </c>
      <c r="BH94" s="59">
        <f t="shared" si="62"/>
        <v>1096.7929260754008</v>
      </c>
      <c r="BI94" s="59">
        <f ca="1">AVERAGE(OFFSET($BH$3,0,0,'Données projet'!$E$11+1,1))-AVERAGE(OFFSET($H$3,0,0,'Données projet'!$E$11+1,1))</f>
        <v>507.69556381324213</v>
      </c>
      <c r="BJ94" s="59">
        <f t="shared" si="92"/>
        <v>129.52638237044044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37.703914825262558</v>
      </c>
      <c r="BQ94" s="21">
        <f>EXP(-LN(2)/25)*BQ93+(1-EXP(-LN(2)/25))/(LN(2)/25)*Calculateur!BL94*Calculateur!BN94*VLOOKUP('Données projet'!$B$11,Paramètres!$A$1:$I$89,3,0)*0.475*44/12</f>
        <v>34.639346683457497</v>
      </c>
      <c r="BR94" s="21">
        <f>EXP(-LN(2)/2)*BR93+(1-EXP(-LN(2)/2))/(LN(2)/2)*BL94*BO94*VLOOKUP('Données projet'!$B$11,Paramètres!$A$1:$I$89,3,0)*0.475*44/12</f>
        <v>4.3757855196682236</v>
      </c>
      <c r="BS94" s="22">
        <f t="shared" si="63"/>
        <v>76.719047028388275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6.7600000000000007</v>
      </c>
      <c r="BY94" s="12">
        <f>IF('Données projet'!$A$114&gt;35,BY93+BX94-CG93,IF(A94&lt;'Données projet'!$A$114,$BV$205^A94,IF(A94='Données projet'!$A$114,'Données projet'!$B$114,BY93+BX94-CG93)))</f>
        <v>225.52999999999992</v>
      </c>
      <c r="BZ94" s="13">
        <f>BY94*VLOOKUP('Données projet'!$B$12,Paramètres!$A$1:$I$89,3,0)*VLOOKUP('Données projet'!$B$12,Paramètres!$A$1:$I$89,5,0)</f>
        <v>218.1326159999999</v>
      </c>
      <c r="CA94" s="13">
        <f t="shared" si="93"/>
        <v>53.708817897023764</v>
      </c>
      <c r="CB94" s="20">
        <f t="shared" si="64"/>
        <v>473.4571640373162</v>
      </c>
      <c r="CC94" s="59">
        <f t="shared" si="65"/>
        <v>766.79049737064952</v>
      </c>
      <c r="CD94" s="59">
        <f ca="1">AVERAGE(OFFSET($CC$3,0,0,'Données projet'!$E$12+1,1))-AVERAGE(OFFSET($H$3,0,0,'Données projet'!$E$12+1,1))</f>
        <v>292.52253679467469</v>
      </c>
      <c r="CE94" s="59">
        <f t="shared" si="94"/>
        <v>155.7114133976541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5.4712918475304351</v>
      </c>
      <c r="CL94" s="21">
        <f>EXP(-LN(2)/25)*CL93+(1-EXP(-LN(2)/25))/(LN(2)/25)*Calculateur!CG94*Calculateur!CI94*VLOOKUP('Données projet'!$B$12,Paramètres!$A$1:$I$89,3,0)*0.475*44/12</f>
        <v>31.137192303873803</v>
      </c>
      <c r="CM94" s="21">
        <f>EXP(-LN(2)/2)*CM93+(1-EXP(-LN(2)/2))/(LN(2)/2)*CG94*CJ94*VLOOKUP('Données projet'!$B$12,Paramètres!$A$1:$I$89,3,0)*0.475*44/12</f>
        <v>0.65806465399492509</v>
      </c>
      <c r="CN94" s="22">
        <f t="shared" si="66"/>
        <v>37.266548805399168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-1.1368683772161603E-13</v>
      </c>
      <c r="CU94" s="17">
        <f>CT94*VLOOKUP('Données projet'!$B$13,Paramètres!$A$1:$I$89,3,0)*VLOOKUP('Données projet'!$B$13,Paramètres!$A$1:$I$89,5,0)</f>
        <v>-8.8675733422860506E-14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100.54865094989304</v>
      </c>
      <c r="CZ94" s="59">
        <f t="shared" si="96"/>
        <v>99.95654161405389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17.828329902926111</v>
      </c>
      <c r="DG94" s="21">
        <f>EXP(-LN(2)/25)*DG93+(1-EXP(-LN(2)/25))/(LN(2)/25)*Calculateur!DB94*Calculateur!DD94*VLOOKUP('Données projet'!$B$13,Paramètres!$A$1:$I$89,3,0)*0.475*44/12</f>
        <v>14.745871187151153</v>
      </c>
      <c r="DH94" s="21">
        <f>EXP(-LN(2)/2)*DH93+(1-EXP(-LN(2)/2))/(LN(2)/2)*DB94*DE94*VLOOKUP('Données projet'!$B$13,Paramètres!$A$1:$I$89,3,0)*0.475*44/12</f>
        <v>1.9016683460187367E-2</v>
      </c>
      <c r="DI94" s="22">
        <f t="shared" si="69"/>
        <v>32.593217773537454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4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80.371200000000044</v>
      </c>
      <c r="D95" s="11">
        <f t="shared" si="86"/>
        <v>22.227919990990831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791.99320694799974</v>
      </c>
      <c r="H95" s="67">
        <f t="shared" si="56"/>
        <v>472.0268006509757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3.4106051316484809E-13</v>
      </c>
      <c r="O95" s="13">
        <f>N95*VLOOKUP('Données projet'!$B$9,Paramètres!$A$1:$I$89,3,0)*VLOOKUP('Données projet'!$B$9,Paramètres!$A$1:$I$89,5,0)</f>
        <v>1.9065282685915009E-13</v>
      </c>
      <c r="P95" s="13">
        <f t="shared" si="87"/>
        <v>2.6568987209435707E-12</v>
      </c>
      <c r="Q95" s="20">
        <f t="shared" si="54"/>
        <v>4.959485612423072E-12</v>
      </c>
      <c r="R95" s="59">
        <f t="shared" si="55"/>
        <v>293.33333333333826</v>
      </c>
      <c r="S95" s="59">
        <f ca="1">AVERAGE(OFFSET($R$3,0,0,'Données projet'!$E$9+1,1))-AVERAGE(OFFSET($H$3,0,0,'Données projet'!$E$9+1,1))</f>
        <v>324.69474275039357</v>
      </c>
      <c r="T95" s="59">
        <f t="shared" si="88"/>
        <v>437.68177084535927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116.25341789566691</v>
      </c>
      <c r="AA95" s="21">
        <f>EXP(-LN(2)/25)*AA94+(1-EXP(-LN(2)/25))/(LN(2)/25)*Calculateur!V95*Calculateur!X95*VLOOKUP('Données projet'!$B$9,Paramètres!$A$1:$I$89,3,0)*0.475*44/12</f>
        <v>29.638555657915397</v>
      </c>
      <c r="AB95" s="21">
        <f>EXP(-LN(2)/2)*AB94+(1-EXP(-LN(2)/2))/(LN(2)/2)*V95*Y95*VLOOKUP('Données projet'!$B$9,Paramètres!$A$1:$I$89,3,0)*0.475*44/12</f>
        <v>1.7453787462626648E-4</v>
      </c>
      <c r="AC95" s="22">
        <f t="shared" si="57"/>
        <v>145.89214809145693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1.1368683772161603E-13</v>
      </c>
      <c r="AJ95" s="13">
        <f>AI95*VLOOKUP('Données projet'!$B$10,Paramètres!$A$1:$I$89,3,0)*VLOOKUP('Données projet'!$B$10,Paramètres!$A$1:$I$89,5,0)</f>
        <v>6.7984728957526396E-14</v>
      </c>
      <c r="AK95" s="13">
        <f t="shared" si="89"/>
        <v>1.0682447123141398E-12</v>
      </c>
      <c r="AL95" s="20">
        <f t="shared" si="58"/>
        <v>1.978932943548152E-12</v>
      </c>
      <c r="AM95" s="59">
        <f t="shared" si="59"/>
        <v>293.3333333333353</v>
      </c>
      <c r="AN95" s="59">
        <f ca="1">AVERAGE(OFFSET($AM$3,0,0,'Données projet'!$E$10+1,1))-AVERAGE(OFFSET($H$3,0,0,'Données projet'!$E$10+1,1))</f>
        <v>214.93913810439858</v>
      </c>
      <c r="AO95" s="59">
        <f t="shared" si="90"/>
        <v>210.65603079265924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73.684853462018239</v>
      </c>
      <c r="AV95" s="21">
        <f>EXP(-LN(2)/25)*AV94+(1-EXP(-LN(2)/25))/(LN(2)/25)*Calculateur!AQ95*Calculateur!AS95*VLOOKUP('Données projet'!$B$10,Paramètres!$A$1:$I$89,3,0)*0.475*44/12</f>
        <v>19.947587651049492</v>
      </c>
      <c r="AW95" s="21">
        <f>EXP(-LN(2)/2)*AW94+(1-EXP(-LN(2)/2))/(LN(2)/2)*AQ95*AT95*VLOOKUP('Données projet'!$B$10,Paramètres!$A$1:$I$89,3,0)*0.475*44/12</f>
        <v>9.1493900792470541E-4</v>
      </c>
      <c r="AX95" s="21">
        <f t="shared" si="60"/>
        <v>93.633356052075655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11.283999999999997</v>
      </c>
      <c r="BD95" s="12">
        <f>IF('Données projet'!$A$88&gt;35,BD94+BC95-BL94,IF(A95&lt;'Données projet'!$A$88,$BA$205^A95,IF(A95='Données projet'!$A$88,'Données projet'!$B$88,BD94+BC95-BL94)))</f>
        <v>425.39800000000002</v>
      </c>
      <c r="BE95" s="13">
        <f>BD95*VLOOKUP('Données projet'!$B$11,Paramètres!$A$1:$I$89,3,0)*VLOOKUP('Données projet'!$B$11,Paramètres!$A$1:$I$89,5,0)</f>
        <v>384.90011040000002</v>
      </c>
      <c r="BF95" s="13">
        <f t="shared" si="91"/>
        <v>88.708572204563708</v>
      </c>
      <c r="BG95" s="20">
        <f t="shared" si="61"/>
        <v>824.86845553628189</v>
      </c>
      <c r="BH95" s="59">
        <f t="shared" si="62"/>
        <v>1118.2017888696153</v>
      </c>
      <c r="BI95" s="59">
        <f ca="1">AVERAGE(OFFSET($BH$3,0,0,'Données projet'!$E$11+1,1))-AVERAGE(OFFSET($H$3,0,0,'Données projet'!$E$11+1,1))</f>
        <v>507.69556381324213</v>
      </c>
      <c r="BJ95" s="59">
        <f t="shared" si="92"/>
        <v>129.52638237044044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36.964564052656428</v>
      </c>
      <c r="BQ95" s="21">
        <f>EXP(-LN(2)/25)*BQ94+(1-EXP(-LN(2)/25))/(LN(2)/25)*Calculateur!BL95*Calculateur!BN95*VLOOKUP('Données projet'!$B$11,Paramètres!$A$1:$I$89,3,0)*0.475*44/12</f>
        <v>33.692131926794282</v>
      </c>
      <c r="BR95" s="21">
        <f>EXP(-LN(2)/2)*BR94+(1-EXP(-LN(2)/2))/(LN(2)/2)*BL95*BO95*VLOOKUP('Données projet'!$B$11,Paramètres!$A$1:$I$89,3,0)*0.475*44/12</f>
        <v>3.0941476139753021</v>
      </c>
      <c r="BS95" s="22">
        <f t="shared" si="63"/>
        <v>73.750843593426026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6.7600000000000007</v>
      </c>
      <c r="BY95" s="12">
        <f>IF('Données projet'!$A$114&gt;35,BY94+BX95-CG94,IF(A95&lt;'Données projet'!$A$114,$BV$205^A95,IF(A95='Données projet'!$A$114,'Données projet'!$B$114,BY94+BX95-CG94)))</f>
        <v>232.28999999999991</v>
      </c>
      <c r="BZ95" s="13">
        <f>BY95*VLOOKUP('Données projet'!$B$12,Paramètres!$A$1:$I$89,3,0)*VLOOKUP('Données projet'!$B$12,Paramètres!$A$1:$I$89,5,0)</f>
        <v>224.67088799999993</v>
      </c>
      <c r="CA95" s="13">
        <f t="shared" si="93"/>
        <v>55.128835513346814</v>
      </c>
      <c r="CB95" s="20">
        <f t="shared" si="64"/>
        <v>487.31785178574552</v>
      </c>
      <c r="CC95" s="59">
        <f t="shared" si="65"/>
        <v>780.65118511907883</v>
      </c>
      <c r="CD95" s="59">
        <f ca="1">AVERAGE(OFFSET($CC$3,0,0,'Données projet'!$E$12+1,1))-AVERAGE(OFFSET($H$3,0,0,'Données projet'!$E$12+1,1))</f>
        <v>292.52253679467469</v>
      </c>
      <c r="CE95" s="59">
        <f t="shared" si="94"/>
        <v>155.7114133976541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5.3640031515588733</v>
      </c>
      <c r="CL95" s="21">
        <f>EXP(-LN(2)/25)*CL94+(1-EXP(-LN(2)/25))/(LN(2)/25)*Calculateur!CG95*Calculateur!CI95*VLOOKUP('Données projet'!$B$12,Paramètres!$A$1:$I$89,3,0)*0.475*44/12</f>
        <v>30.285744142890596</v>
      </c>
      <c r="CM95" s="21">
        <f>EXP(-LN(2)/2)*CM94+(1-EXP(-LN(2)/2))/(LN(2)/2)*CG95*CJ95*VLOOKUP('Données projet'!$B$12,Paramètres!$A$1:$I$89,3,0)*0.475*44/12</f>
        <v>0.46532197929899061</v>
      </c>
      <c r="CN95" s="22">
        <f t="shared" si="66"/>
        <v>36.11506927374846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-1.1368683772161603E-13</v>
      </c>
      <c r="CU95" s="17">
        <f>CT95*VLOOKUP('Données projet'!$B$13,Paramètres!$A$1:$I$89,3,0)*VLOOKUP('Données projet'!$B$13,Paramètres!$A$1:$I$89,5,0)</f>
        <v>-8.8675733422860506E-14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100.54865094989304</v>
      </c>
      <c r="CZ95" s="59">
        <f t="shared" si="96"/>
        <v>99.95654161405389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17.478727227737231</v>
      </c>
      <c r="DG95" s="21">
        <f>EXP(-LN(2)/25)*DG94+(1-EXP(-LN(2)/25))/(LN(2)/25)*Calculateur!DB95*Calculateur!DD95*VLOOKUP('Données projet'!$B$13,Paramètres!$A$1:$I$89,3,0)*0.475*44/12</f>
        <v>14.342644564086841</v>
      </c>
      <c r="DH95" s="21">
        <f>EXP(-LN(2)/2)*DH94+(1-EXP(-LN(2)/2))/(LN(2)/2)*DB95*DE95*VLOOKUP('Données projet'!$B$13,Paramètres!$A$1:$I$89,3,0)*0.475*44/12</f>
        <v>1.3446825830376546E-2</v>
      </c>
      <c r="DI95" s="22">
        <f t="shared" si="69"/>
        <v>31.834818617654445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4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81.244800000000041</v>
      </c>
      <c r="D96" s="11">
        <f t="shared" si="86"/>
        <v>22.441270156928979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800.38369945699606</v>
      </c>
      <c r="H96" s="67">
        <f t="shared" si="56"/>
        <v>473.91990552331799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3.4106051316484809E-13</v>
      </c>
      <c r="O96" s="13">
        <f>N96*VLOOKUP('Données projet'!$B$9,Paramètres!$A$1:$I$89,3,0)*VLOOKUP('Données projet'!$B$9,Paramètres!$A$1:$I$89,5,0)</f>
        <v>1.9065282685915009E-13</v>
      </c>
      <c r="P96" s="13">
        <f t="shared" si="87"/>
        <v>2.6568987209435707E-12</v>
      </c>
      <c r="Q96" s="20">
        <f t="shared" si="54"/>
        <v>4.959485612423072E-12</v>
      </c>
      <c r="R96" s="59">
        <f t="shared" si="55"/>
        <v>293.33333333333826</v>
      </c>
      <c r="S96" s="59">
        <f ca="1">AVERAGE(OFFSET($R$3,0,0,'Données projet'!$E$9+1,1))-AVERAGE(OFFSET($H$3,0,0,'Données projet'!$E$9+1,1))</f>
        <v>324.69474275039357</v>
      </c>
      <c r="T96" s="59">
        <f t="shared" si="88"/>
        <v>437.68177084535927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113.97375927831627</v>
      </c>
      <c r="AA96" s="21">
        <f>EXP(-LN(2)/25)*AA95+(1-EXP(-LN(2)/25))/(LN(2)/25)*Calculateur!V96*Calculateur!X96*VLOOKUP('Données projet'!$B$9,Paramètres!$A$1:$I$89,3,0)*0.475*44/12</f>
        <v>28.828087794825798</v>
      </c>
      <c r="AB96" s="21">
        <f>EXP(-LN(2)/2)*AB95+(1-EXP(-LN(2)/2))/(LN(2)/2)*V96*Y96*VLOOKUP('Données projet'!$B$9,Paramètres!$A$1:$I$89,3,0)*0.475*44/12</f>
        <v>1.2341691472212048E-4</v>
      </c>
      <c r="AC96" s="22">
        <f t="shared" si="57"/>
        <v>142.80197049005679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1.1368683772161603E-13</v>
      </c>
      <c r="AJ96" s="13">
        <f>AI96*VLOOKUP('Données projet'!$B$10,Paramètres!$A$1:$I$89,3,0)*VLOOKUP('Données projet'!$B$10,Paramètres!$A$1:$I$89,5,0)</f>
        <v>6.7984728957526396E-14</v>
      </c>
      <c r="AK96" s="13">
        <f t="shared" si="89"/>
        <v>1.0682447123141398E-12</v>
      </c>
      <c r="AL96" s="20">
        <f t="shared" si="58"/>
        <v>1.978932943548152E-12</v>
      </c>
      <c r="AM96" s="59">
        <f t="shared" si="59"/>
        <v>293.3333333333353</v>
      </c>
      <c r="AN96" s="59">
        <f ca="1">AVERAGE(OFFSET($AM$3,0,0,'Données projet'!$E$10+1,1))-AVERAGE(OFFSET($H$3,0,0,'Données projet'!$E$10+1,1))</f>
        <v>214.93913810439858</v>
      </c>
      <c r="AO96" s="59">
        <f t="shared" si="90"/>
        <v>210.65603079265924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72.239938428950893</v>
      </c>
      <c r="AV96" s="21">
        <f>EXP(-LN(2)/25)*AV95+(1-EXP(-LN(2)/25))/(LN(2)/25)*Calculateur!AQ96*Calculateur!AS96*VLOOKUP('Données projet'!$B$10,Paramètres!$A$1:$I$89,3,0)*0.475*44/12</f>
        <v>19.402119817733499</v>
      </c>
      <c r="AW96" s="21">
        <f>EXP(-LN(2)/2)*AW95+(1-EXP(-LN(2)/2))/(LN(2)/2)*AQ96*AT96*VLOOKUP('Données projet'!$B$10,Paramètres!$A$1:$I$89,3,0)*0.475*44/12</f>
        <v>6.4695957687565153E-4</v>
      </c>
      <c r="AX96" s="21">
        <f t="shared" si="60"/>
        <v>91.642705206261269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11.283999999999997</v>
      </c>
      <c r="BD96" s="12">
        <f>IF('Données projet'!$A$88&gt;35,BD95+BC96-BL95,IF(A96&lt;'Données projet'!$A$88,$BA$205^A96,IF(A96='Données projet'!$A$88,'Données projet'!$B$88,BD95+BC96-BL95)))</f>
        <v>436.68200000000002</v>
      </c>
      <c r="BE96" s="13">
        <f>BD96*VLOOKUP('Données projet'!$B$11,Paramètres!$A$1:$I$89,3,0)*VLOOKUP('Données projet'!$B$11,Paramètres!$A$1:$I$89,5,0)</f>
        <v>395.10987360000001</v>
      </c>
      <c r="BF96" s="13">
        <f t="shared" si="91"/>
        <v>90.784558517022006</v>
      </c>
      <c r="BG96" s="20">
        <f t="shared" si="61"/>
        <v>846.26613593714671</v>
      </c>
      <c r="BH96" s="59">
        <f t="shared" si="62"/>
        <v>1139.5994692704801</v>
      </c>
      <c r="BI96" s="59">
        <f ca="1">AVERAGE(OFFSET($BH$3,0,0,'Données projet'!$E$11+1,1))-AVERAGE(OFFSET($H$3,0,0,'Données projet'!$E$11+1,1))</f>
        <v>507.69556381324213</v>
      </c>
      <c r="BJ96" s="59">
        <f t="shared" si="92"/>
        <v>129.52638237044044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36.239711497741659</v>
      </c>
      <c r="BQ96" s="21">
        <f>EXP(-LN(2)/25)*BQ95+(1-EXP(-LN(2)/25))/(LN(2)/25)*Calculateur!BL96*Calculateur!BN96*VLOOKUP('Données projet'!$B$11,Paramètres!$A$1:$I$89,3,0)*0.475*44/12</f>
        <v>32.770818807463876</v>
      </c>
      <c r="BR96" s="21">
        <f>EXP(-LN(2)/2)*BR95+(1-EXP(-LN(2)/2))/(LN(2)/2)*BL96*BO96*VLOOKUP('Données projet'!$B$11,Paramètres!$A$1:$I$89,3,0)*0.475*44/12</f>
        <v>2.1878927598341122</v>
      </c>
      <c r="BS96" s="22">
        <f t="shared" si="63"/>
        <v>71.198423065039648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6.7600000000000007</v>
      </c>
      <c r="BY96" s="12">
        <f>IF('Données projet'!$A$114&gt;35,BY95+BX96-CG95,IF(A96&lt;'Données projet'!$A$114,$BV$205^A96,IF(A96='Données projet'!$A$114,'Données projet'!$B$114,BY95+BX96-CG95)))</f>
        <v>239.0499999999999</v>
      </c>
      <c r="BZ96" s="13">
        <f>BY96*VLOOKUP('Données projet'!$B$12,Paramètres!$A$1:$I$89,3,0)*VLOOKUP('Données projet'!$B$12,Paramètres!$A$1:$I$89,5,0)</f>
        <v>231.20915999999988</v>
      </c>
      <c r="CA96" s="13">
        <f t="shared" si="93"/>
        <v>56.544050353913839</v>
      </c>
      <c r="CB96" s="20">
        <f t="shared" si="64"/>
        <v>501.17017469973308</v>
      </c>
      <c r="CC96" s="59">
        <f t="shared" si="65"/>
        <v>794.5035080330664</v>
      </c>
      <c r="CD96" s="59">
        <f ca="1">AVERAGE(OFFSET($CC$3,0,0,'Données projet'!$E$12+1,1))-AVERAGE(OFFSET($H$3,0,0,'Données projet'!$E$12+1,1))</f>
        <v>292.52253679467469</v>
      </c>
      <c r="CE96" s="59">
        <f t="shared" si="94"/>
        <v>155.7114133976541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5.2588183214756707</v>
      </c>
      <c r="CL96" s="21">
        <f>EXP(-LN(2)/25)*CL95+(1-EXP(-LN(2)/25))/(LN(2)/25)*Calculateur!CG96*Calculateur!CI96*VLOOKUP('Données projet'!$B$12,Paramètres!$A$1:$I$89,3,0)*0.475*44/12</f>
        <v>29.457578876645186</v>
      </c>
      <c r="CM96" s="21">
        <f>EXP(-LN(2)/2)*CM95+(1-EXP(-LN(2)/2))/(LN(2)/2)*CG96*CJ96*VLOOKUP('Données projet'!$B$12,Paramètres!$A$1:$I$89,3,0)*0.475*44/12</f>
        <v>0.32903232699746254</v>
      </c>
      <c r="CN96" s="22">
        <f t="shared" si="66"/>
        <v>35.045429525118323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-1.1368683772161603E-13</v>
      </c>
      <c r="CU96" s="17">
        <f>CT96*VLOOKUP('Données projet'!$B$13,Paramètres!$A$1:$I$89,3,0)*VLOOKUP('Données projet'!$B$13,Paramètres!$A$1:$I$89,5,0)</f>
        <v>-8.8675733422860506E-14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100.54865094989304</v>
      </c>
      <c r="CZ96" s="59">
        <f t="shared" si="96"/>
        <v>99.95654161405389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17.135980047772229</v>
      </c>
      <c r="DG96" s="21">
        <f>EXP(-LN(2)/25)*DG95+(1-EXP(-LN(2)/25))/(LN(2)/25)*Calculateur!DB96*Calculateur!DD96*VLOOKUP('Données projet'!$B$13,Paramètres!$A$1:$I$89,3,0)*0.475*44/12</f>
        <v>13.95044419423499</v>
      </c>
      <c r="DH96" s="21">
        <f>EXP(-LN(2)/2)*DH95+(1-EXP(-LN(2)/2))/(LN(2)/2)*DB96*DE96*VLOOKUP('Données projet'!$B$13,Paramètres!$A$1:$I$89,3,0)*0.475*44/12</f>
        <v>9.5083417300936834E-3</v>
      </c>
      <c r="DI96" s="22">
        <f t="shared" si="69"/>
        <v>31.095932583737312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4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82.118400000000037</v>
      </c>
      <c r="D97" s="11">
        <f t="shared" si="86"/>
        <v>22.654353452648408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808.77213191518103</v>
      </c>
      <c r="H97" s="67">
        <f t="shared" si="56"/>
        <v>475.81254559669605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3.4106051316484809E-13</v>
      </c>
      <c r="O97" s="13">
        <f>N97*VLOOKUP('Données projet'!$B$9,Paramètres!$A$1:$I$89,3,0)*VLOOKUP('Données projet'!$B$9,Paramètres!$A$1:$I$89,5,0)</f>
        <v>1.9065282685915009E-13</v>
      </c>
      <c r="P97" s="13">
        <f t="shared" si="87"/>
        <v>2.6568987209435707E-12</v>
      </c>
      <c r="Q97" s="20">
        <f t="shared" si="54"/>
        <v>4.959485612423072E-12</v>
      </c>
      <c r="R97" s="59">
        <f t="shared" si="55"/>
        <v>293.33333333333826</v>
      </c>
      <c r="S97" s="59">
        <f ca="1">AVERAGE(OFFSET($R$3,0,0,'Données projet'!$E$9+1,1))-AVERAGE(OFFSET($H$3,0,0,'Données projet'!$E$9+1,1))</f>
        <v>324.69474275039357</v>
      </c>
      <c r="T97" s="59">
        <f t="shared" si="88"/>
        <v>437.68177084535927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111.73880337599739</v>
      </c>
      <c r="AA97" s="21">
        <f>EXP(-LN(2)/25)*AA96+(1-EXP(-LN(2)/25))/(LN(2)/25)*Calculateur!V97*Calculateur!X97*VLOOKUP('Données projet'!$B$9,Paramètres!$A$1:$I$89,3,0)*0.475*44/12</f>
        <v>28.039782218073036</v>
      </c>
      <c r="AB97" s="21">
        <f>EXP(-LN(2)/2)*AB96+(1-EXP(-LN(2)/2))/(LN(2)/2)*V97*Y97*VLOOKUP('Données projet'!$B$9,Paramètres!$A$1:$I$89,3,0)*0.475*44/12</f>
        <v>8.7268937313133242E-5</v>
      </c>
      <c r="AC97" s="22">
        <f t="shared" si="57"/>
        <v>139.77867286300773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1.1368683772161603E-13</v>
      </c>
      <c r="AJ97" s="13">
        <f>AI97*VLOOKUP('Données projet'!$B$10,Paramètres!$A$1:$I$89,3,0)*VLOOKUP('Données projet'!$B$10,Paramètres!$A$1:$I$89,5,0)</f>
        <v>6.7984728957526396E-14</v>
      </c>
      <c r="AK97" s="13">
        <f t="shared" si="89"/>
        <v>1.0682447123141398E-12</v>
      </c>
      <c r="AL97" s="20">
        <f t="shared" si="58"/>
        <v>1.978932943548152E-12</v>
      </c>
      <c r="AM97" s="59">
        <f t="shared" si="59"/>
        <v>293.3333333333353</v>
      </c>
      <c r="AN97" s="59">
        <f ca="1">AVERAGE(OFFSET($AM$3,0,0,'Données projet'!$E$10+1,1))-AVERAGE(OFFSET($H$3,0,0,'Données projet'!$E$10+1,1))</f>
        <v>214.93913810439858</v>
      </c>
      <c r="AO97" s="59">
        <f t="shared" si="90"/>
        <v>210.65603079265924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70.823357298370851</v>
      </c>
      <c r="AV97" s="21">
        <f>EXP(-LN(2)/25)*AV96+(1-EXP(-LN(2)/25))/(LN(2)/25)*Calculateur!AQ97*Calculateur!AS97*VLOOKUP('Données projet'!$B$10,Paramètres!$A$1:$I$89,3,0)*0.475*44/12</f>
        <v>18.871567831004441</v>
      </c>
      <c r="AW97" s="21">
        <f>EXP(-LN(2)/2)*AW96+(1-EXP(-LN(2)/2))/(LN(2)/2)*AQ97*AT97*VLOOKUP('Données projet'!$B$10,Paramètres!$A$1:$I$89,3,0)*0.475*44/12</f>
        <v>4.574695039623527E-4</v>
      </c>
      <c r="AX97" s="21">
        <f t="shared" si="60"/>
        <v>89.695382598879249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11.283999999999997</v>
      </c>
      <c r="BD97" s="12">
        <f>IF('Données projet'!$A$88&gt;35,BD96+BC97-BL96,IF(A97&lt;'Données projet'!$A$88,$BA$205^A97,IF(A97='Données projet'!$A$88,'Données projet'!$B$88,BD96+BC97-BL96)))</f>
        <v>447.96600000000001</v>
      </c>
      <c r="BE97" s="13">
        <f>BD97*VLOOKUP('Données projet'!$B$11,Paramètres!$A$1:$I$89,3,0)*VLOOKUP('Données projet'!$B$11,Paramètres!$A$1:$I$89,5,0)</f>
        <v>405.31963679999996</v>
      </c>
      <c r="BF97" s="13">
        <f t="shared" si="91"/>
        <v>92.854309299710778</v>
      </c>
      <c r="BG97" s="20">
        <f t="shared" si="61"/>
        <v>867.65295612366288</v>
      </c>
      <c r="BH97" s="59">
        <f t="shared" si="62"/>
        <v>1160.9862894569962</v>
      </c>
      <c r="BI97" s="59">
        <f ca="1">AVERAGE(OFFSET($BH$3,0,0,'Données projet'!$E$11+1,1))-AVERAGE(OFFSET($H$3,0,0,'Données projet'!$E$11+1,1))</f>
        <v>507.69556381324213</v>
      </c>
      <c r="BJ97" s="59">
        <f t="shared" si="92"/>
        <v>129.52638237044044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35.529072859312365</v>
      </c>
      <c r="BQ97" s="21">
        <f>EXP(-LN(2)/25)*BQ96+(1-EXP(-LN(2)/25))/(LN(2)/25)*Calculateur!BL97*Calculateur!BN97*VLOOKUP('Données projet'!$B$11,Paramètres!$A$1:$I$89,3,0)*0.475*44/12</f>
        <v>31.874699043831313</v>
      </c>
      <c r="BR97" s="21">
        <f>EXP(-LN(2)/2)*BR96+(1-EXP(-LN(2)/2))/(LN(2)/2)*BL97*BO97*VLOOKUP('Données projet'!$B$11,Paramètres!$A$1:$I$89,3,0)*0.475*44/12</f>
        <v>1.5470738069876513</v>
      </c>
      <c r="BS97" s="22">
        <f t="shared" si="63"/>
        <v>68.950845710131333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6.7600000000000007</v>
      </c>
      <c r="BY97" s="12">
        <f>IF('Données projet'!$A$114&gt;35,BY96+BX97-CG96,IF(A97&lt;'Données projet'!$A$114,$BV$205^A97,IF(A97='Données projet'!$A$114,'Données projet'!$B$114,BY96+BX97-CG96)))</f>
        <v>245.80999999999989</v>
      </c>
      <c r="BZ97" s="13">
        <f>BY97*VLOOKUP('Données projet'!$B$12,Paramètres!$A$1:$I$89,3,0)*VLOOKUP('Données projet'!$B$12,Paramètres!$A$1:$I$89,5,0)</f>
        <v>237.74743199999992</v>
      </c>
      <c r="CA97" s="13">
        <f t="shared" si="93"/>
        <v>57.954613835088161</v>
      </c>
      <c r="CB97" s="20">
        <f t="shared" si="64"/>
        <v>515.01439649611177</v>
      </c>
      <c r="CC97" s="59">
        <f t="shared" si="65"/>
        <v>808.34772982944514</v>
      </c>
      <c r="CD97" s="59">
        <f ca="1">AVERAGE(OFFSET($CC$3,0,0,'Données projet'!$E$12+1,1))-AVERAGE(OFFSET($H$3,0,0,'Données projet'!$E$12+1,1))</f>
        <v>292.52253679467469</v>
      </c>
      <c r="CE97" s="59">
        <f t="shared" si="94"/>
        <v>155.7114133976541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5.1556961017539882</v>
      </c>
      <c r="CL97" s="21">
        <f>EXP(-LN(2)/25)*CL96+(1-EXP(-LN(2)/25))/(LN(2)/25)*Calculateur!CG97*Calculateur!CI97*VLOOKUP('Données projet'!$B$12,Paramètres!$A$1:$I$89,3,0)*0.475*44/12</f>
        <v>28.652059833156578</v>
      </c>
      <c r="CM97" s="21">
        <f>EXP(-LN(2)/2)*CM96+(1-EXP(-LN(2)/2))/(LN(2)/2)*CG97*CJ97*VLOOKUP('Données projet'!$B$12,Paramètres!$A$1:$I$89,3,0)*0.475*44/12</f>
        <v>0.2326609896494953</v>
      </c>
      <c r="CN97" s="22">
        <f t="shared" si="66"/>
        <v>34.040416924560063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-1.1368683772161603E-13</v>
      </c>
      <c r="CU97" s="17">
        <f>CT97*VLOOKUP('Données projet'!$B$13,Paramètres!$A$1:$I$89,3,0)*VLOOKUP('Données projet'!$B$13,Paramètres!$A$1:$I$89,5,0)</f>
        <v>-8.8675733422860506E-14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100.54865094989304</v>
      </c>
      <c r="CZ97" s="59">
        <f t="shared" si="96"/>
        <v>99.95654161405389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16.799953930951204</v>
      </c>
      <c r="DG97" s="21">
        <f>EXP(-LN(2)/25)*DG96+(1-EXP(-LN(2)/25))/(LN(2)/25)*Calculateur!DB97*Calculateur!DD97*VLOOKUP('Données projet'!$B$13,Paramètres!$A$1:$I$89,3,0)*0.475*44/12</f>
        <v>13.568968564121658</v>
      </c>
      <c r="DH97" s="21">
        <f>EXP(-LN(2)/2)*DH96+(1-EXP(-LN(2)/2))/(LN(2)/2)*DB97*DE97*VLOOKUP('Données projet'!$B$13,Paramètres!$A$1:$I$89,3,0)*0.475*44/12</f>
        <v>6.723412915188273E-3</v>
      </c>
      <c r="DI97" s="22">
        <f t="shared" si="69"/>
        <v>30.375645907988051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4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82.992000000000033</v>
      </c>
      <c r="D98" s="11">
        <f t="shared" si="86"/>
        <v>22.867173045817324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817.15852877473037</v>
      </c>
      <c r="H98" s="67">
        <f t="shared" si="56"/>
        <v>477.70472638813186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3.4106051316484809E-13</v>
      </c>
      <c r="O98" s="13">
        <f>N98*VLOOKUP('Données projet'!$B$9,Paramètres!$A$1:$I$89,3,0)*VLOOKUP('Données projet'!$B$9,Paramètres!$A$1:$I$89,5,0)</f>
        <v>1.9065282685915009E-13</v>
      </c>
      <c r="P98" s="13">
        <f t="shared" si="87"/>
        <v>2.6568987209435707E-12</v>
      </c>
      <c r="Q98" s="20">
        <f t="shared" si="54"/>
        <v>4.959485612423072E-12</v>
      </c>
      <c r="R98" s="59">
        <f t="shared" si="55"/>
        <v>293.33333333333826</v>
      </c>
      <c r="S98" s="59">
        <f ca="1">AVERAGE(OFFSET($R$3,0,0,'Données projet'!$E$9+1,1))-AVERAGE(OFFSET($H$3,0,0,'Données projet'!$E$9+1,1))</f>
        <v>324.69474275039357</v>
      </c>
      <c r="T98" s="59">
        <f t="shared" si="88"/>
        <v>437.68177084535927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109.54767359573449</v>
      </c>
      <c r="AA98" s="21">
        <f>EXP(-LN(2)/25)*AA97+(1-EXP(-LN(2)/25))/(LN(2)/25)*Calculateur!V98*Calculateur!X98*VLOOKUP('Données projet'!$B$9,Paramètres!$A$1:$I$89,3,0)*0.475*44/12</f>
        <v>27.273032898771767</v>
      </c>
      <c r="AB98" s="21">
        <f>EXP(-LN(2)/2)*AB97+(1-EXP(-LN(2)/2))/(LN(2)/2)*V98*Y98*VLOOKUP('Données projet'!$B$9,Paramètres!$A$1:$I$89,3,0)*0.475*44/12</f>
        <v>6.1708457361060238E-5</v>
      </c>
      <c r="AC98" s="22">
        <f t="shared" si="57"/>
        <v>136.82076820296362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1.1368683772161603E-13</v>
      </c>
      <c r="AJ98" s="13">
        <f>AI98*VLOOKUP('Données projet'!$B$10,Paramètres!$A$1:$I$89,3,0)*VLOOKUP('Données projet'!$B$10,Paramètres!$A$1:$I$89,5,0)</f>
        <v>6.7984728957526396E-14</v>
      </c>
      <c r="AK98" s="13">
        <f t="shared" si="89"/>
        <v>1.0682447123141398E-12</v>
      </c>
      <c r="AL98" s="20">
        <f t="shared" si="58"/>
        <v>1.978932943548152E-12</v>
      </c>
      <c r="AM98" s="59">
        <f t="shared" si="59"/>
        <v>293.3333333333353</v>
      </c>
      <c r="AN98" s="59">
        <f ca="1">AVERAGE(OFFSET($AM$3,0,0,'Données projet'!$E$10+1,1))-AVERAGE(OFFSET($H$3,0,0,'Données projet'!$E$10+1,1))</f>
        <v>214.93913810439858</v>
      </c>
      <c r="AO98" s="59">
        <f t="shared" si="90"/>
        <v>210.65603079265924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69.434554459732311</v>
      </c>
      <c r="AV98" s="21">
        <f>EXP(-LN(2)/25)*AV97+(1-EXP(-LN(2)/25))/(LN(2)/25)*Calculateur!AQ98*Calculateur!AS98*VLOOKUP('Données projet'!$B$10,Paramètres!$A$1:$I$89,3,0)*0.475*44/12</f>
        <v>18.355523816253005</v>
      </c>
      <c r="AW98" s="21">
        <f>EXP(-LN(2)/2)*AW97+(1-EXP(-LN(2)/2))/(LN(2)/2)*AQ98*AT98*VLOOKUP('Données projet'!$B$10,Paramètres!$A$1:$I$89,3,0)*0.475*44/12</f>
        <v>3.2347978843782577E-4</v>
      </c>
      <c r="AX98" s="21">
        <f t="shared" si="60"/>
        <v>87.790401755773743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11.283999999999997</v>
      </c>
      <c r="BD98" s="12">
        <f>IF('Données projet'!$A$88&gt;35,BD97+BC98-BL97,IF(A98&lt;'Données projet'!$A$88,$BA$205^A98,IF(A98='Données projet'!$A$88,'Données projet'!$B$88,BD97+BC98-BL97)))</f>
        <v>459.25</v>
      </c>
      <c r="BE98" s="13">
        <f>BD98*VLOOKUP('Données projet'!$B$11,Paramètres!$A$1:$I$89,3,0)*VLOOKUP('Données projet'!$B$11,Paramètres!$A$1:$I$89,5,0)</f>
        <v>415.52940000000001</v>
      </c>
      <c r="BF98" s="13">
        <f t="shared" si="91"/>
        <v>94.917999685477398</v>
      </c>
      <c r="BG98" s="20">
        <f t="shared" si="61"/>
        <v>889.02922111887312</v>
      </c>
      <c r="BH98" s="59">
        <f t="shared" si="62"/>
        <v>1182.3625544522065</v>
      </c>
      <c r="BI98" s="59">
        <f ca="1">AVERAGE(OFFSET($BH$3,0,0,'Données projet'!$E$11+1,1))-AVERAGE(OFFSET($H$3,0,0,'Données projet'!$E$11+1,1))</f>
        <v>507.69556381324213</v>
      </c>
      <c r="BJ98" s="59">
        <f t="shared" si="92"/>
        <v>129.52638237044044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34.8323694111359</v>
      </c>
      <c r="BQ98" s="21">
        <f>EXP(-LN(2)/25)*BQ97+(1-EXP(-LN(2)/25))/(LN(2)/25)*Calculateur!BL98*Calculateur!BN98*VLOOKUP('Données projet'!$B$11,Paramètres!$A$1:$I$89,3,0)*0.475*44/12</f>
        <v>31.003083722260175</v>
      </c>
      <c r="BR98" s="21">
        <f>EXP(-LN(2)/2)*BR97+(1-EXP(-LN(2)/2))/(LN(2)/2)*BL98*BO98*VLOOKUP('Données projet'!$B$11,Paramètres!$A$1:$I$89,3,0)*0.475*44/12</f>
        <v>1.0939463799170563</v>
      </c>
      <c r="BS98" s="22">
        <f t="shared" si="63"/>
        <v>66.929399513313129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>
        <f>VLOOKUP(A98,'Données projet'!$A$113:$I$133,2,0)</f>
        <v>252.57</v>
      </c>
      <c r="BW98" s="12">
        <f>VLOOKUP(A98,'Données projet'!$A$113:$I$133,9,0)</f>
        <v>6.7600000000000007</v>
      </c>
      <c r="BX98" s="12">
        <f t="array" ref="BX98">INDEX(BW:BW,MIN(IF(ISNUMBER(BW98:BW294),ROW(BW98:BW294),"")))</f>
        <v>6.7600000000000007</v>
      </c>
      <c r="BY98" s="12">
        <f>IF('Données projet'!$A$114&gt;35,BY97+BX98-CG97,IF(A98&lt;'Données projet'!$A$114,$BV$205^A98,IF(A98='Données projet'!$A$114,'Données projet'!$B$114,BY97+BX98-CG97)))</f>
        <v>252.56999999999988</v>
      </c>
      <c r="BZ98" s="13">
        <f>BY98*VLOOKUP('Données projet'!$B$12,Paramètres!$A$1:$I$89,3,0)*VLOOKUP('Données projet'!$B$12,Paramètres!$A$1:$I$89,5,0)</f>
        <v>244.28570399999987</v>
      </c>
      <c r="CA98" s="13">
        <f t="shared" si="93"/>
        <v>59.360668571092589</v>
      </c>
      <c r="CB98" s="20">
        <f t="shared" si="64"/>
        <v>528.85076556131935</v>
      </c>
      <c r="CC98" s="59">
        <f t="shared" si="65"/>
        <v>822.18409889465261</v>
      </c>
      <c r="CD98" s="59">
        <f ca="1">AVERAGE(OFFSET($CC$3,0,0,'Données projet'!$E$12+1,1))-AVERAGE(OFFSET($H$3,0,0,'Données projet'!$E$12+1,1))</f>
        <v>292.52253679467469</v>
      </c>
      <c r="CE98" s="59">
        <f t="shared" si="94"/>
        <v>155.7114133976541</v>
      </c>
      <c r="CF98" s="15">
        <f>IF(ISNA(VLOOKUP(A98,'Données projet'!$A$113:$I$133,3,0)),0,VLOOKUP(A98,'Données projet'!$A$113:$I$133,3,0))</f>
        <v>5</v>
      </c>
      <c r="CG98" s="15">
        <f>IF(ISNA(VLOOKUP(A98,'Données projet'!$A$113:$I$133,4,0)),0,VLOOKUP(A98,'Données projet'!$A$113:$I$133,4,0))</f>
        <v>42.199999999999989</v>
      </c>
      <c r="CH98" s="16">
        <f>IF(ISNA(VLOOKUP(A98,'Données projet'!$A$113:$I$133,5,0)),0%,VLOOKUP(A98,'Données projet'!$A$113:$I$133,5,0)*VLOOKUP('Données projet'!$B$12,Paramètres!$A$1:$I$89,7,0))</f>
        <v>0.15049999999999999</v>
      </c>
      <c r="CI98" s="16">
        <f>IF(ISNA(VLOOKUP(A98,'Données projet'!$A$113:$I$133,6,0)),0%,VLOOKUP(A98,'Données projet'!$A$113:$I$133,6,0)*VLOOKUP('Données projet'!$B$12,Paramètres!$A$1:$I$89,7,0))</f>
        <v>8.6000000000000007E-2</v>
      </c>
      <c r="CJ98" s="16">
        <f>IF(ISNA(VLOOKUP(A98,'Données projet'!$A$113:$I$133,7,0)),0%,VLOOKUP(A98,'Données projet'!$A$113:$I$133,7,0))</f>
        <v>0.1</v>
      </c>
      <c r="CK98" s="21">
        <f>EXP(-LN(2)/35)*CK97+(1-EXP(-LN(2)/35))/(LN(2)/35)*CG98*CH98*VLOOKUP('Données projet'!$B$12,Paramètres!$A$1:$I$89,3,0)*0.475*44/12</f>
        <v>11.845261717294008</v>
      </c>
      <c r="CL98" s="21">
        <f>EXP(-LN(2)/25)*CL97+(1-EXP(-LN(2)/25))/(LN(2)/25)*Calculateur!CG98*Calculateur!CI98*VLOOKUP('Données projet'!$B$12,Paramètres!$A$1:$I$89,3,0)*0.475*44/12</f>
        <v>31.733669597836226</v>
      </c>
      <c r="CM98" s="21">
        <f>EXP(-LN(2)/2)*CM97+(1-EXP(-LN(2)/2))/(LN(2)/2)*CG98*CJ98*VLOOKUP('Données projet'!$B$12,Paramètres!$A$1:$I$89,3,0)*0.475*44/12</f>
        <v>4.0156005217214492</v>
      </c>
      <c r="CN98" s="22">
        <f t="shared" si="66"/>
        <v>47.594531836851687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-1.1368683772161603E-13</v>
      </c>
      <c r="CU98" s="17">
        <f>CT98*VLOOKUP('Données projet'!$B$13,Paramètres!$A$1:$I$89,3,0)*VLOOKUP('Données projet'!$B$13,Paramètres!$A$1:$I$89,5,0)</f>
        <v>-8.8675733422860506E-14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100.54865094989304</v>
      </c>
      <c r="CZ98" s="59">
        <f t="shared" si="96"/>
        <v>99.95654161405389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16.470517081325347</v>
      </c>
      <c r="DG98" s="21">
        <f>EXP(-LN(2)/25)*DG97+(1-EXP(-LN(2)/25))/(LN(2)/25)*Calculateur!DB98*Calculateur!DD98*VLOOKUP('Données projet'!$B$13,Paramètres!$A$1:$I$89,3,0)*0.475*44/12</f>
        <v>13.197924405174707</v>
      </c>
      <c r="DH98" s="21">
        <f>EXP(-LN(2)/2)*DH97+(1-EXP(-LN(2)/2))/(LN(2)/2)*DB98*DE98*VLOOKUP('Données projet'!$B$13,Paramètres!$A$1:$I$89,3,0)*0.475*44/12</f>
        <v>4.7541708650468417E-3</v>
      </c>
      <c r="DI98" s="22">
        <f t="shared" si="69"/>
        <v>29.673195657365103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4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83.865600000000029</v>
      </c>
      <c r="D99" s="11">
        <f t="shared" si="86"/>
        <v>23.079732033574274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825.54291394338054</v>
      </c>
      <c r="H99" s="67">
        <f t="shared" si="56"/>
        <v>479.59645329180853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3.4106051316484809E-13</v>
      </c>
      <c r="O99" s="13">
        <f>N99*VLOOKUP('Données projet'!$B$9,Paramètres!$A$1:$I$89,3,0)*VLOOKUP('Données projet'!$B$9,Paramètres!$A$1:$I$89,5,0)</f>
        <v>1.9065282685915009E-13</v>
      </c>
      <c r="P99" s="13">
        <f t="shared" si="87"/>
        <v>2.6568987209435707E-12</v>
      </c>
      <c r="Q99" s="20">
        <f t="shared" ref="Q99:Q130" si="107">(O99+P99)*0.475*44/12</f>
        <v>4.959485612423072E-12</v>
      </c>
      <c r="R99" s="59">
        <f t="shared" si="55"/>
        <v>293.33333333333826</v>
      </c>
      <c r="S99" s="59">
        <f ca="1">AVERAGE(OFFSET($R$3,0,0,'Données projet'!$E$9+1,1))-AVERAGE(OFFSET($H$3,0,0,'Données projet'!$E$9+1,1))</f>
        <v>324.69474275039357</v>
      </c>
      <c r="T99" s="59">
        <f t="shared" si="88"/>
        <v>437.68177084535927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107.39951053400536</v>
      </c>
      <c r="AA99" s="21">
        <f>EXP(-LN(2)/25)*AA98+(1-EXP(-LN(2)/25))/(LN(2)/25)*Calculateur!V99*Calculateur!X99*VLOOKUP('Données projet'!$B$9,Paramètres!$A$1:$I$89,3,0)*0.475*44/12</f>
        <v>26.527250379928386</v>
      </c>
      <c r="AB99" s="21">
        <f>EXP(-LN(2)/2)*AB98+(1-EXP(-LN(2)/2))/(LN(2)/2)*V99*Y99*VLOOKUP('Données projet'!$B$9,Paramètres!$A$1:$I$89,3,0)*0.475*44/12</f>
        <v>4.3634468656566621E-5</v>
      </c>
      <c r="AC99" s="22">
        <f t="shared" si="57"/>
        <v>133.9268045484024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1.1368683772161603E-13</v>
      </c>
      <c r="AJ99" s="13">
        <f>AI99*VLOOKUP('Données projet'!$B$10,Paramètres!$A$1:$I$89,3,0)*VLOOKUP('Données projet'!$B$10,Paramètres!$A$1:$I$89,5,0)</f>
        <v>6.7984728957526396E-14</v>
      </c>
      <c r="AK99" s="13">
        <f t="shared" si="89"/>
        <v>1.0682447123141398E-12</v>
      </c>
      <c r="AL99" s="20">
        <f t="shared" si="58"/>
        <v>1.978932943548152E-12</v>
      </c>
      <c r="AM99" s="59">
        <f t="shared" si="59"/>
        <v>293.3333333333353</v>
      </c>
      <c r="AN99" s="59">
        <f ca="1">AVERAGE(OFFSET($AM$3,0,0,'Données projet'!$E$10+1,1))-AVERAGE(OFFSET($H$3,0,0,'Données projet'!$E$10+1,1))</f>
        <v>214.93913810439858</v>
      </c>
      <c r="AO99" s="59">
        <f t="shared" si="90"/>
        <v>210.65603079265924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68.072985197673376</v>
      </c>
      <c r="AV99" s="21">
        <f>EXP(-LN(2)/25)*AV98+(1-EXP(-LN(2)/25))/(LN(2)/25)*Calculateur!AQ99*Calculateur!AS99*VLOOKUP('Données projet'!$B$10,Paramètres!$A$1:$I$89,3,0)*0.475*44/12</f>
        <v>17.853591052222519</v>
      </c>
      <c r="AW99" s="21">
        <f>EXP(-LN(2)/2)*AW98+(1-EXP(-LN(2)/2))/(LN(2)/2)*AQ99*AT99*VLOOKUP('Données projet'!$B$10,Paramètres!$A$1:$I$89,3,0)*0.475*44/12</f>
        <v>2.2873475198117635E-4</v>
      </c>
      <c r="AX99" s="21">
        <f t="shared" si="60"/>
        <v>85.926804984647887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11.283999999999997</v>
      </c>
      <c r="BD99" s="12">
        <f>IF('Données projet'!$A$88&gt;35,BD98+BC99-BL98,IF(A99&lt;'Données projet'!$A$88,$BA$205^A99,IF(A99='Données projet'!$A$88,'Données projet'!$B$88,BD98+BC99-BL98)))</f>
        <v>470.53399999999999</v>
      </c>
      <c r="BE99" s="13">
        <f>BD99*VLOOKUP('Données projet'!$B$11,Paramètres!$A$1:$I$89,3,0)*VLOOKUP('Données projet'!$B$11,Paramètres!$A$1:$I$89,5,0)</f>
        <v>425.73916320000001</v>
      </c>
      <c r="BF99" s="13">
        <f t="shared" si="91"/>
        <v>96.975795710339128</v>
      </c>
      <c r="BG99" s="20">
        <f t="shared" si="61"/>
        <v>910.39522010217399</v>
      </c>
      <c r="BH99" s="59">
        <f t="shared" si="62"/>
        <v>1203.7285534355074</v>
      </c>
      <c r="BI99" s="59">
        <f ca="1">AVERAGE(OFFSET($BH$3,0,0,'Données projet'!$E$11+1,1))-AVERAGE(OFFSET($H$3,0,0,'Données projet'!$E$11+1,1))</f>
        <v>507.69556381324213</v>
      </c>
      <c r="BJ99" s="59">
        <f t="shared" si="92"/>
        <v>129.52638237044044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34.149327892631035</v>
      </c>
      <c r="BQ99" s="21">
        <f>EXP(-LN(2)/25)*BQ98+(1-EXP(-LN(2)/25))/(LN(2)/25)*Calculateur!BL99*Calculateur!BN99*VLOOKUP('Données projet'!$B$11,Paramètres!$A$1:$I$89,3,0)*0.475*44/12</f>
        <v>30.155302767493655</v>
      </c>
      <c r="BR99" s="21">
        <f>EXP(-LN(2)/2)*BR98+(1-EXP(-LN(2)/2))/(LN(2)/2)*BL99*BO99*VLOOKUP('Données projet'!$B$11,Paramètres!$A$1:$I$89,3,0)*0.475*44/12</f>
        <v>0.77353690349382576</v>
      </c>
      <c r="BS99" s="22">
        <f t="shared" si="63"/>
        <v>65.078167563618507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6.7777777777777777</v>
      </c>
      <c r="BY99" s="12">
        <f>IF('Données projet'!$A$114&gt;35,BY98+BX99-CG98,IF(A99&lt;'Données projet'!$A$114,$BV$205^A99,IF(A99='Données projet'!$A$114,'Données projet'!$B$114,BY98+BX99-CG98)))</f>
        <v>217.14777777777766</v>
      </c>
      <c r="BZ99" s="13">
        <f>BY99*VLOOKUP('Données projet'!$B$12,Paramètres!$A$1:$I$89,3,0)*VLOOKUP('Données projet'!$B$12,Paramètres!$A$1:$I$89,5,0)</f>
        <v>210.02533066666655</v>
      </c>
      <c r="CA99" s="13">
        <f t="shared" si="93"/>
        <v>51.941121047420019</v>
      </c>
      <c r="CB99" s="20">
        <f t="shared" si="64"/>
        <v>456.25823673536746</v>
      </c>
      <c r="CC99" s="59">
        <f t="shared" si="65"/>
        <v>749.59157006870078</v>
      </c>
      <c r="CD99" s="59">
        <f ca="1">AVERAGE(OFFSET($CC$3,0,0,'Données projet'!$E$12+1,1))-AVERAGE(OFFSET($H$3,0,0,'Données projet'!$E$12+1,1))</f>
        <v>292.52253679467469</v>
      </c>
      <c r="CE99" s="59">
        <f t="shared" si="94"/>
        <v>155.7114133976541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11.612983359914121</v>
      </c>
      <c r="CL99" s="21">
        <f>EXP(-LN(2)/25)*CL98+(1-EXP(-LN(2)/25))/(LN(2)/25)*Calculateur!CG99*Calculateur!CI99*VLOOKUP('Données projet'!$B$12,Paramètres!$A$1:$I$89,3,0)*0.475*44/12</f>
        <v>30.865910733882238</v>
      </c>
      <c r="CM99" s="21">
        <f>EXP(-LN(2)/2)*CM98+(1-EXP(-LN(2)/2))/(LN(2)/2)*CG99*CJ99*VLOOKUP('Données projet'!$B$12,Paramètres!$A$1:$I$89,3,0)*0.475*44/12</f>
        <v>2.8394583594454752</v>
      </c>
      <c r="CN99" s="22">
        <f t="shared" si="66"/>
        <v>45.318352453241829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-1.1368683772161603E-13</v>
      </c>
      <c r="CU99" s="17">
        <f>CT99*VLOOKUP('Données projet'!$B$13,Paramètres!$A$1:$I$89,3,0)*VLOOKUP('Données projet'!$B$13,Paramètres!$A$1:$I$89,5,0)</f>
        <v>-8.8675733422860506E-14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100.54865094989304</v>
      </c>
      <c r="CZ99" s="59">
        <f t="shared" si="96"/>
        <v>99.95654161405389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16.147540287384015</v>
      </c>
      <c r="DG99" s="21">
        <f>EXP(-LN(2)/25)*DG98+(1-EXP(-LN(2)/25))/(LN(2)/25)*Calculateur!DB99*Calculateur!DD99*VLOOKUP('Données projet'!$B$13,Paramètres!$A$1:$I$89,3,0)*0.475*44/12</f>
        <v>12.837026468266524</v>
      </c>
      <c r="DH99" s="21">
        <f>EXP(-LN(2)/2)*DH98+(1-EXP(-LN(2)/2))/(LN(2)/2)*DB99*DE99*VLOOKUP('Données projet'!$B$13,Paramètres!$A$1:$I$89,3,0)*0.475*44/12</f>
        <v>3.3617064575941365E-3</v>
      </c>
      <c r="DI99" s="22">
        <f t="shared" si="69"/>
        <v>28.987928462108133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4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84.739200000000025</v>
      </c>
      <c r="D100" s="11">
        <f t="shared" si="86"/>
        <v>23.292033444816514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833.92531080209255</v>
      </c>
      <c r="H100" s="67">
        <f t="shared" si="56"/>
        <v>481.48773158305545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3.4106051316484809E-13</v>
      </c>
      <c r="O100" s="13">
        <f>N100*VLOOKUP('Données projet'!$B$9,Paramètres!$A$1:$I$89,3,0)*VLOOKUP('Données projet'!$B$9,Paramètres!$A$1:$I$89,5,0)</f>
        <v>1.9065282685915009E-13</v>
      </c>
      <c r="P100" s="13">
        <f t="shared" si="87"/>
        <v>2.6568987209435707E-12</v>
      </c>
      <c r="Q100" s="20">
        <f t="shared" si="107"/>
        <v>4.959485612423072E-12</v>
      </c>
      <c r="R100" s="59">
        <f t="shared" si="55"/>
        <v>293.33333333333826</v>
      </c>
      <c r="S100" s="59">
        <f ca="1">AVERAGE(OFFSET($R$3,0,0,'Données projet'!$E$9+1,1))-AVERAGE(OFFSET($H$3,0,0,'Données projet'!$E$9+1,1))</f>
        <v>324.69474275039357</v>
      </c>
      <c r="T100" s="59">
        <f t="shared" si="88"/>
        <v>437.68177084535927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105.29347163966663</v>
      </c>
      <c r="AA100" s="21">
        <f>EXP(-LN(2)/25)*AA99+(1-EXP(-LN(2)/25))/(LN(2)/25)*Calculateur!V100*Calculateur!X100*VLOOKUP('Données projet'!$B$9,Paramètres!$A$1:$I$89,3,0)*0.475*44/12</f>
        <v>25.801861323281777</v>
      </c>
      <c r="AB100" s="21">
        <f>EXP(-LN(2)/2)*AB99+(1-EXP(-LN(2)/2))/(LN(2)/2)*V100*Y100*VLOOKUP('Données projet'!$B$9,Paramètres!$A$1:$I$89,3,0)*0.475*44/12</f>
        <v>3.0854228680530119E-5</v>
      </c>
      <c r="AC100" s="22">
        <f t="shared" si="57"/>
        <v>131.09536381717709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1.1368683772161603E-13</v>
      </c>
      <c r="AJ100" s="13">
        <f>AI100*VLOOKUP('Données projet'!$B$10,Paramètres!$A$1:$I$89,3,0)*VLOOKUP('Données projet'!$B$10,Paramètres!$A$1:$I$89,5,0)</f>
        <v>6.7984728957526396E-14</v>
      </c>
      <c r="AK100" s="13">
        <f t="shared" si="89"/>
        <v>1.0682447123141398E-12</v>
      </c>
      <c r="AL100" s="20">
        <f t="shared" si="58"/>
        <v>1.978932943548152E-12</v>
      </c>
      <c r="AM100" s="59">
        <f t="shared" si="59"/>
        <v>293.3333333333353</v>
      </c>
      <c r="AN100" s="59">
        <f ca="1">AVERAGE(OFFSET($AM$3,0,0,'Données projet'!$E$10+1,1))-AVERAGE(OFFSET($H$3,0,0,'Données projet'!$E$10+1,1))</f>
        <v>214.93913810439858</v>
      </c>
      <c r="AO100" s="59">
        <f t="shared" si="90"/>
        <v>210.65603079265924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66.738115478368172</v>
      </c>
      <c r="AV100" s="21">
        <f>EXP(-LN(2)/25)*AV99+(1-EXP(-LN(2)/25))/(LN(2)/25)*Calculateur!AQ100*Calculateur!AS100*VLOOKUP('Données projet'!$B$10,Paramètres!$A$1:$I$89,3,0)*0.475*44/12</f>
        <v>17.365383666019945</v>
      </c>
      <c r="AW100" s="21">
        <f>EXP(-LN(2)/2)*AW99+(1-EXP(-LN(2)/2))/(LN(2)/2)*AQ100*AT100*VLOOKUP('Données projet'!$B$10,Paramètres!$A$1:$I$89,3,0)*0.475*44/12</f>
        <v>1.6173989421891288E-4</v>
      </c>
      <c r="AX100" s="21">
        <f t="shared" si="60"/>
        <v>84.103660884282334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11.283999999999997</v>
      </c>
      <c r="BD100" s="12">
        <f>IF('Données projet'!$A$88&gt;35,BD99+BC100-BL99,IF(A100&lt;'Données projet'!$A$88,$BA$205^A100,IF(A100='Données projet'!$A$88,'Données projet'!$B$88,BD99+BC100-BL99)))</f>
        <v>481.81799999999998</v>
      </c>
      <c r="BE100" s="13">
        <f>BD100*VLOOKUP('Données projet'!$B$11,Paramètres!$A$1:$I$89,3,0)*VLOOKUP('Données projet'!$B$11,Paramètres!$A$1:$I$89,5,0)</f>
        <v>435.9489264</v>
      </c>
      <c r="BF100" s="13">
        <f t="shared" si="91"/>
        <v>99.0278549926512</v>
      </c>
      <c r="BG100" s="20">
        <f t="shared" si="61"/>
        <v>931.75122759220085</v>
      </c>
      <c r="BH100" s="59">
        <f t="shared" si="62"/>
        <v>1225.0845609255341</v>
      </c>
      <c r="BI100" s="59">
        <f ca="1">AVERAGE(OFFSET($BH$3,0,0,'Données projet'!$E$11+1,1))-AVERAGE(OFFSET($H$3,0,0,'Données projet'!$E$11+1,1))</f>
        <v>507.69556381324213</v>
      </c>
      <c r="BJ100" s="59">
        <f t="shared" si="92"/>
        <v>129.52638237044044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33.479680401689862</v>
      </c>
      <c r="BQ100" s="21">
        <f>EXP(-LN(2)/25)*BQ99+(1-EXP(-LN(2)/25))/(LN(2)/25)*Calculateur!BL100*Calculateur!BN100*VLOOKUP('Données projet'!$B$11,Paramètres!$A$1:$I$89,3,0)*0.475*44/12</f>
        <v>29.330704427518089</v>
      </c>
      <c r="BR100" s="21">
        <f>EXP(-LN(2)/2)*BR99+(1-EXP(-LN(2)/2))/(LN(2)/2)*BL100*BO100*VLOOKUP('Données projet'!$B$11,Paramètres!$A$1:$I$89,3,0)*0.475*44/12</f>
        <v>0.54697318995852817</v>
      </c>
      <c r="BS100" s="22">
        <f t="shared" si="63"/>
        <v>63.357358019166476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6.7777777777777777</v>
      </c>
      <c r="BY100" s="12">
        <f>IF('Données projet'!$A$114&gt;35,BY99+BX100-CG99,IF(A100&lt;'Données projet'!$A$114,$BV$205^A100,IF(A100='Données projet'!$A$114,'Données projet'!$B$114,BY99+BX100-CG99)))</f>
        <v>223.92555555555543</v>
      </c>
      <c r="BZ100" s="13">
        <f>BY100*VLOOKUP('Données projet'!$B$12,Paramètres!$A$1:$I$89,3,0)*VLOOKUP('Données projet'!$B$12,Paramètres!$A$1:$I$89,5,0)</f>
        <v>216.58079733333321</v>
      </c>
      <c r="CA100" s="13">
        <f t="shared" si="93"/>
        <v>53.371062792617998</v>
      </c>
      <c r="CB100" s="20">
        <f t="shared" si="64"/>
        <v>470.16615638603167</v>
      </c>
      <c r="CC100" s="59">
        <f t="shared" si="65"/>
        <v>763.49948971936499</v>
      </c>
      <c r="CD100" s="59">
        <f ca="1">AVERAGE(OFFSET($CC$3,0,0,'Données projet'!$E$12+1,1))-AVERAGE(OFFSET($H$3,0,0,'Données projet'!$E$12+1,1))</f>
        <v>292.52253679467469</v>
      </c>
      <c r="CE100" s="59">
        <f t="shared" si="94"/>
        <v>155.7114133976541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11.385259839446645</v>
      </c>
      <c r="CL100" s="21">
        <f>EXP(-LN(2)/25)*CL99+(1-EXP(-LN(2)/25))/(LN(2)/25)*Calculateur!CG100*Calculateur!CI100*VLOOKUP('Données projet'!$B$12,Paramètres!$A$1:$I$89,3,0)*0.475*44/12</f>
        <v>30.021880781696527</v>
      </c>
      <c r="CM100" s="21">
        <f>EXP(-LN(2)/2)*CM99+(1-EXP(-LN(2)/2))/(LN(2)/2)*CG100*CJ100*VLOOKUP('Données projet'!$B$12,Paramètres!$A$1:$I$89,3,0)*0.475*44/12</f>
        <v>2.0078002608607251</v>
      </c>
      <c r="CN100" s="22">
        <f t="shared" si="66"/>
        <v>43.414940882003897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-1.1368683772161603E-13</v>
      </c>
      <c r="CU100" s="17">
        <f>CT100*VLOOKUP('Données projet'!$B$13,Paramètres!$A$1:$I$89,3,0)*VLOOKUP('Données projet'!$B$13,Paramètres!$A$1:$I$89,5,0)</f>
        <v>-8.8675733422860506E-14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100.54865094989304</v>
      </c>
      <c r="CZ100" s="59">
        <f t="shared" si="96"/>
        <v>99.95654161405389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15.830896871375479</v>
      </c>
      <c r="DG100" s="21">
        <f>EXP(-LN(2)/25)*DG99+(1-EXP(-LN(2)/25))/(LN(2)/25)*Calculateur!DB100*Calculateur!DD100*VLOOKUP('Données projet'!$B$13,Paramètres!$A$1:$I$89,3,0)*0.475*44/12</f>
        <v>12.485997304421893</v>
      </c>
      <c r="DH100" s="21">
        <f>EXP(-LN(2)/2)*DH99+(1-EXP(-LN(2)/2))/(LN(2)/2)*DB100*DE100*VLOOKUP('Données projet'!$B$13,Paramètres!$A$1:$I$89,3,0)*0.475*44/12</f>
        <v>2.3770854325234209E-3</v>
      </c>
      <c r="DI100" s="22">
        <f t="shared" si="69"/>
        <v>28.319271261229897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4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85.612800000000021</v>
      </c>
      <c r="D101" s="11">
        <f t="shared" si="86"/>
        <v>23.504080242391282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842.30574222196799</v>
      </c>
      <c r="H101" s="67">
        <f t="shared" si="56"/>
        <v>483.37856642216479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3.4106051316484809E-13</v>
      </c>
      <c r="O101" s="13">
        <f>N101*VLOOKUP('Données projet'!$B$9,Paramètres!$A$1:$I$89,3,0)*VLOOKUP('Données projet'!$B$9,Paramètres!$A$1:$I$89,5,0)</f>
        <v>1.9065282685915009E-13</v>
      </c>
      <c r="P101" s="13">
        <f t="shared" si="87"/>
        <v>2.6568987209435707E-12</v>
      </c>
      <c r="Q101" s="20">
        <f t="shared" si="107"/>
        <v>4.959485612423072E-12</v>
      </c>
      <c r="R101" s="59">
        <f t="shared" si="55"/>
        <v>293.33333333333826</v>
      </c>
      <c r="S101" s="59">
        <f ca="1">AVERAGE(OFFSET($R$3,0,0,'Données projet'!$E$9+1,1))-AVERAGE(OFFSET($H$3,0,0,'Données projet'!$E$9+1,1))</f>
        <v>324.69474275039357</v>
      </c>
      <c r="T101" s="59">
        <f t="shared" si="88"/>
        <v>437.68177084535927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103.22873088348901</v>
      </c>
      <c r="AA101" s="21">
        <f>EXP(-LN(2)/25)*AA100+(1-EXP(-LN(2)/25))/(LN(2)/25)*Calculateur!V101*Calculateur!X101*VLOOKUP('Données projet'!$B$9,Paramètres!$A$1:$I$89,3,0)*0.475*44/12</f>
        <v>25.09630806853572</v>
      </c>
      <c r="AB101" s="21">
        <f>EXP(-LN(2)/2)*AB100+(1-EXP(-LN(2)/2))/(LN(2)/2)*V101*Y101*VLOOKUP('Données projet'!$B$9,Paramètres!$A$1:$I$89,3,0)*0.475*44/12</f>
        <v>2.1817234328283311E-5</v>
      </c>
      <c r="AC101" s="22">
        <f t="shared" si="57"/>
        <v>128.32506076925907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1.1368683772161603E-13</v>
      </c>
      <c r="AJ101" s="13">
        <f>AI101*VLOOKUP('Données projet'!$B$10,Paramètres!$A$1:$I$89,3,0)*VLOOKUP('Données projet'!$B$10,Paramètres!$A$1:$I$89,5,0)</f>
        <v>6.7984728957526396E-14</v>
      </c>
      <c r="AK101" s="13">
        <f t="shared" si="89"/>
        <v>1.0682447123141398E-12</v>
      </c>
      <c r="AL101" s="20">
        <f t="shared" si="58"/>
        <v>1.978932943548152E-12</v>
      </c>
      <c r="AM101" s="59">
        <f t="shared" si="59"/>
        <v>293.3333333333353</v>
      </c>
      <c r="AN101" s="59">
        <f ca="1">AVERAGE(OFFSET($AM$3,0,0,'Données projet'!$E$10+1,1))-AVERAGE(OFFSET($H$3,0,0,'Données projet'!$E$10+1,1))</f>
        <v>214.93913810439858</v>
      </c>
      <c r="AO101" s="59">
        <f t="shared" si="90"/>
        <v>210.65603079265924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65.429421740068406</v>
      </c>
      <c r="AV101" s="21">
        <f>EXP(-LN(2)/25)*AV100+(1-EXP(-LN(2)/25))/(LN(2)/25)*Calculateur!AQ101*Calculateur!AS101*VLOOKUP('Données projet'!$B$10,Paramètres!$A$1:$I$89,3,0)*0.475*44/12</f>
        <v>16.890526336466792</v>
      </c>
      <c r="AW101" s="21">
        <f>EXP(-LN(2)/2)*AW100+(1-EXP(-LN(2)/2))/(LN(2)/2)*AQ101*AT101*VLOOKUP('Données projet'!$B$10,Paramètres!$A$1:$I$89,3,0)*0.475*44/12</f>
        <v>1.1436737599058818E-4</v>
      </c>
      <c r="AX101" s="21">
        <f t="shared" si="60"/>
        <v>82.320062443911183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11.283999999999997</v>
      </c>
      <c r="BD101" s="12">
        <f>IF('Données projet'!$A$88&gt;35,BD100+BC101-BL100,IF(A101&lt;'Données projet'!$A$88,$BA$205^A101,IF(A101='Données projet'!$A$88,'Données projet'!$B$88,BD100+BC101-BL100)))</f>
        <v>493.10199999999998</v>
      </c>
      <c r="BE101" s="13">
        <f>BD101*VLOOKUP('Données projet'!$B$11,Paramètres!$A$1:$I$89,3,0)*VLOOKUP('Données projet'!$B$11,Paramètres!$A$1:$I$89,5,0)</f>
        <v>446.15868959999995</v>
      </c>
      <c r="BF101" s="13">
        <f t="shared" si="91"/>
        <v>101.07432734685769</v>
      </c>
      <c r="BG101" s="20">
        <f t="shared" si="61"/>
        <v>953.09750451577702</v>
      </c>
      <c r="BH101" s="59">
        <f t="shared" si="62"/>
        <v>1246.4308378491103</v>
      </c>
      <c r="BI101" s="59">
        <f ca="1">AVERAGE(OFFSET($BH$3,0,0,'Données projet'!$E$11+1,1))-AVERAGE(OFFSET($H$3,0,0,'Données projet'!$E$11+1,1))</f>
        <v>507.69556381324213</v>
      </c>
      <c r="BJ101" s="59">
        <f t="shared" si="92"/>
        <v>129.52638237044044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32.823164289601401</v>
      </c>
      <c r="BQ101" s="21">
        <f>EXP(-LN(2)/25)*BQ100+(1-EXP(-LN(2)/25))/(LN(2)/25)*Calculateur!BL101*Calculateur!BN101*VLOOKUP('Données projet'!$B$11,Paramètres!$A$1:$I$89,3,0)*0.475*44/12</f>
        <v>28.528654772512898</v>
      </c>
      <c r="BR101" s="21">
        <f>EXP(-LN(2)/2)*BR100+(1-EXP(-LN(2)/2))/(LN(2)/2)*BL101*BO101*VLOOKUP('Données projet'!$B$11,Paramètres!$A$1:$I$89,3,0)*0.475*44/12</f>
        <v>0.38676845174691288</v>
      </c>
      <c r="BS101" s="22">
        <f t="shared" si="63"/>
        <v>61.738587513861212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6.7777777777777777</v>
      </c>
      <c r="BY101" s="12">
        <f>IF('Données projet'!$A$114&gt;35,BY100+BX101-CG100,IF(A101&lt;'Données projet'!$A$114,$BV$205^A101,IF(A101='Données projet'!$A$114,'Données projet'!$B$114,BY100+BX101-CG100)))</f>
        <v>230.70333333333321</v>
      </c>
      <c r="BZ101" s="13">
        <f>BY101*VLOOKUP('Données projet'!$B$12,Paramètres!$A$1:$I$89,3,0)*VLOOKUP('Données projet'!$B$12,Paramètres!$A$1:$I$89,5,0)</f>
        <v>223.13626399999987</v>
      </c>
      <c r="CA101" s="13">
        <f t="shared" si="93"/>
        <v>54.795974627594028</v>
      </c>
      <c r="CB101" s="20">
        <f t="shared" si="64"/>
        <v>484.06531560972599</v>
      </c>
      <c r="CC101" s="59">
        <f t="shared" si="65"/>
        <v>777.39864894305924</v>
      </c>
      <c r="CD101" s="59">
        <f ca="1">AVERAGE(OFFSET($CC$3,0,0,'Données projet'!$E$12+1,1))-AVERAGE(OFFSET($H$3,0,0,'Données projet'!$E$12+1,1))</f>
        <v>292.52253679467469</v>
      </c>
      <c r="CE101" s="59">
        <f t="shared" si="94"/>
        <v>155.7114133976541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11.162001838317904</v>
      </c>
      <c r="CL101" s="21">
        <f>EXP(-LN(2)/25)*CL100+(1-EXP(-LN(2)/25))/(LN(2)/25)*Calculateur!CG101*Calculateur!CI101*VLOOKUP('Données projet'!$B$12,Paramètres!$A$1:$I$89,3,0)*0.475*44/12</f>
        <v>29.20093087293894</v>
      </c>
      <c r="CM101" s="21">
        <f>EXP(-LN(2)/2)*CM100+(1-EXP(-LN(2)/2))/(LN(2)/2)*CG101*CJ101*VLOOKUP('Données projet'!$B$12,Paramètres!$A$1:$I$89,3,0)*0.475*44/12</f>
        <v>1.4197291797227378</v>
      </c>
      <c r="CN101" s="22">
        <f t="shared" si="66"/>
        <v>41.782661890979583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-1.1368683772161603E-13</v>
      </c>
      <c r="CU101" s="17">
        <f>CT101*VLOOKUP('Données projet'!$B$13,Paramètres!$A$1:$I$89,3,0)*VLOOKUP('Données projet'!$B$13,Paramètres!$A$1:$I$89,5,0)</f>
        <v>-8.8675733422860506E-14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100.54865094989304</v>
      </c>
      <c r="CZ101" s="59">
        <f t="shared" si="96"/>
        <v>99.95654161405389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15.520462639621458</v>
      </c>
      <c r="DG101" s="21">
        <f>EXP(-LN(2)/25)*DG100+(1-EXP(-LN(2)/25))/(LN(2)/25)*Calculateur!DB101*Calculateur!DD101*VLOOKUP('Données projet'!$B$13,Paramètres!$A$1:$I$89,3,0)*0.475*44/12</f>
        <v>12.144567051522415</v>
      </c>
      <c r="DH101" s="21">
        <f>EXP(-LN(2)/2)*DH100+(1-EXP(-LN(2)/2))/(LN(2)/2)*DB101*DE101*VLOOKUP('Données projet'!$B$13,Paramètres!$A$1:$I$89,3,0)*0.475*44/12</f>
        <v>1.6808532287970683E-3</v>
      </c>
      <c r="DI101" s="22">
        <f t="shared" si="69"/>
        <v>27.66671054437267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4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86.486400000000017</v>
      </c>
      <c r="D102" s="11">
        <f t="shared" si="86"/>
        <v>23.715875325195146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850.68423058045391</v>
      </c>
      <c r="H102" s="67">
        <f t="shared" si="56"/>
        <v>485.26896285804821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3.4106051316484809E-13</v>
      </c>
      <c r="O102" s="13">
        <f>N102*VLOOKUP('Données projet'!$B$9,Paramètres!$A$1:$I$89,3,0)*VLOOKUP('Données projet'!$B$9,Paramètres!$A$1:$I$89,5,0)</f>
        <v>1.9065282685915009E-13</v>
      </c>
      <c r="P102" s="13">
        <f t="shared" si="87"/>
        <v>2.6568987209435707E-12</v>
      </c>
      <c r="Q102" s="20">
        <f t="shared" si="107"/>
        <v>4.959485612423072E-12</v>
      </c>
      <c r="R102" s="59">
        <f t="shared" si="55"/>
        <v>293.33333333333826</v>
      </c>
      <c r="S102" s="59">
        <f ca="1">AVERAGE(OFFSET($R$3,0,0,'Données projet'!$E$9+1,1))-AVERAGE(OFFSET($H$3,0,0,'Données projet'!$E$9+1,1))</f>
        <v>324.69474275039357</v>
      </c>
      <c r="T102" s="59">
        <f t="shared" si="88"/>
        <v>437.68177084535927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101.20447843417251</v>
      </c>
      <c r="AA102" s="21">
        <f>EXP(-LN(2)/25)*AA101+(1-EXP(-LN(2)/25))/(LN(2)/25)*Calculateur!V102*Calculateur!X102*VLOOKUP('Données projet'!$B$9,Paramètres!$A$1:$I$89,3,0)*0.475*44/12</f>
        <v>24.410048204644127</v>
      </c>
      <c r="AB102" s="21">
        <f>EXP(-LN(2)/2)*AB101+(1-EXP(-LN(2)/2))/(LN(2)/2)*V102*Y102*VLOOKUP('Données projet'!$B$9,Paramètres!$A$1:$I$89,3,0)*0.475*44/12</f>
        <v>1.5427114340265059E-5</v>
      </c>
      <c r="AC102" s="22">
        <f t="shared" si="57"/>
        <v>125.61454206593098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1.1368683772161603E-13</v>
      </c>
      <c r="AJ102" s="13">
        <f>AI102*VLOOKUP('Données projet'!$B$10,Paramètres!$A$1:$I$89,3,0)*VLOOKUP('Données projet'!$B$10,Paramètres!$A$1:$I$89,5,0)</f>
        <v>6.7984728957526396E-14</v>
      </c>
      <c r="AK102" s="13">
        <f t="shared" si="89"/>
        <v>1.0682447123141398E-12</v>
      </c>
      <c r="AL102" s="20">
        <f t="shared" si="58"/>
        <v>1.978932943548152E-12</v>
      </c>
      <c r="AM102" s="59">
        <f t="shared" si="59"/>
        <v>293.3333333333353</v>
      </c>
      <c r="AN102" s="59">
        <f ca="1">AVERAGE(OFFSET($AM$3,0,0,'Données projet'!$E$10+1,1))-AVERAGE(OFFSET($H$3,0,0,'Données projet'!$E$10+1,1))</f>
        <v>214.93913810439858</v>
      </c>
      <c r="AO102" s="59">
        <f t="shared" si="90"/>
        <v>210.65603079265924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64.146390687752344</v>
      </c>
      <c r="AV102" s="21">
        <f>EXP(-LN(2)/25)*AV101+(1-EXP(-LN(2)/25))/(LN(2)/25)*Calculateur!AQ102*Calculateur!AS102*VLOOKUP('Données projet'!$B$10,Paramètres!$A$1:$I$89,3,0)*0.475*44/12</f>
        <v>16.428654005561931</v>
      </c>
      <c r="AW102" s="21">
        <f>EXP(-LN(2)/2)*AW101+(1-EXP(-LN(2)/2))/(LN(2)/2)*AQ102*AT102*VLOOKUP('Données projet'!$B$10,Paramètres!$A$1:$I$89,3,0)*0.475*44/12</f>
        <v>8.0869947109456442E-5</v>
      </c>
      <c r="AX102" s="21">
        <f t="shared" si="60"/>
        <v>80.575125563261395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11.283999999999997</v>
      </c>
      <c r="BD102" s="12">
        <f>IF('Données projet'!$A$88&gt;35,BD101+BC102-BL101,IF(A102&lt;'Données projet'!$A$88,$BA$205^A102,IF(A102='Données projet'!$A$88,'Données projet'!$B$88,BD101+BC102-BL101)))</f>
        <v>504.38599999999997</v>
      </c>
      <c r="BE102" s="13">
        <f>BD102*VLOOKUP('Données projet'!$B$11,Paramètres!$A$1:$I$89,3,0)*VLOOKUP('Données projet'!$B$11,Paramètres!$A$1:$I$89,5,0)</f>
        <v>456.36845279999994</v>
      </c>
      <c r="BF102" s="13">
        <f t="shared" si="91"/>
        <v>103.11535533948117</v>
      </c>
      <c r="BG102" s="20">
        <f t="shared" si="61"/>
        <v>974.43429917626281</v>
      </c>
      <c r="BH102" s="59">
        <f t="shared" si="62"/>
        <v>1267.7676325095961</v>
      </c>
      <c r="BI102" s="59">
        <f ca="1">AVERAGE(OFFSET($BH$3,0,0,'Données projet'!$E$11+1,1))-AVERAGE(OFFSET($H$3,0,0,'Données projet'!$E$11+1,1))</f>
        <v>507.69556381324213</v>
      </c>
      <c r="BJ102" s="59">
        <f t="shared" si="92"/>
        <v>129.52638237044044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32.179522058035708</v>
      </c>
      <c r="BQ102" s="21">
        <f>EXP(-LN(2)/25)*BQ101+(1-EXP(-LN(2)/25))/(LN(2)/25)*Calculateur!BL102*Calculateur!BN102*VLOOKUP('Données projet'!$B$11,Paramètres!$A$1:$I$89,3,0)*0.475*44/12</f>
        <v>27.74853720750178</v>
      </c>
      <c r="BR102" s="21">
        <f>EXP(-LN(2)/2)*BR101+(1-EXP(-LN(2)/2))/(LN(2)/2)*BL102*BO102*VLOOKUP('Données projet'!$B$11,Paramètres!$A$1:$I$89,3,0)*0.475*44/12</f>
        <v>0.27348659497926409</v>
      </c>
      <c r="BS102" s="22">
        <f t="shared" si="63"/>
        <v>60.201545860516745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6.7777777777777777</v>
      </c>
      <c r="BY102" s="12">
        <f>IF('Données projet'!$A$114&gt;35,BY101+BX102-CG101,IF(A102&lt;'Données projet'!$A$114,$BV$205^A102,IF(A102='Données projet'!$A$114,'Données projet'!$B$114,BY101+BX102-CG101)))</f>
        <v>237.48111111111098</v>
      </c>
      <c r="BZ102" s="13">
        <f>BY102*VLOOKUP('Données projet'!$B$12,Paramètres!$A$1:$I$89,3,0)*VLOOKUP('Données projet'!$B$12,Paramètres!$A$1:$I$89,5,0)</f>
        <v>229.69173066666653</v>
      </c>
      <c r="CA102" s="13">
        <f t="shared" si="93"/>
        <v>56.216021291878434</v>
      </c>
      <c r="CB102" s="20">
        <f t="shared" si="64"/>
        <v>497.95600132779902</v>
      </c>
      <c r="CC102" s="59">
        <f t="shared" si="65"/>
        <v>791.28933466113233</v>
      </c>
      <c r="CD102" s="59">
        <f ca="1">AVERAGE(OFFSET($CC$3,0,0,'Données projet'!$E$12+1,1))-AVERAGE(OFFSET($H$3,0,0,'Données projet'!$E$12+1,1))</f>
        <v>292.52253679467469</v>
      </c>
      <c r="CE102" s="59">
        <f t="shared" si="94"/>
        <v>155.7114133976541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10.943121790417363</v>
      </c>
      <c r="CL102" s="21">
        <f>EXP(-LN(2)/25)*CL101+(1-EXP(-LN(2)/25))/(LN(2)/25)*Calculateur!CG102*Calculateur!CI102*VLOOKUP('Données projet'!$B$12,Paramètres!$A$1:$I$89,3,0)*0.475*44/12</f>
        <v>28.40242988260821</v>
      </c>
      <c r="CM102" s="21">
        <f>EXP(-LN(2)/2)*CM101+(1-EXP(-LN(2)/2))/(LN(2)/2)*CG102*CJ102*VLOOKUP('Données projet'!$B$12,Paramètres!$A$1:$I$89,3,0)*0.475*44/12</f>
        <v>1.0039001304303627</v>
      </c>
      <c r="CN102" s="22">
        <f t="shared" si="66"/>
        <v>40.349451803455935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-1.1368683772161603E-13</v>
      </c>
      <c r="CU102" s="17">
        <f>CT102*VLOOKUP('Données projet'!$B$13,Paramètres!$A$1:$I$89,3,0)*VLOOKUP('Données projet'!$B$13,Paramètres!$A$1:$I$89,5,0)</f>
        <v>-8.8675733422860506E-14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100.54865094989304</v>
      </c>
      <c r="CZ102" s="59">
        <f t="shared" si="96"/>
        <v>99.95654161405389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15.216115833805947</v>
      </c>
      <c r="DG102" s="21">
        <f>EXP(-LN(2)/25)*DG101+(1-EXP(-LN(2)/25))/(LN(2)/25)*Calculateur!DB102*Calculateur!DD102*VLOOKUP('Données projet'!$B$13,Paramètres!$A$1:$I$89,3,0)*0.475*44/12</f>
        <v>11.81247322684351</v>
      </c>
      <c r="DH102" s="21">
        <f>EXP(-LN(2)/2)*DH101+(1-EXP(-LN(2)/2))/(LN(2)/2)*DB102*DE102*VLOOKUP('Données projet'!$B$13,Paramètres!$A$1:$I$89,3,0)*0.475*44/12</f>
        <v>1.1885427162617104E-3</v>
      </c>
      <c r="DI102" s="22">
        <f t="shared" si="69"/>
        <v>27.029777603365719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4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87.360000000000014</v>
      </c>
      <c r="D103" s="11">
        <f t="shared" si="86"/>
        <v>23.927421530185931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859.06079777687398</v>
      </c>
      <c r="H103" s="67">
        <f t="shared" si="56"/>
        <v>487.15892583174048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3.4106051316484809E-13</v>
      </c>
      <c r="O103" s="13">
        <f>N103*VLOOKUP('Données projet'!$B$9,Paramètres!$A$1:$I$89,3,0)*VLOOKUP('Données projet'!$B$9,Paramètres!$A$1:$I$89,5,0)</f>
        <v>1.9065282685915009E-13</v>
      </c>
      <c r="P103" s="13">
        <f t="shared" si="87"/>
        <v>2.6568987209435707E-12</v>
      </c>
      <c r="Q103" s="20">
        <f t="shared" si="107"/>
        <v>4.959485612423072E-12</v>
      </c>
      <c r="R103" s="59">
        <f t="shared" si="55"/>
        <v>293.33333333333826</v>
      </c>
      <c r="S103" s="59">
        <f ca="1">AVERAGE(OFFSET($R$3,0,0,'Données projet'!$E$9+1,1))-AVERAGE(OFFSET($H$3,0,0,'Données projet'!$E$9+1,1))</f>
        <v>324.69474275039357</v>
      </c>
      <c r="T103" s="59">
        <f t="shared" si="88"/>
        <v>437.68177084535927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99.219920340715035</v>
      </c>
      <c r="AA103" s="21">
        <f>EXP(-LN(2)/25)*AA102+(1-EXP(-LN(2)/25))/(LN(2)/25)*Calculateur!V103*Calculateur!X103*VLOOKUP('Données projet'!$B$9,Paramètres!$A$1:$I$89,3,0)*0.475*44/12</f>
        <v>23.742554152819487</v>
      </c>
      <c r="AB103" s="21">
        <f>EXP(-LN(2)/2)*AB102+(1-EXP(-LN(2)/2))/(LN(2)/2)*V103*Y103*VLOOKUP('Données projet'!$B$9,Paramètres!$A$1:$I$89,3,0)*0.475*44/12</f>
        <v>1.0908617164141655E-5</v>
      </c>
      <c r="AC103" s="22">
        <f t="shared" si="57"/>
        <v>122.9624854021517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1.1368683772161603E-13</v>
      </c>
      <c r="AJ103" s="13">
        <f>AI103*VLOOKUP('Données projet'!$B$10,Paramètres!$A$1:$I$89,3,0)*VLOOKUP('Données projet'!$B$10,Paramètres!$A$1:$I$89,5,0)</f>
        <v>6.7984728957526396E-14</v>
      </c>
      <c r="AK103" s="13">
        <f t="shared" si="89"/>
        <v>1.0682447123141398E-12</v>
      </c>
      <c r="AL103" s="20">
        <f t="shared" si="58"/>
        <v>1.978932943548152E-12</v>
      </c>
      <c r="AM103" s="59">
        <f t="shared" si="59"/>
        <v>293.3333333333353</v>
      </c>
      <c r="AN103" s="59">
        <f ca="1">AVERAGE(OFFSET($AM$3,0,0,'Données projet'!$E$10+1,1))-AVERAGE(OFFSET($H$3,0,0,'Données projet'!$E$10+1,1))</f>
        <v>214.93913810439858</v>
      </c>
      <c r="AO103" s="59">
        <f t="shared" si="90"/>
        <v>210.65603079265924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62.888519091800525</v>
      </c>
      <c r="AV103" s="21">
        <f>EXP(-LN(2)/25)*AV102+(1-EXP(-LN(2)/25))/(LN(2)/25)*Calculateur!AQ103*Calculateur!AS103*VLOOKUP('Données projet'!$B$10,Paramètres!$A$1:$I$89,3,0)*0.475*44/12</f>
        <v>15.979411597834474</v>
      </c>
      <c r="AW103" s="21">
        <f>EXP(-LN(2)/2)*AW102+(1-EXP(-LN(2)/2))/(LN(2)/2)*AQ103*AT103*VLOOKUP('Données projet'!$B$10,Paramètres!$A$1:$I$89,3,0)*0.475*44/12</f>
        <v>5.7183687995294088E-5</v>
      </c>
      <c r="AX103" s="21">
        <f t="shared" si="60"/>
        <v>78.867987873323003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515.66999999999996</v>
      </c>
      <c r="BB103" s="12">
        <f>VLOOKUP(A103,'Données projet'!$A$87:$I$107,9,0)</f>
        <v>11.283999999999997</v>
      </c>
      <c r="BC103" s="12">
        <f t="array" ref="BC103">INDEX(BB:BB,MIN(IF(ISNUMBER(BB103:BB299),ROW(BB103:BB299),"")))</f>
        <v>11.283999999999997</v>
      </c>
      <c r="BD103" s="12">
        <f>IF('Données projet'!$A$88&gt;35,BD102+BC103-BL102,IF(A103&lt;'Données projet'!$A$88,$BA$205^A103,IF(A103='Données projet'!$A$88,'Données projet'!$B$88,BD102+BC103-BL102)))</f>
        <v>515.66999999999996</v>
      </c>
      <c r="BE103" s="13">
        <f>BD103*VLOOKUP('Données projet'!$B$11,Paramètres!$A$1:$I$89,3,0)*VLOOKUP('Données projet'!$B$11,Paramètres!$A$1:$I$89,5,0)</f>
        <v>466.57821599999988</v>
      </c>
      <c r="BF103" s="13">
        <f t="shared" si="91"/>
        <v>105.15107479395371</v>
      </c>
      <c r="BG103" s="20">
        <f t="shared" si="61"/>
        <v>995.76184813280258</v>
      </c>
      <c r="BH103" s="59">
        <f t="shared" si="62"/>
        <v>1289.095181466136</v>
      </c>
      <c r="BI103" s="59">
        <f ca="1">AVERAGE(OFFSET($BH$3,0,0,'Données projet'!$E$11+1,1))-AVERAGE(OFFSET($H$3,0,0,'Données projet'!$E$11+1,1))</f>
        <v>507.69556381324213</v>
      </c>
      <c r="BJ103" s="59">
        <f t="shared" si="92"/>
        <v>129.52638237044044</v>
      </c>
      <c r="BK103" s="15">
        <f>IF(ISNA(VLOOKUP(A103,'Données projet'!$A$87:$I$107,3,0)),0,VLOOKUP(A103,'Données projet'!$A$87:$I$107,3,0))</f>
        <v>9</v>
      </c>
      <c r="BL103" s="15">
        <f>IF(ISNA(VLOOKUP(A103,'Données projet'!$A$87:$I$107,4,0)),0,VLOOKUP(A103,'Données projet'!$A$87:$I$107,4,0))</f>
        <v>93.039999999999964</v>
      </c>
      <c r="BM103" s="16">
        <f>IF(ISNA(VLOOKUP(A103,'Données projet'!$A$87:$I$107,5,0)),0%,VLOOKUP(A103,'Données projet'!$A$87:$I$107,5,0)*VLOOKUP('Données projet'!$B$11,Paramètres!$A$1:$I$89,7,0))</f>
        <v>0.215</v>
      </c>
      <c r="BN103" s="16">
        <f>IF(ISNA(VLOOKUP(A103,'Données projet'!$A$87:$I$107,6,0)),0%,VLOOKUP(A103,'Données projet'!$A$87:$I$107,6,0)*VLOOKUP('Données projet'!$B$11,Paramètres!$A$1:$I$89,7,0))</f>
        <v>8.6000000000000007E-2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51.556694072634123</v>
      </c>
      <c r="BQ103" s="21">
        <f>EXP(-LN(2)/25)*BQ102+(1-EXP(-LN(2)/25))/(LN(2)/25)*Calculateur!BL103*Calculateur!BN103*VLOOKUP('Données projet'!$B$11,Paramètres!$A$1:$I$89,3,0)*0.475*44/12</f>
        <v>34.961517172632867</v>
      </c>
      <c r="BR103" s="21">
        <f>EXP(-LN(2)/2)*BR102+(1-EXP(-LN(2)/2))/(LN(2)/2)*BL103*BO103*VLOOKUP('Données projet'!$B$11,Paramètres!$A$1:$I$89,3,0)*0.475*44/12</f>
        <v>0.19338422587345644</v>
      </c>
      <c r="BS103" s="22">
        <f t="shared" si="63"/>
        <v>86.711595471140456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6.7777777777777777</v>
      </c>
      <c r="BY103" s="12">
        <f>IF('Données projet'!$A$114&gt;35,BY102+BX103-CG102,IF(A103&lt;'Données projet'!$A$114,$BV$205^A103,IF(A103='Données projet'!$A$114,'Données projet'!$B$114,BY102+BX103-CG102)))</f>
        <v>244.25888888888875</v>
      </c>
      <c r="BZ103" s="13">
        <f>BY103*VLOOKUP('Données projet'!$B$12,Paramètres!$A$1:$I$89,3,0)*VLOOKUP('Données projet'!$B$12,Paramètres!$A$1:$I$89,5,0)</f>
        <v>236.24719733333319</v>
      </c>
      <c r="CA103" s="13">
        <f t="shared" si="93"/>
        <v>57.631357586724938</v>
      </c>
      <c r="CB103" s="20">
        <f t="shared" si="64"/>
        <v>511.83848315243455</v>
      </c>
      <c r="CC103" s="59">
        <f t="shared" si="65"/>
        <v>805.17181648576786</v>
      </c>
      <c r="CD103" s="59">
        <f ca="1">AVERAGE(OFFSET($CC$3,0,0,'Données projet'!$E$12+1,1))-AVERAGE(OFFSET($H$3,0,0,'Données projet'!$E$12+1,1))</f>
        <v>292.52253679467469</v>
      </c>
      <c r="CE103" s="59">
        <f t="shared" si="94"/>
        <v>155.7114133976541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10.728533846752505</v>
      </c>
      <c r="CL103" s="21">
        <f>EXP(-LN(2)/25)*CL102+(1-EXP(-LN(2)/25))/(LN(2)/25)*Calculateur!CG103*Calculateur!CI103*VLOOKUP('Données projet'!$B$12,Paramètres!$A$1:$I$89,3,0)*0.475*44/12</f>
        <v>27.625763943849417</v>
      </c>
      <c r="CM103" s="21">
        <f>EXP(-LN(2)/2)*CM102+(1-EXP(-LN(2)/2))/(LN(2)/2)*CG103*CJ103*VLOOKUP('Données projet'!$B$12,Paramètres!$A$1:$I$89,3,0)*0.475*44/12</f>
        <v>0.70986458986136913</v>
      </c>
      <c r="CN103" s="22">
        <f t="shared" si="66"/>
        <v>39.064162380463287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-1.1368683772161603E-13</v>
      </c>
      <c r="CU103" s="17">
        <f>CT103*VLOOKUP('Données projet'!$B$13,Paramètres!$A$1:$I$89,3,0)*VLOOKUP('Données projet'!$B$13,Paramètres!$A$1:$I$89,5,0)</f>
        <v>-8.8675733422860506E-14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100.54865094989304</v>
      </c>
      <c r="CZ103" s="59">
        <f t="shared" si="96"/>
        <v>99.95654161405389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14.917737083219256</v>
      </c>
      <c r="DG103" s="21">
        <f>EXP(-LN(2)/25)*DG102+(1-EXP(-LN(2)/25))/(LN(2)/25)*Calculateur!DB103*Calculateur!DD103*VLOOKUP('Données projet'!$B$13,Paramètres!$A$1:$I$89,3,0)*0.475*44/12</f>
        <v>11.489460525264505</v>
      </c>
      <c r="DH103" s="21">
        <f>EXP(-LN(2)/2)*DH102+(1-EXP(-LN(2)/2))/(LN(2)/2)*DB103*DE103*VLOOKUP('Données projet'!$B$13,Paramètres!$A$1:$I$89,3,0)*0.475*44/12</f>
        <v>8.4042661439853413E-4</v>
      </c>
      <c r="DI103" s="22">
        <f t="shared" si="69"/>
        <v>26.408038035098162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4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88.23360000000001</v>
      </c>
      <c r="D104" s="11">
        <f t="shared" si="86"/>
        <v>24.138721634312098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867.43546524732153</v>
      </c>
      <c r="H104" s="67">
        <f t="shared" si="56"/>
        <v>489.04846017976024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3.4106051316484809E-13</v>
      </c>
      <c r="O104" s="13">
        <f>N104*VLOOKUP('Données projet'!$B$9,Paramètres!$A$1:$I$89,3,0)*VLOOKUP('Données projet'!$B$9,Paramètres!$A$1:$I$89,5,0)</f>
        <v>1.9065282685915009E-13</v>
      </c>
      <c r="P104" s="13">
        <f t="shared" si="87"/>
        <v>2.6568987209435707E-12</v>
      </c>
      <c r="Q104" s="20">
        <f t="shared" si="107"/>
        <v>4.959485612423072E-12</v>
      </c>
      <c r="R104" s="59">
        <f t="shared" si="55"/>
        <v>293.33333333333826</v>
      </c>
      <c r="S104" s="59">
        <f ca="1">AVERAGE(OFFSET($R$3,0,0,'Données projet'!$E$9+1,1))-AVERAGE(OFFSET($H$3,0,0,'Données projet'!$E$9+1,1))</f>
        <v>324.69474275039357</v>
      </c>
      <c r="T104" s="59">
        <f t="shared" si="88"/>
        <v>437.68177084535927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97.274278221009354</v>
      </c>
      <c r="AA104" s="21">
        <f>EXP(-LN(2)/25)*AA103+(1-EXP(-LN(2)/25))/(LN(2)/25)*Calculateur!V104*Calculateur!X104*VLOOKUP('Données projet'!$B$9,Paramètres!$A$1:$I$89,3,0)*0.475*44/12</f>
        <v>23.093312760943981</v>
      </c>
      <c r="AB104" s="21">
        <f>EXP(-LN(2)/2)*AB103+(1-EXP(-LN(2)/2))/(LN(2)/2)*V104*Y104*VLOOKUP('Données projet'!$B$9,Paramètres!$A$1:$I$89,3,0)*0.475*44/12</f>
        <v>7.7135571701325297E-6</v>
      </c>
      <c r="AC104" s="22">
        <f t="shared" si="57"/>
        <v>120.36759869551049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1.1368683772161603E-13</v>
      </c>
      <c r="AJ104" s="13">
        <f>AI104*VLOOKUP('Données projet'!$B$10,Paramètres!$A$1:$I$89,3,0)*VLOOKUP('Données projet'!$B$10,Paramètres!$A$1:$I$89,5,0)</f>
        <v>6.7984728957526396E-14</v>
      </c>
      <c r="AK104" s="13">
        <f t="shared" si="89"/>
        <v>1.0682447123141398E-12</v>
      </c>
      <c r="AL104" s="20">
        <f t="shared" si="58"/>
        <v>1.978932943548152E-12</v>
      </c>
      <c r="AM104" s="59">
        <f t="shared" si="59"/>
        <v>293.3333333333353</v>
      </c>
      <c r="AN104" s="59">
        <f ca="1">AVERAGE(OFFSET($AM$3,0,0,'Données projet'!$E$10+1,1))-AVERAGE(OFFSET($H$3,0,0,'Données projet'!$E$10+1,1))</f>
        <v>214.93913810439858</v>
      </c>
      <c r="AO104" s="59">
        <f t="shared" si="90"/>
        <v>210.65603079265924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61.655313590619407</v>
      </c>
      <c r="AV104" s="21">
        <f>EXP(-LN(2)/25)*AV103+(1-EXP(-LN(2)/25))/(LN(2)/25)*Calculateur!AQ104*Calculateur!AS104*VLOOKUP('Données projet'!$B$10,Paramètres!$A$1:$I$89,3,0)*0.475*44/12</f>
        <v>15.542453747370956</v>
      </c>
      <c r="AW104" s="21">
        <f>EXP(-LN(2)/2)*AW103+(1-EXP(-LN(2)/2))/(LN(2)/2)*AQ104*AT104*VLOOKUP('Données projet'!$B$10,Paramètres!$A$1:$I$89,3,0)*0.475*44/12</f>
        <v>4.0434973554728221E-5</v>
      </c>
      <c r="AX104" s="21">
        <f t="shared" si="60"/>
        <v>77.197807772963927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10.840999999999998</v>
      </c>
      <c r="BD104" s="12">
        <f>IF('Données projet'!$A$88&gt;35,BD103+BC104-BL103,IF(A104&lt;'Données projet'!$A$88,$BA$205^A104,IF(A104='Données projet'!$A$88,'Données projet'!$B$88,BD103+BC104-BL103)))</f>
        <v>433.471</v>
      </c>
      <c r="BE104" s="13">
        <f>BD104*VLOOKUP('Données projet'!$B$11,Paramètres!$A$1:$I$89,3,0)*VLOOKUP('Données projet'!$B$11,Paramètres!$A$1:$I$89,5,0)</f>
        <v>392.20456079999997</v>
      </c>
      <c r="BF104" s="13">
        <f t="shared" si="91"/>
        <v>90.194453866780407</v>
      </c>
      <c r="BG104" s="20">
        <f t="shared" si="61"/>
        <v>840.17828387797579</v>
      </c>
      <c r="BH104" s="59">
        <f t="shared" si="62"/>
        <v>1133.5116172113092</v>
      </c>
      <c r="BI104" s="59">
        <f ca="1">AVERAGE(OFFSET($BH$3,0,0,'Données projet'!$E$11+1,1))-AVERAGE(OFFSET($H$3,0,0,'Données projet'!$E$11+1,1))</f>
        <v>507.69556381324213</v>
      </c>
      <c r="BJ104" s="59">
        <f t="shared" si="92"/>
        <v>129.52638237044044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50.545698748348073</v>
      </c>
      <c r="BQ104" s="21">
        <f>EXP(-LN(2)/25)*BQ103+(1-EXP(-LN(2)/25))/(LN(2)/25)*Calculateur!BL104*Calculateur!BN104*VLOOKUP('Données projet'!$B$11,Paramètres!$A$1:$I$89,3,0)*0.475*44/12</f>
        <v>34.005492647000942</v>
      </c>
      <c r="BR104" s="21">
        <f>EXP(-LN(2)/2)*BR103+(1-EXP(-LN(2)/2))/(LN(2)/2)*BL104*BO104*VLOOKUP('Données projet'!$B$11,Paramètres!$A$1:$I$89,3,0)*0.475*44/12</f>
        <v>0.13674329748963204</v>
      </c>
      <c r="BS104" s="22">
        <f t="shared" si="63"/>
        <v>84.687934692838638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6.7777777777777777</v>
      </c>
      <c r="BY104" s="12">
        <f>IF('Données projet'!$A$114&gt;35,BY103+BX104-CG103,IF(A104&lt;'Données projet'!$A$114,$BV$205^A104,IF(A104='Données projet'!$A$114,'Données projet'!$B$114,BY103+BX104-CG103)))</f>
        <v>251.03666666666652</v>
      </c>
      <c r="BZ104" s="13">
        <f>BY104*VLOOKUP('Données projet'!$B$12,Paramètres!$A$1:$I$89,3,0)*VLOOKUP('Données projet'!$B$12,Paramètres!$A$1:$I$89,5,0)</f>
        <v>242.80266399999985</v>
      </c>
      <c r="CA104" s="13">
        <f t="shared" si="93"/>
        <v>59.04212923358233</v>
      </c>
      <c r="CB104" s="20">
        <f t="shared" si="64"/>
        <v>525.71301488182235</v>
      </c>
      <c r="CC104" s="59">
        <f t="shared" si="65"/>
        <v>819.0463482151556</v>
      </c>
      <c r="CD104" s="59">
        <f ca="1">AVERAGE(OFFSET($CC$3,0,0,'Données projet'!$E$12+1,1))-AVERAGE(OFFSET($H$3,0,0,'Données projet'!$E$12+1,1))</f>
        <v>292.52253679467469</v>
      </c>
      <c r="CE104" s="59">
        <f t="shared" si="94"/>
        <v>155.7114133976541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10.518153841777192</v>
      </c>
      <c r="CL104" s="21">
        <f>EXP(-LN(2)/25)*CL103+(1-EXP(-LN(2)/25))/(LN(2)/25)*Calculateur!CG104*Calculateur!CI104*VLOOKUP('Données projet'!$B$12,Paramètres!$A$1:$I$89,3,0)*0.475*44/12</f>
        <v>26.870335976029068</v>
      </c>
      <c r="CM104" s="21">
        <f>EXP(-LN(2)/2)*CM103+(1-EXP(-LN(2)/2))/(LN(2)/2)*CG104*CJ104*VLOOKUP('Données projet'!$B$12,Paramètres!$A$1:$I$89,3,0)*0.475*44/12</f>
        <v>0.50195006521518148</v>
      </c>
      <c r="CN104" s="22">
        <f t="shared" si="66"/>
        <v>37.890439883021443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-1.1368683772161603E-13</v>
      </c>
      <c r="CU104" s="17">
        <f>CT104*VLOOKUP('Données projet'!$B$13,Paramètres!$A$1:$I$89,3,0)*VLOOKUP('Données projet'!$B$13,Paramètres!$A$1:$I$89,5,0)</f>
        <v>-8.8675733422860506E-14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100.54865094989304</v>
      </c>
      <c r="CZ104" s="59">
        <f t="shared" si="96"/>
        <v>99.95654161405389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14.625209357938504</v>
      </c>
      <c r="DG104" s="21">
        <f>EXP(-LN(2)/25)*DG103+(1-EXP(-LN(2)/25))/(LN(2)/25)*Calculateur!DB104*Calculateur!DD104*VLOOKUP('Données projet'!$B$13,Paramètres!$A$1:$I$89,3,0)*0.475*44/12</f>
        <v>11.175280622996677</v>
      </c>
      <c r="DH104" s="21">
        <f>EXP(-LN(2)/2)*DH103+(1-EXP(-LN(2)/2))/(LN(2)/2)*DB104*DE104*VLOOKUP('Données projet'!$B$13,Paramètres!$A$1:$I$89,3,0)*0.475*44/12</f>
        <v>5.9427135813085522E-4</v>
      </c>
      <c r="DI104" s="22">
        <f t="shared" si="69"/>
        <v>25.801084252293315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4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89.107200000000006</v>
      </c>
      <c r="D105" s="11">
        <f t="shared" si="86"/>
        <v>24.349778356363352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875.80825397894523</v>
      </c>
      <c r="H105" s="67">
        <f t="shared" si="56"/>
        <v>490.93757063733278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3.4106051316484809E-13</v>
      </c>
      <c r="O105" s="13">
        <f>N105*VLOOKUP('Données projet'!$B$9,Paramètres!$A$1:$I$89,3,0)*VLOOKUP('Données projet'!$B$9,Paramètres!$A$1:$I$89,5,0)</f>
        <v>1.9065282685915009E-13</v>
      </c>
      <c r="P105" s="13">
        <f t="shared" si="87"/>
        <v>2.6568987209435707E-12</v>
      </c>
      <c r="Q105" s="20">
        <f t="shared" si="107"/>
        <v>4.959485612423072E-12</v>
      </c>
      <c r="R105" s="59">
        <f t="shared" si="55"/>
        <v>293.33333333333826</v>
      </c>
      <c r="S105" s="59">
        <f ca="1">AVERAGE(OFFSET($R$3,0,0,'Données projet'!$E$9+1,1))-AVERAGE(OFFSET($H$3,0,0,'Données projet'!$E$9+1,1))</f>
        <v>324.69474275039357</v>
      </c>
      <c r="T105" s="59">
        <f t="shared" si="88"/>
        <v>437.68177084535927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95.366788956546586</v>
      </c>
      <c r="AA105" s="21">
        <f>EXP(-LN(2)/25)*AA104+(1-EXP(-LN(2)/25))/(LN(2)/25)*Calculateur!V105*Calculateur!X105*VLOOKUP('Données projet'!$B$9,Paramètres!$A$1:$I$89,3,0)*0.475*44/12</f>
        <v>22.461824909071431</v>
      </c>
      <c r="AB105" s="21">
        <f>EXP(-LN(2)/2)*AB104+(1-EXP(-LN(2)/2))/(LN(2)/2)*V105*Y105*VLOOKUP('Données projet'!$B$9,Paramètres!$A$1:$I$89,3,0)*0.475*44/12</f>
        <v>5.4543085820708277E-6</v>
      </c>
      <c r="AC105" s="22">
        <f t="shared" si="57"/>
        <v>117.8286193199266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1.1368683772161603E-13</v>
      </c>
      <c r="AJ105" s="13">
        <f>AI105*VLOOKUP('Données projet'!$B$10,Paramètres!$A$1:$I$89,3,0)*VLOOKUP('Données projet'!$B$10,Paramètres!$A$1:$I$89,5,0)</f>
        <v>6.7984728957526396E-14</v>
      </c>
      <c r="AK105" s="13">
        <f t="shared" si="89"/>
        <v>1.0682447123141398E-12</v>
      </c>
      <c r="AL105" s="20">
        <f t="shared" si="58"/>
        <v>1.978932943548152E-12</v>
      </c>
      <c r="AM105" s="59">
        <f t="shared" si="59"/>
        <v>293.3333333333353</v>
      </c>
      <c r="AN105" s="59">
        <f ca="1">AVERAGE(OFFSET($AM$3,0,0,'Données projet'!$E$10+1,1))-AVERAGE(OFFSET($H$3,0,0,'Données projet'!$E$10+1,1))</f>
        <v>214.93913810439858</v>
      </c>
      <c r="AO105" s="59">
        <f t="shared" si="90"/>
        <v>210.65603079265924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60.446290497135365</v>
      </c>
      <c r="AV105" s="21">
        <f>EXP(-LN(2)/25)*AV104+(1-EXP(-LN(2)/25))/(LN(2)/25)*Calculateur!AQ105*Calculateur!AS105*VLOOKUP('Données projet'!$B$10,Paramètres!$A$1:$I$89,3,0)*0.475*44/12</f>
        <v>15.117444532306978</v>
      </c>
      <c r="AW105" s="21">
        <f>EXP(-LN(2)/2)*AW104+(1-EXP(-LN(2)/2))/(LN(2)/2)*AQ105*AT105*VLOOKUP('Données projet'!$B$10,Paramètres!$A$1:$I$89,3,0)*0.475*44/12</f>
        <v>2.8591843997647044E-5</v>
      </c>
      <c r="AX105" s="21">
        <f t="shared" si="60"/>
        <v>75.563763621286341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10.840999999999998</v>
      </c>
      <c r="BD105" s="12">
        <f>IF('Données projet'!$A$88&gt;35,BD104+BC105-BL104,IF(A105&lt;'Données projet'!$A$88,$BA$205^A105,IF(A105='Données projet'!$A$88,'Données projet'!$B$88,BD104+BC105-BL104)))</f>
        <v>444.31200000000001</v>
      </c>
      <c r="BE105" s="13">
        <f>BD105*VLOOKUP('Données projet'!$B$11,Paramètres!$A$1:$I$89,3,0)*VLOOKUP('Données projet'!$B$11,Paramètres!$A$1:$I$89,5,0)</f>
        <v>402.01349760000005</v>
      </c>
      <c r="BF105" s="13">
        <f t="shared" si="91"/>
        <v>92.18475159332958</v>
      </c>
      <c r="BG105" s="20">
        <f t="shared" si="61"/>
        <v>860.72861734504897</v>
      </c>
      <c r="BH105" s="59">
        <f t="shared" si="62"/>
        <v>1154.0619506783823</v>
      </c>
      <c r="BI105" s="59">
        <f ca="1">AVERAGE(OFFSET($BH$3,0,0,'Données projet'!$E$11+1,1))-AVERAGE(OFFSET($H$3,0,0,'Données projet'!$E$11+1,1))</f>
        <v>507.69556381324213</v>
      </c>
      <c r="BJ105" s="59">
        <f t="shared" si="92"/>
        <v>129.52638237044044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49.55452842572501</v>
      </c>
      <c r="BQ105" s="21">
        <f>EXP(-LN(2)/25)*BQ104+(1-EXP(-LN(2)/25))/(LN(2)/25)*Calculateur!BL105*Calculateur!BN105*VLOOKUP('Données projet'!$B$11,Paramètres!$A$1:$I$89,3,0)*0.475*44/12</f>
        <v>33.075610662297564</v>
      </c>
      <c r="BR105" s="21">
        <f>EXP(-LN(2)/2)*BR104+(1-EXP(-LN(2)/2))/(LN(2)/2)*BL105*BO105*VLOOKUP('Données projet'!$B$11,Paramètres!$A$1:$I$89,3,0)*0.475*44/12</f>
        <v>9.6692112936728219E-2</v>
      </c>
      <c r="BS105" s="22">
        <f t="shared" si="63"/>
        <v>82.726831200959296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6.7777777777777777</v>
      </c>
      <c r="BY105" s="12">
        <f>IF('Données projet'!$A$114&gt;35,BY104+BX105-CG104,IF(A105&lt;'Données projet'!$A$114,$BV$205^A105,IF(A105='Données projet'!$A$114,'Données projet'!$B$114,BY104+BX105-CG104)))</f>
        <v>257.81444444444429</v>
      </c>
      <c r="BZ105" s="13">
        <f>BY105*VLOOKUP('Données projet'!$B$12,Paramètres!$A$1:$I$89,3,0)*VLOOKUP('Données projet'!$B$12,Paramètres!$A$1:$I$89,5,0)</f>
        <v>249.35813066666651</v>
      </c>
      <c r="CA105" s="13">
        <f t="shared" si="93"/>
        <v>60.44847363724665</v>
      </c>
      <c r="CB105" s="20">
        <f t="shared" si="64"/>
        <v>539.57983582931536</v>
      </c>
      <c r="CC105" s="59">
        <f t="shared" si="65"/>
        <v>832.91316916264873</v>
      </c>
      <c r="CD105" s="59">
        <f ca="1">AVERAGE(OFFSET($CC$3,0,0,'Données projet'!$E$12+1,1))-AVERAGE(OFFSET($H$3,0,0,'Données projet'!$E$12+1,1))</f>
        <v>292.52253679467469</v>
      </c>
      <c r="CE105" s="59">
        <f t="shared" si="94"/>
        <v>155.7114133976541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10.311899260380313</v>
      </c>
      <c r="CL105" s="21">
        <f>EXP(-LN(2)/25)*CL104+(1-EXP(-LN(2)/25))/(LN(2)/25)*Calculateur!CG105*Calculateur!CI105*VLOOKUP('Données projet'!$B$12,Paramètres!$A$1:$I$89,3,0)*0.475*44/12</f>
        <v>26.135565225714998</v>
      </c>
      <c r="CM105" s="21">
        <f>EXP(-LN(2)/2)*CM104+(1-EXP(-LN(2)/2))/(LN(2)/2)*CG105*CJ105*VLOOKUP('Données projet'!$B$12,Paramètres!$A$1:$I$89,3,0)*0.475*44/12</f>
        <v>0.35493229493068462</v>
      </c>
      <c r="CN105" s="22">
        <f t="shared" si="66"/>
        <v>36.802396781025998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-1.1368683772161603E-13</v>
      </c>
      <c r="CU105" s="17">
        <f>CT105*VLOOKUP('Données projet'!$B$13,Paramètres!$A$1:$I$89,3,0)*VLOOKUP('Données projet'!$B$13,Paramètres!$A$1:$I$89,5,0)</f>
        <v>-8.8675733422860506E-14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100.54865094989304</v>
      </c>
      <c r="CZ105" s="59">
        <f t="shared" si="96"/>
        <v>99.95654161405389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14.338417922926212</v>
      </c>
      <c r="DG105" s="21">
        <f>EXP(-LN(2)/25)*DG104+(1-EXP(-LN(2)/25))/(LN(2)/25)*Calculateur!DB105*Calculateur!DD105*VLOOKUP('Données projet'!$B$13,Paramètres!$A$1:$I$89,3,0)*0.475*44/12</f>
        <v>10.869691986678367</v>
      </c>
      <c r="DH105" s="21">
        <f>EXP(-LN(2)/2)*DH104+(1-EXP(-LN(2)/2))/(LN(2)/2)*DB105*DE105*VLOOKUP('Données projet'!$B$13,Paramètres!$A$1:$I$89,3,0)*0.475*44/12</f>
        <v>4.2021330719926707E-4</v>
      </c>
      <c r="DI105" s="22">
        <f t="shared" si="69"/>
        <v>25.208530122911778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4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89.980800000000002</v>
      </c>
      <c r="D106" s="11">
        <f t="shared" si="86"/>
        <v>24.560594358746627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884.17918452365814</v>
      </c>
      <c r="H106" s="67">
        <f t="shared" si="56"/>
        <v>492.82626184148364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3.4106051316484809E-13</v>
      </c>
      <c r="O106" s="13">
        <f>N106*VLOOKUP('Données projet'!$B$9,Paramètres!$A$1:$I$89,3,0)*VLOOKUP('Données projet'!$B$9,Paramètres!$A$1:$I$89,5,0)</f>
        <v>1.9065282685915009E-13</v>
      </c>
      <c r="P106" s="13">
        <f t="shared" si="87"/>
        <v>2.6568987209435707E-12</v>
      </c>
      <c r="Q106" s="20">
        <f t="shared" si="107"/>
        <v>4.959485612423072E-12</v>
      </c>
      <c r="R106" s="59">
        <f t="shared" si="55"/>
        <v>293.33333333333826</v>
      </c>
      <c r="S106" s="59">
        <f ca="1">AVERAGE(OFFSET($R$3,0,0,'Données projet'!$E$9+1,1))-AVERAGE(OFFSET($H$3,0,0,'Données projet'!$E$9+1,1))</f>
        <v>324.69474275039357</v>
      </c>
      <c r="T106" s="59">
        <f t="shared" si="88"/>
        <v>437.68177084535927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93.496704393106356</v>
      </c>
      <c r="AA106" s="21">
        <f>EXP(-LN(2)/25)*AA105+(1-EXP(-LN(2)/25))/(LN(2)/25)*Calculateur!V106*Calculateur!X106*VLOOKUP('Données projet'!$B$9,Paramètres!$A$1:$I$89,3,0)*0.475*44/12</f>
        <v>21.847605125716839</v>
      </c>
      <c r="AB106" s="21">
        <f>EXP(-LN(2)/2)*AB105+(1-EXP(-LN(2)/2))/(LN(2)/2)*V106*Y106*VLOOKUP('Données projet'!$B$9,Paramètres!$A$1:$I$89,3,0)*0.475*44/12</f>
        <v>3.8567785850662649E-6</v>
      </c>
      <c r="AC106" s="22">
        <f t="shared" si="57"/>
        <v>115.34431337560179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1.1368683772161603E-13</v>
      </c>
      <c r="AJ106" s="13">
        <f>AI106*VLOOKUP('Données projet'!$B$10,Paramètres!$A$1:$I$89,3,0)*VLOOKUP('Données projet'!$B$10,Paramètres!$A$1:$I$89,5,0)</f>
        <v>6.7984728957526396E-14</v>
      </c>
      <c r="AK106" s="13">
        <f t="shared" si="89"/>
        <v>1.0682447123141398E-12</v>
      </c>
      <c r="AL106" s="20">
        <f t="shared" si="58"/>
        <v>1.978932943548152E-12</v>
      </c>
      <c r="AM106" s="59">
        <f t="shared" si="59"/>
        <v>293.3333333333353</v>
      </c>
      <c r="AN106" s="59">
        <f ca="1">AVERAGE(OFFSET($AM$3,0,0,'Données projet'!$E$10+1,1))-AVERAGE(OFFSET($H$3,0,0,'Données projet'!$E$10+1,1))</f>
        <v>214.93913810439858</v>
      </c>
      <c r="AO106" s="59">
        <f t="shared" si="90"/>
        <v>210.65603079265924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59.260975609083275</v>
      </c>
      <c r="AV106" s="21">
        <f>EXP(-LN(2)/25)*AV105+(1-EXP(-LN(2)/25))/(LN(2)/25)*Calculateur!AQ106*Calculateur!AS106*VLOOKUP('Données projet'!$B$10,Paramètres!$A$1:$I$89,3,0)*0.475*44/12</f>
        <v>14.704057216579187</v>
      </c>
      <c r="AW106" s="21">
        <f>EXP(-LN(2)/2)*AW105+(1-EXP(-LN(2)/2))/(LN(2)/2)*AQ106*AT106*VLOOKUP('Données projet'!$B$10,Paramètres!$A$1:$I$89,3,0)*0.475*44/12</f>
        <v>2.021748677736411E-5</v>
      </c>
      <c r="AX106" s="21">
        <f t="shared" si="60"/>
        <v>73.96505304314924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10.840999999999998</v>
      </c>
      <c r="BD106" s="12">
        <f>IF('Données projet'!$A$88&gt;35,BD105+BC106-BL105,IF(A106&lt;'Données projet'!$A$88,$BA$205^A106,IF(A106='Données projet'!$A$88,'Données projet'!$B$88,BD105+BC106-BL105)))</f>
        <v>455.15300000000002</v>
      </c>
      <c r="BE106" s="13">
        <f>BD106*VLOOKUP('Données projet'!$B$11,Paramètres!$A$1:$I$89,3,0)*VLOOKUP('Données projet'!$B$11,Paramètres!$A$1:$I$89,5,0)</f>
        <v>411.82243440000002</v>
      </c>
      <c r="BF106" s="13">
        <f t="shared" si="91"/>
        <v>94.169404094334013</v>
      </c>
      <c r="BG106" s="20">
        <f t="shared" si="61"/>
        <v>881.26911871096502</v>
      </c>
      <c r="BH106" s="59">
        <f t="shared" si="62"/>
        <v>1174.6024520442984</v>
      </c>
      <c r="BI106" s="59">
        <f ca="1">AVERAGE(OFFSET($BH$3,0,0,'Données projet'!$E$11+1,1))-AVERAGE(OFFSET($H$3,0,0,'Données projet'!$E$11+1,1))</f>
        <v>507.69556381324213</v>
      </c>
      <c r="BJ106" s="59">
        <f t="shared" si="92"/>
        <v>129.52638237044044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48.582794348574382</v>
      </c>
      <c r="BQ106" s="21">
        <f>EXP(-LN(2)/25)*BQ105+(1-EXP(-LN(2)/25))/(LN(2)/25)*Calculateur!BL106*Calculateur!BN106*VLOOKUP('Données projet'!$B$11,Paramètres!$A$1:$I$89,3,0)*0.475*44/12</f>
        <v>32.171156349366271</v>
      </c>
      <c r="BR106" s="21">
        <f>EXP(-LN(2)/2)*BR105+(1-EXP(-LN(2)/2))/(LN(2)/2)*BL106*BO106*VLOOKUP('Données projet'!$B$11,Paramètres!$A$1:$I$89,3,0)*0.475*44/12</f>
        <v>6.8371648744816022E-2</v>
      </c>
      <c r="BS106" s="22">
        <f t="shared" si="63"/>
        <v>80.822322346685468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6.7777777777777777</v>
      </c>
      <c r="BY106" s="12">
        <f>IF('Données projet'!$A$114&gt;35,BY105+BX106-CG105,IF(A106&lt;'Données projet'!$A$114,$BV$205^A106,IF(A106='Données projet'!$A$114,'Données projet'!$B$114,BY105+BX106-CG105)))</f>
        <v>264.59222222222206</v>
      </c>
      <c r="BZ106" s="13">
        <f>BY106*VLOOKUP('Données projet'!$B$12,Paramètres!$A$1:$I$89,3,0)*VLOOKUP('Données projet'!$B$12,Paramètres!$A$1:$I$89,5,0)</f>
        <v>255.91359733333317</v>
      </c>
      <c r="CA106" s="13">
        <f t="shared" si="93"/>
        <v>61.850520566504819</v>
      </c>
      <c r="CB106" s="20">
        <f t="shared" si="64"/>
        <v>553.43917200888438</v>
      </c>
      <c r="CC106" s="59">
        <f t="shared" si="65"/>
        <v>846.77250534221776</v>
      </c>
      <c r="CD106" s="59">
        <f ca="1">AVERAGE(OFFSET($CC$3,0,0,'Données projet'!$E$12+1,1))-AVERAGE(OFFSET($H$3,0,0,'Données projet'!$E$12+1,1))</f>
        <v>292.52253679467469</v>
      </c>
      <c r="CE106" s="59">
        <f t="shared" si="94"/>
        <v>155.7114133976541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10.109689205521754</v>
      </c>
      <c r="CL106" s="21">
        <f>EXP(-LN(2)/25)*CL105+(1-EXP(-LN(2)/25))/(LN(2)/25)*Calculateur!CG106*Calculateur!CI106*VLOOKUP('Données projet'!$B$12,Paramètres!$A$1:$I$89,3,0)*0.475*44/12</f>
        <v>25.420886820208182</v>
      </c>
      <c r="CM106" s="21">
        <f>EXP(-LN(2)/2)*CM105+(1-EXP(-LN(2)/2))/(LN(2)/2)*CG106*CJ106*VLOOKUP('Données projet'!$B$12,Paramètres!$A$1:$I$89,3,0)*0.475*44/12</f>
        <v>0.2509750326075908</v>
      </c>
      <c r="CN106" s="22">
        <f t="shared" si="66"/>
        <v>35.781551058337527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-1.1368683772161603E-13</v>
      </c>
      <c r="CU106" s="17">
        <f>CT106*VLOOKUP('Données projet'!$B$13,Paramètres!$A$1:$I$89,3,0)*VLOOKUP('Données projet'!$B$13,Paramètres!$A$1:$I$89,5,0)</f>
        <v>-8.8675733422860506E-14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100.54865094989304</v>
      </c>
      <c r="CZ106" s="59">
        <f t="shared" si="96"/>
        <v>99.95654161405389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14.057250293029009</v>
      </c>
      <c r="DG106" s="21">
        <f>EXP(-LN(2)/25)*DG105+(1-EXP(-LN(2)/25))/(LN(2)/25)*Calculateur!DB106*Calculateur!DD106*VLOOKUP('Données projet'!$B$13,Paramètres!$A$1:$I$89,3,0)*0.475*44/12</f>
        <v>10.572459687690388</v>
      </c>
      <c r="DH106" s="21">
        <f>EXP(-LN(2)/2)*DH105+(1-EXP(-LN(2)/2))/(LN(2)/2)*DB106*DE106*VLOOKUP('Données projet'!$B$13,Paramètres!$A$1:$I$89,3,0)*0.475*44/12</f>
        <v>2.9713567906542761E-4</v>
      </c>
      <c r="DI106" s="22">
        <f t="shared" si="69"/>
        <v>24.630007116398463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4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90.854399999999998</v>
      </c>
      <c r="D107" s="11">
        <f t="shared" si="86"/>
        <v>24.771172249191284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892.54827701130114</v>
      </c>
      <c r="H107" s="67">
        <f t="shared" si="56"/>
        <v>494.71453833400813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3.4106051316484809E-13</v>
      </c>
      <c r="O107" s="13">
        <f>N107*VLOOKUP('Données projet'!$B$9,Paramètres!$A$1:$I$89,3,0)*VLOOKUP('Données projet'!$B$9,Paramètres!$A$1:$I$89,5,0)</f>
        <v>1.9065282685915009E-13</v>
      </c>
      <c r="P107" s="13">
        <f t="shared" si="87"/>
        <v>2.6568987209435707E-12</v>
      </c>
      <c r="Q107" s="20">
        <f t="shared" si="107"/>
        <v>4.959485612423072E-12</v>
      </c>
      <c r="R107" s="59">
        <f t="shared" si="55"/>
        <v>293.33333333333826</v>
      </c>
      <c r="S107" s="59">
        <f ca="1">AVERAGE(OFFSET($R$3,0,0,'Données projet'!$E$9+1,1))-AVERAGE(OFFSET($H$3,0,0,'Données projet'!$E$9+1,1))</f>
        <v>324.69474275039357</v>
      </c>
      <c r="T107" s="59">
        <f t="shared" si="88"/>
        <v>437.68177084535927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91.663291047316235</v>
      </c>
      <c r="AA107" s="21">
        <f>EXP(-LN(2)/25)*AA106+(1-EXP(-LN(2)/25))/(LN(2)/25)*Calculateur!V107*Calculateur!X107*VLOOKUP('Données projet'!$B$9,Paramètres!$A$1:$I$89,3,0)*0.475*44/12</f>
        <v>21.250181214638491</v>
      </c>
      <c r="AB107" s="21">
        <f>EXP(-LN(2)/2)*AB106+(1-EXP(-LN(2)/2))/(LN(2)/2)*V107*Y107*VLOOKUP('Données projet'!$B$9,Paramètres!$A$1:$I$89,3,0)*0.475*44/12</f>
        <v>2.7271542910354138E-6</v>
      </c>
      <c r="AC107" s="22">
        <f t="shared" si="57"/>
        <v>112.91347498910902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1.1368683772161603E-13</v>
      </c>
      <c r="AJ107" s="13">
        <f>AI107*VLOOKUP('Données projet'!$B$10,Paramètres!$A$1:$I$89,3,0)*VLOOKUP('Données projet'!$B$10,Paramètres!$A$1:$I$89,5,0)</f>
        <v>6.7984728957526396E-14</v>
      </c>
      <c r="AK107" s="13">
        <f t="shared" si="89"/>
        <v>1.0682447123141398E-12</v>
      </c>
      <c r="AL107" s="20">
        <f t="shared" si="58"/>
        <v>1.978932943548152E-12</v>
      </c>
      <c r="AM107" s="59">
        <f t="shared" si="59"/>
        <v>293.3333333333353</v>
      </c>
      <c r="AN107" s="59">
        <f ca="1">AVERAGE(OFFSET($AM$3,0,0,'Données projet'!$E$10+1,1))-AVERAGE(OFFSET($H$3,0,0,'Données projet'!$E$10+1,1))</f>
        <v>214.93913810439858</v>
      </c>
      <c r="AO107" s="59">
        <f t="shared" si="90"/>
        <v>210.65603079265924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58.098904023015187</v>
      </c>
      <c r="AV107" s="21">
        <f>EXP(-LN(2)/25)*AV106+(1-EXP(-LN(2)/25))/(LN(2)/25)*Calculateur!AQ107*Calculateur!AS107*VLOOKUP('Données projet'!$B$10,Paramètres!$A$1:$I$89,3,0)*0.475*44/12</f>
        <v>14.301973998739067</v>
      </c>
      <c r="AW107" s="21">
        <f>EXP(-LN(2)/2)*AW106+(1-EXP(-LN(2)/2))/(LN(2)/2)*AQ107*AT107*VLOOKUP('Données projet'!$B$10,Paramètres!$A$1:$I$89,3,0)*0.475*44/12</f>
        <v>1.4295921998823522E-5</v>
      </c>
      <c r="AX107" s="21">
        <f t="shared" si="60"/>
        <v>72.400892317676252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10.840999999999998</v>
      </c>
      <c r="BD107" s="12">
        <f>IF('Données projet'!$A$88&gt;35,BD106+BC107-BL106,IF(A107&lt;'Données projet'!$A$88,$BA$205^A107,IF(A107='Données projet'!$A$88,'Données projet'!$B$88,BD106+BC107-BL106)))</f>
        <v>465.99400000000003</v>
      </c>
      <c r="BE107" s="13">
        <f>BD107*VLOOKUP('Données projet'!$B$11,Paramètres!$A$1:$I$89,3,0)*VLOOKUP('Données projet'!$B$11,Paramètres!$A$1:$I$89,5,0)</f>
        <v>421.63137120000005</v>
      </c>
      <c r="BF107" s="13">
        <f t="shared" si="91"/>
        <v>96.148561301747847</v>
      </c>
      <c r="BG107" s="20">
        <f t="shared" si="61"/>
        <v>901.80004910721084</v>
      </c>
      <c r="BH107" s="59">
        <f t="shared" si="62"/>
        <v>1195.1333824405442</v>
      </c>
      <c r="BI107" s="59">
        <f ca="1">AVERAGE(OFFSET($BH$3,0,0,'Données projet'!$E$11+1,1))-AVERAGE(OFFSET($H$3,0,0,'Données projet'!$E$11+1,1))</f>
        <v>507.69556381324213</v>
      </c>
      <c r="BJ107" s="59">
        <f t="shared" si="92"/>
        <v>129.52638237044044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47.630115383977419</v>
      </c>
      <c r="BQ107" s="21">
        <f>EXP(-LN(2)/25)*BQ106+(1-EXP(-LN(2)/25))/(LN(2)/25)*Calculateur!BL107*Calculateur!BN107*VLOOKUP('Données projet'!$B$11,Paramètres!$A$1:$I$89,3,0)*0.475*44/12</f>
        <v>31.291434387185266</v>
      </c>
      <c r="BR107" s="21">
        <f>EXP(-LN(2)/2)*BR106+(1-EXP(-LN(2)/2))/(LN(2)/2)*BL107*BO107*VLOOKUP('Données projet'!$B$11,Paramètres!$A$1:$I$89,3,0)*0.475*44/12</f>
        <v>4.834605646836411E-2</v>
      </c>
      <c r="BS107" s="22">
        <f t="shared" si="63"/>
        <v>78.969895827631049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>
        <f>VLOOKUP(A107,'Données projet'!$A$113:$I$133,2,0)</f>
        <v>271.37</v>
      </c>
      <c r="BW107" s="12">
        <f>VLOOKUP(A107,'Données projet'!$A$113:$I$133,9,0)</f>
        <v>6.7777777777777777</v>
      </c>
      <c r="BX107" s="12">
        <f t="array" ref="BX107">INDEX(BW:BW,MIN(IF(ISNUMBER(BW107:BW303),ROW(BW107:BW303),"")))</f>
        <v>6.7777777777777777</v>
      </c>
      <c r="BY107" s="12">
        <f>IF('Données projet'!$A$114&gt;35,BY106+BX107-CG106,IF(A107&lt;'Données projet'!$A$114,$BV$205^A107,IF(A107='Données projet'!$A$114,'Données projet'!$B$114,BY106+BX107-CG106)))</f>
        <v>271.36999999999983</v>
      </c>
      <c r="BZ107" s="13">
        <f>BY107*VLOOKUP('Données projet'!$B$12,Paramètres!$A$1:$I$89,3,0)*VLOOKUP('Données projet'!$B$12,Paramètres!$A$1:$I$89,5,0)</f>
        <v>262.46906399999983</v>
      </c>
      <c r="CA107" s="13">
        <f t="shared" si="93"/>
        <v>63.248392763074122</v>
      </c>
      <c r="CB107" s="20">
        <f t="shared" si="64"/>
        <v>567.29123719568713</v>
      </c>
      <c r="CC107" s="59">
        <f t="shared" si="65"/>
        <v>860.6245705290205</v>
      </c>
      <c r="CD107" s="59">
        <f ca="1">AVERAGE(OFFSET($CC$3,0,0,'Données projet'!$E$12+1,1))-AVERAGE(OFFSET($H$3,0,0,'Données projet'!$E$12+1,1))</f>
        <v>292.52253679467469</v>
      </c>
      <c r="CE107" s="59">
        <f t="shared" si="94"/>
        <v>155.7114133976541</v>
      </c>
      <c r="CF107" s="15">
        <f>IF(ISNA(VLOOKUP(A107,'Données projet'!$A$113:$I$133,3,0)),0,VLOOKUP(A107,'Données projet'!$A$113:$I$133,3,0))</f>
        <v>6</v>
      </c>
      <c r="CG107" s="15">
        <f>IF(ISNA(VLOOKUP(A107,'Données projet'!$A$113:$I$133,4,0)),0,VLOOKUP(A107,'Données projet'!$A$113:$I$133,4,0))</f>
        <v>39.400000000000006</v>
      </c>
      <c r="CH107" s="16">
        <f>IF(ISNA(VLOOKUP(A107,'Données projet'!$A$113:$I$133,5,0)),0%,VLOOKUP(A107,'Données projet'!$A$113:$I$133,5,0)*VLOOKUP('Données projet'!$B$12,Paramètres!$A$1:$I$89,7,0))</f>
        <v>0.15049999999999999</v>
      </c>
      <c r="CI107" s="16">
        <f>IF(ISNA(VLOOKUP(A107,'Données projet'!$A$113:$I$133,6,0)),0%,VLOOKUP(A107,'Données projet'!$A$113:$I$133,6,0)*VLOOKUP('Données projet'!$B$12,Paramètres!$A$1:$I$89,7,0))</f>
        <v>8.6000000000000007E-2</v>
      </c>
      <c r="CJ107" s="16">
        <f>IF(ISNA(VLOOKUP(A107,'Données projet'!$A$113:$I$133,7,0)),0%,VLOOKUP(A107,'Données projet'!$A$113:$I$133,7,0))</f>
        <v>0.1</v>
      </c>
      <c r="CK107" s="21">
        <f>EXP(-LN(2)/35)*CK106+(1-EXP(-LN(2)/35))/(LN(2)/35)*CG107*CH107*VLOOKUP('Données projet'!$B$12,Paramètres!$A$1:$I$89,3,0)*0.475*44/12</f>
        <v>16.251544543147411</v>
      </c>
      <c r="CL107" s="21">
        <f>EXP(-LN(2)/25)*CL106+(1-EXP(-LN(2)/25))/(LN(2)/25)*Calculateur!CG107*Calculateur!CI107*VLOOKUP('Données projet'!$B$12,Paramètres!$A$1:$I$89,3,0)*0.475*44/12</f>
        <v>28.334400925558327</v>
      </c>
      <c r="CM107" s="21">
        <f>EXP(-LN(2)/2)*CM106+(1-EXP(-LN(2)/2))/(LN(2)/2)*CG107*CJ107*VLOOKUP('Données projet'!$B$12,Paramètres!$A$1:$I$89,3,0)*0.475*44/12</f>
        <v>3.7730283207822897</v>
      </c>
      <c r="CN107" s="22">
        <f t="shared" si="66"/>
        <v>48.358973789488026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-1.1368683772161603E-13</v>
      </c>
      <c r="CU107" s="17">
        <f>CT107*VLOOKUP('Données projet'!$B$13,Paramètres!$A$1:$I$89,3,0)*VLOOKUP('Données projet'!$B$13,Paramètres!$A$1:$I$89,5,0)</f>
        <v>-8.8675733422860506E-14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100.54865094989304</v>
      </c>
      <c r="CZ107" s="59">
        <f t="shared" si="96"/>
        <v>99.95654161405389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13.781596188858769</v>
      </c>
      <c r="DG107" s="21">
        <f>EXP(-LN(2)/25)*DG106+(1-EXP(-LN(2)/25))/(LN(2)/25)*Calculateur!DB107*Calculateur!DD107*VLOOKUP('Données projet'!$B$13,Paramètres!$A$1:$I$89,3,0)*0.475*44/12</f>
        <v>10.283355221549003</v>
      </c>
      <c r="DH107" s="21">
        <f>EXP(-LN(2)/2)*DH106+(1-EXP(-LN(2)/2))/(LN(2)/2)*DB107*DE107*VLOOKUP('Données projet'!$B$13,Paramètres!$A$1:$I$89,3,0)*0.475*44/12</f>
        <v>2.1010665359963353E-4</v>
      </c>
      <c r="DI107" s="22">
        <f t="shared" si="69"/>
        <v>24.065161517061373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4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91.727999999999994</v>
      </c>
      <c r="D108" s="11">
        <f t="shared" si="86"/>
        <v>24.981514582386563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900.91555116228221</v>
      </c>
      <c r="H108" s="67">
        <f t="shared" si="56"/>
        <v>496.60240456432325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3.4106051316484809E-13</v>
      </c>
      <c r="O108" s="13">
        <f>N108*VLOOKUP('Données projet'!$B$9,Paramètres!$A$1:$I$89,3,0)*VLOOKUP('Données projet'!$B$9,Paramètres!$A$1:$I$89,5,0)</f>
        <v>1.9065282685915009E-13</v>
      </c>
      <c r="P108" s="13">
        <f t="shared" si="87"/>
        <v>2.6568987209435707E-12</v>
      </c>
      <c r="Q108" s="20">
        <f t="shared" si="107"/>
        <v>4.959485612423072E-12</v>
      </c>
      <c r="R108" s="59">
        <f t="shared" si="55"/>
        <v>293.33333333333826</v>
      </c>
      <c r="S108" s="59">
        <f ca="1">AVERAGE(OFFSET($R$3,0,0,'Données projet'!$E$9+1,1))-AVERAGE(OFFSET($H$3,0,0,'Données projet'!$E$9+1,1))</f>
        <v>324.69474275039357</v>
      </c>
      <c r="T108" s="59">
        <f t="shared" si="88"/>
        <v>437.68177084535927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89.865829818965338</v>
      </c>
      <c r="AA108" s="21">
        <f>EXP(-LN(2)/25)*AA107+(1-EXP(-LN(2)/25))/(LN(2)/25)*Calculateur!V108*Calculateur!X108*VLOOKUP('Données projet'!$B$9,Paramètres!$A$1:$I$89,3,0)*0.475*44/12</f>
        <v>20.669093891825739</v>
      </c>
      <c r="AB108" s="21">
        <f>EXP(-LN(2)/2)*AB107+(1-EXP(-LN(2)/2))/(LN(2)/2)*V108*Y108*VLOOKUP('Données projet'!$B$9,Paramètres!$A$1:$I$89,3,0)*0.475*44/12</f>
        <v>1.9283892925331324E-6</v>
      </c>
      <c r="AC108" s="22">
        <f t="shared" si="57"/>
        <v>110.53492563918037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1.1368683772161603E-13</v>
      </c>
      <c r="AJ108" s="13">
        <f>AI108*VLOOKUP('Données projet'!$B$10,Paramètres!$A$1:$I$89,3,0)*VLOOKUP('Données projet'!$B$10,Paramètres!$A$1:$I$89,5,0)</f>
        <v>6.7984728957526396E-14</v>
      </c>
      <c r="AK108" s="13">
        <f t="shared" si="89"/>
        <v>1.0682447123141398E-12</v>
      </c>
      <c r="AL108" s="20">
        <f t="shared" si="58"/>
        <v>1.978932943548152E-12</v>
      </c>
      <c r="AM108" s="59">
        <f t="shared" si="59"/>
        <v>293.3333333333353</v>
      </c>
      <c r="AN108" s="59">
        <f ca="1">AVERAGE(OFFSET($AM$3,0,0,'Données projet'!$E$10+1,1))-AVERAGE(OFFSET($H$3,0,0,'Données projet'!$E$10+1,1))</f>
        <v>214.93913810439858</v>
      </c>
      <c r="AO108" s="59">
        <f t="shared" si="90"/>
        <v>210.65603079265924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56.959619951956213</v>
      </c>
      <c r="AV108" s="21">
        <f>EXP(-LN(2)/25)*AV107+(1-EXP(-LN(2)/25))/(LN(2)/25)*Calculateur!AQ108*Calculateur!AS108*VLOOKUP('Données projet'!$B$10,Paramètres!$A$1:$I$89,3,0)*0.475*44/12</f>
        <v>13.910885767635422</v>
      </c>
      <c r="AW108" s="21">
        <f>EXP(-LN(2)/2)*AW107+(1-EXP(-LN(2)/2))/(LN(2)/2)*AQ108*AT108*VLOOKUP('Données projet'!$B$10,Paramètres!$A$1:$I$89,3,0)*0.475*44/12</f>
        <v>1.0108743388682055E-5</v>
      </c>
      <c r="AX108" s="21">
        <f t="shared" si="60"/>
        <v>70.870515828335016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10.840999999999998</v>
      </c>
      <c r="BD108" s="12">
        <f>IF('Données projet'!$A$88&gt;35,BD107+BC108-BL107,IF(A108&lt;'Données projet'!$A$88,$BA$205^A108,IF(A108='Données projet'!$A$88,'Données projet'!$B$88,BD107+BC108-BL107)))</f>
        <v>476.83500000000004</v>
      </c>
      <c r="BE108" s="13">
        <f>BD108*VLOOKUP('Données projet'!$B$11,Paramètres!$A$1:$I$89,3,0)*VLOOKUP('Données projet'!$B$11,Paramètres!$A$1:$I$89,5,0)</f>
        <v>431.44030800000002</v>
      </c>
      <c r="BF108" s="13">
        <f t="shared" si="91"/>
        <v>98.122365773392104</v>
      </c>
      <c r="BG108" s="20">
        <f t="shared" si="61"/>
        <v>922.32165682199127</v>
      </c>
      <c r="BH108" s="59">
        <f t="shared" si="62"/>
        <v>1215.6549901553246</v>
      </c>
      <c r="BI108" s="59">
        <f ca="1">AVERAGE(OFFSET($BH$3,0,0,'Données projet'!$E$11+1,1))-AVERAGE(OFFSET($H$3,0,0,'Données projet'!$E$11+1,1))</f>
        <v>507.69556381324213</v>
      </c>
      <c r="BJ108" s="59">
        <f t="shared" si="92"/>
        <v>129.52638237044044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46.696117872799405</v>
      </c>
      <c r="BQ108" s="21">
        <f>EXP(-LN(2)/25)*BQ107+(1-EXP(-LN(2)/25))/(LN(2)/25)*Calculateur!BL108*Calculateur!BN108*VLOOKUP('Données projet'!$B$11,Paramètres!$A$1:$I$89,3,0)*0.475*44/12</f>
        <v>30.435768468322667</v>
      </c>
      <c r="BR108" s="21">
        <f>EXP(-LN(2)/2)*BR107+(1-EXP(-LN(2)/2))/(LN(2)/2)*BL108*BO108*VLOOKUP('Données projet'!$B$11,Paramètres!$A$1:$I$89,3,0)*0.475*44/12</f>
        <v>3.4185824372408011E-2</v>
      </c>
      <c r="BS108" s="22">
        <f t="shared" si="63"/>
        <v>77.166072165494484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6.8811111111111085</v>
      </c>
      <c r="BY108" s="12">
        <f>IF('Données projet'!$A$114&gt;35,BY107+BX108-CG107,IF(A108&lt;'Données projet'!$A$114,$BV$205^A108,IF(A108='Données projet'!$A$114,'Données projet'!$B$114,BY107+BX108-CG107)))</f>
        <v>238.85111111111095</v>
      </c>
      <c r="BZ108" s="13">
        <f>BY108*VLOOKUP('Données projet'!$B$12,Paramètres!$A$1:$I$89,3,0)*VLOOKUP('Données projet'!$B$12,Paramètres!$A$1:$I$89,5,0)</f>
        <v>231.0167946666665</v>
      </c>
      <c r="CA108" s="13">
        <f t="shared" si="93"/>
        <v>56.50247983642894</v>
      </c>
      <c r="CB108" s="20">
        <f t="shared" si="64"/>
        <v>500.76273642622454</v>
      </c>
      <c r="CC108" s="59">
        <f t="shared" si="65"/>
        <v>794.09606975955785</v>
      </c>
      <c r="CD108" s="59">
        <f ca="1">AVERAGE(OFFSET($CC$3,0,0,'Données projet'!$E$12+1,1))-AVERAGE(OFFSET($H$3,0,0,'Données projet'!$E$12+1,1))</f>
        <v>292.52253679467469</v>
      </c>
      <c r="CE108" s="59">
        <f t="shared" si="94"/>
        <v>155.7114133976541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15.932861667119687</v>
      </c>
      <c r="CL108" s="21">
        <f>EXP(-LN(2)/25)*CL107+(1-EXP(-LN(2)/25))/(LN(2)/25)*Calculateur!CG108*Calculateur!CI108*VLOOKUP('Données projet'!$B$12,Paramètres!$A$1:$I$89,3,0)*0.475*44/12</f>
        <v>27.55959524220755</v>
      </c>
      <c r="CM108" s="21">
        <f>EXP(-LN(2)/2)*CM107+(1-EXP(-LN(2)/2))/(LN(2)/2)*CG108*CJ108*VLOOKUP('Données projet'!$B$12,Paramètres!$A$1:$I$89,3,0)*0.475*44/12</f>
        <v>2.6679339112340497</v>
      </c>
      <c r="CN108" s="22">
        <f t="shared" si="66"/>
        <v>46.16039082056129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-1.1368683772161603E-13</v>
      </c>
      <c r="CU108" s="17">
        <f>CT108*VLOOKUP('Données projet'!$B$13,Paramètres!$A$1:$I$89,3,0)*VLOOKUP('Données projet'!$B$13,Paramètres!$A$1:$I$89,5,0)</f>
        <v>-8.8675733422860506E-14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100.54865094989304</v>
      </c>
      <c r="CZ108" s="59">
        <f t="shared" si="96"/>
        <v>99.95654161405389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13.511347493538906</v>
      </c>
      <c r="DG108" s="21">
        <f>EXP(-LN(2)/25)*DG107+(1-EXP(-LN(2)/25))/(LN(2)/25)*Calculateur!DB108*Calculateur!DD108*VLOOKUP('Données projet'!$B$13,Paramètres!$A$1:$I$89,3,0)*0.475*44/12</f>
        <v>10.002156332237599</v>
      </c>
      <c r="DH108" s="21">
        <f>EXP(-LN(2)/2)*DH107+(1-EXP(-LN(2)/2))/(LN(2)/2)*DB108*DE108*VLOOKUP('Données projet'!$B$13,Paramètres!$A$1:$I$89,3,0)*0.475*44/12</f>
        <v>1.485678395327138E-4</v>
      </c>
      <c r="DI108" s="22">
        <f t="shared" si="69"/>
        <v>23.513652393616034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4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92.601599999999991</v>
      </c>
      <c r="D109" s="11">
        <f t="shared" si="86"/>
        <v>25.191623861555186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909.2810262997242</v>
      </c>
      <c r="H109" s="67">
        <f t="shared" si="56"/>
        <v>498.48986489220857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3.4106051316484809E-13</v>
      </c>
      <c r="O109" s="13">
        <f>N109*VLOOKUP('Données projet'!$B$9,Paramètres!$A$1:$I$89,3,0)*VLOOKUP('Données projet'!$B$9,Paramètres!$A$1:$I$89,5,0)</f>
        <v>1.9065282685915009E-13</v>
      </c>
      <c r="P109" s="13">
        <f t="shared" si="87"/>
        <v>2.6568987209435707E-12</v>
      </c>
      <c r="Q109" s="20">
        <f t="shared" si="107"/>
        <v>4.959485612423072E-12</v>
      </c>
      <c r="R109" s="59">
        <f t="shared" si="55"/>
        <v>293.33333333333826</v>
      </c>
      <c r="S109" s="59">
        <f ca="1">AVERAGE(OFFSET($R$3,0,0,'Données projet'!$E$9+1,1))-AVERAGE(OFFSET($H$3,0,0,'Données projet'!$E$9+1,1))</f>
        <v>324.69474275039357</v>
      </c>
      <c r="T109" s="59">
        <f t="shared" si="88"/>
        <v>437.68177084535927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88.10361570895931</v>
      </c>
      <c r="AA109" s="21">
        <f>EXP(-LN(2)/25)*AA108+(1-EXP(-LN(2)/25))/(LN(2)/25)*Calculateur!V109*Calculateur!X109*VLOOKUP('Données projet'!$B$9,Paramètres!$A$1:$I$89,3,0)*0.475*44/12</f>
        <v>20.103896432413357</v>
      </c>
      <c r="AB109" s="21">
        <f>EXP(-LN(2)/2)*AB108+(1-EXP(-LN(2)/2))/(LN(2)/2)*V109*Y109*VLOOKUP('Données projet'!$B$9,Paramètres!$A$1:$I$89,3,0)*0.475*44/12</f>
        <v>1.3635771455177069E-6</v>
      </c>
      <c r="AC109" s="22">
        <f t="shared" si="57"/>
        <v>108.2075135049498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1.1368683772161603E-13</v>
      </c>
      <c r="AJ109" s="13">
        <f>AI109*VLOOKUP('Données projet'!$B$10,Paramètres!$A$1:$I$89,3,0)*VLOOKUP('Données projet'!$B$10,Paramètres!$A$1:$I$89,5,0)</f>
        <v>6.7984728957526396E-14</v>
      </c>
      <c r="AK109" s="13">
        <f t="shared" si="89"/>
        <v>1.0682447123141398E-12</v>
      </c>
      <c r="AL109" s="20">
        <f t="shared" si="58"/>
        <v>1.978932943548152E-12</v>
      </c>
      <c r="AM109" s="59">
        <f t="shared" si="59"/>
        <v>293.3333333333353</v>
      </c>
      <c r="AN109" s="59">
        <f ca="1">AVERAGE(OFFSET($AM$3,0,0,'Données projet'!$E$10+1,1))-AVERAGE(OFFSET($H$3,0,0,'Données projet'!$E$10+1,1))</f>
        <v>214.93913810439858</v>
      </c>
      <c r="AO109" s="59">
        <f t="shared" si="90"/>
        <v>210.65603079265924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55.842676546636042</v>
      </c>
      <c r="AV109" s="21">
        <f>EXP(-LN(2)/25)*AV108+(1-EXP(-LN(2)/25))/(LN(2)/25)*Calculateur!AQ109*Calculateur!AS109*VLOOKUP('Données projet'!$B$10,Paramètres!$A$1:$I$89,3,0)*0.475*44/12</f>
        <v>13.530491864777742</v>
      </c>
      <c r="AW109" s="21">
        <f>EXP(-LN(2)/2)*AW108+(1-EXP(-LN(2)/2))/(LN(2)/2)*AQ109*AT109*VLOOKUP('Données projet'!$B$10,Paramètres!$A$1:$I$89,3,0)*0.475*44/12</f>
        <v>7.147960999411761E-6</v>
      </c>
      <c r="AX109" s="21">
        <f t="shared" si="60"/>
        <v>69.373175559374786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10.840999999999998</v>
      </c>
      <c r="BD109" s="12">
        <f>IF('Données projet'!$A$88&gt;35,BD108+BC109-BL108,IF(A109&lt;'Données projet'!$A$88,$BA$205^A109,IF(A109='Données projet'!$A$88,'Données projet'!$B$88,BD108+BC109-BL108)))</f>
        <v>487.67600000000004</v>
      </c>
      <c r="BE109" s="13">
        <f>BD109*VLOOKUP('Données projet'!$B$11,Paramètres!$A$1:$I$89,3,0)*VLOOKUP('Données projet'!$B$11,Paramètres!$A$1:$I$89,5,0)</f>
        <v>441.24924480000004</v>
      </c>
      <c r="BF109" s="13">
        <f t="shared" si="91"/>
        <v>100.09095321491932</v>
      </c>
      <c r="BG109" s="20">
        <f t="shared" si="61"/>
        <v>942.83417820931766</v>
      </c>
      <c r="BH109" s="59">
        <f t="shared" si="62"/>
        <v>1236.167511542651</v>
      </c>
      <c r="BI109" s="59">
        <f ca="1">AVERAGE(OFFSET($BH$3,0,0,'Données projet'!$E$11+1,1))-AVERAGE(OFFSET($H$3,0,0,'Données projet'!$E$11+1,1))</f>
        <v>507.69556381324213</v>
      </c>
      <c r="BJ109" s="59">
        <f t="shared" si="92"/>
        <v>129.52638237044044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45.780435483133367</v>
      </c>
      <c r="BQ109" s="21">
        <f>EXP(-LN(2)/25)*BQ108+(1-EXP(-LN(2)/25))/(LN(2)/25)*Calculateur!BL109*Calculateur!BN109*VLOOKUP('Données projet'!$B$11,Paramètres!$A$1:$I$89,3,0)*0.475*44/12</f>
        <v>29.603500779008883</v>
      </c>
      <c r="BR109" s="21">
        <f>EXP(-LN(2)/2)*BR108+(1-EXP(-LN(2)/2))/(LN(2)/2)*BL109*BO109*VLOOKUP('Données projet'!$B$11,Paramètres!$A$1:$I$89,3,0)*0.475*44/12</f>
        <v>2.4173028234182055E-2</v>
      </c>
      <c r="BS109" s="22">
        <f t="shared" si="63"/>
        <v>75.40810929037643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6.8811111111111085</v>
      </c>
      <c r="BY109" s="12">
        <f>IF('Données projet'!$A$114&gt;35,BY108+BX109-CG108,IF(A109&lt;'Données projet'!$A$114,$BV$205^A109,IF(A109='Données projet'!$A$114,'Données projet'!$B$114,BY108+BX109-CG108)))</f>
        <v>245.73222222222205</v>
      </c>
      <c r="BZ109" s="13">
        <f>BY109*VLOOKUP('Données projet'!$B$12,Paramètres!$A$1:$I$89,3,0)*VLOOKUP('Données projet'!$B$12,Paramètres!$A$1:$I$89,5,0)</f>
        <v>237.67220533333315</v>
      </c>
      <c r="CA109" s="13">
        <f t="shared" si="93"/>
        <v>57.938410377158242</v>
      </c>
      <c r="CB109" s="20">
        <f t="shared" si="64"/>
        <v>514.8551556957724</v>
      </c>
      <c r="CC109" s="59">
        <f t="shared" si="65"/>
        <v>808.18848902910577</v>
      </c>
      <c r="CD109" s="59">
        <f ca="1">AVERAGE(OFFSET($CC$3,0,0,'Données projet'!$E$12+1,1))-AVERAGE(OFFSET($H$3,0,0,'Données projet'!$E$12+1,1))</f>
        <v>292.52253679467469</v>
      </c>
      <c r="CE109" s="59">
        <f t="shared" si="94"/>
        <v>155.7114133976541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15.620427967913505</v>
      </c>
      <c r="CL109" s="21">
        <f>EXP(-LN(2)/25)*CL108+(1-EXP(-LN(2)/25))/(LN(2)/25)*Calculateur!CG109*Calculateur!CI109*VLOOKUP('Données projet'!$B$12,Paramètres!$A$1:$I$89,3,0)*0.475*44/12</f>
        <v>26.805976661013258</v>
      </c>
      <c r="CM109" s="21">
        <f>EXP(-LN(2)/2)*CM108+(1-EXP(-LN(2)/2))/(LN(2)/2)*CG109*CJ109*VLOOKUP('Données projet'!$B$12,Paramètres!$A$1:$I$89,3,0)*0.475*44/12</f>
        <v>1.8865141603911453</v>
      </c>
      <c r="CN109" s="22">
        <f t="shared" si="66"/>
        <v>44.312918789317905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-1.1368683772161603E-13</v>
      </c>
      <c r="CU109" s="17">
        <f>CT109*VLOOKUP('Données projet'!$B$13,Paramètres!$A$1:$I$89,3,0)*VLOOKUP('Données projet'!$B$13,Paramètres!$A$1:$I$89,5,0)</f>
        <v>-8.8675733422860506E-14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100.54865094989304</v>
      </c>
      <c r="CZ109" s="59">
        <f t="shared" si="96"/>
        <v>99.95654161405389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13.246398210298837</v>
      </c>
      <c r="DG109" s="21">
        <f>EXP(-LN(2)/25)*DG108+(1-EXP(-LN(2)/25))/(LN(2)/25)*Calculateur!DB109*Calculateur!DD109*VLOOKUP('Données projet'!$B$13,Paramètres!$A$1:$I$89,3,0)*0.475*44/12</f>
        <v>9.7286468413420195</v>
      </c>
      <c r="DH109" s="21">
        <f>EXP(-LN(2)/2)*DH108+(1-EXP(-LN(2)/2))/(LN(2)/2)*DB109*DE109*VLOOKUP('Données projet'!$B$13,Paramètres!$A$1:$I$89,3,0)*0.475*44/12</f>
        <v>1.0505332679981677E-4</v>
      </c>
      <c r="DI109" s="22">
        <f t="shared" si="69"/>
        <v>22.975150104967653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4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93.475199999999987</v>
      </c>
      <c r="D110" s="11">
        <f t="shared" si="86"/>
        <v>25.401502539965662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917.64472136113852</v>
      </c>
      <c r="H110" s="67">
        <f t="shared" si="56"/>
        <v>500.37692359044013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3.4106051316484809E-13</v>
      </c>
      <c r="O110" s="13">
        <f>N110*VLOOKUP('Données projet'!$B$9,Paramètres!$A$1:$I$89,3,0)*VLOOKUP('Données projet'!$B$9,Paramètres!$A$1:$I$89,5,0)</f>
        <v>1.9065282685915009E-13</v>
      </c>
      <c r="P110" s="13">
        <f t="shared" si="87"/>
        <v>2.6568987209435707E-12</v>
      </c>
      <c r="Q110" s="20">
        <f t="shared" si="107"/>
        <v>4.959485612423072E-12</v>
      </c>
      <c r="R110" s="59">
        <f t="shared" si="55"/>
        <v>293.33333333333826</v>
      </c>
      <c r="S110" s="59">
        <f ca="1">AVERAGE(OFFSET($R$3,0,0,'Données projet'!$E$9+1,1))-AVERAGE(OFFSET($H$3,0,0,'Données projet'!$E$9+1,1))</f>
        <v>324.69474275039357</v>
      </c>
      <c r="T110" s="59">
        <f t="shared" si="88"/>
        <v>437.68177084535927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86.37595754280602</v>
      </c>
      <c r="AA110" s="21">
        <f>EXP(-LN(2)/25)*AA109+(1-EXP(-LN(2)/25))/(LN(2)/25)*Calculateur!V110*Calculateur!X110*VLOOKUP('Données projet'!$B$9,Paramètres!$A$1:$I$89,3,0)*0.475*44/12</f>
        <v>19.554154327251048</v>
      </c>
      <c r="AB110" s="21">
        <f>EXP(-LN(2)/2)*AB109+(1-EXP(-LN(2)/2))/(LN(2)/2)*V110*Y110*VLOOKUP('Données projet'!$B$9,Paramètres!$A$1:$I$89,3,0)*0.475*44/12</f>
        <v>9.6419464626656622E-7</v>
      </c>
      <c r="AC110" s="22">
        <f t="shared" si="57"/>
        <v>105.9301128342517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1.1368683772161603E-13</v>
      </c>
      <c r="AJ110" s="13">
        <f>AI110*VLOOKUP('Données projet'!$B$10,Paramètres!$A$1:$I$89,3,0)*VLOOKUP('Données projet'!$B$10,Paramètres!$A$1:$I$89,5,0)</f>
        <v>6.7984728957526396E-14</v>
      </c>
      <c r="AK110" s="13">
        <f t="shared" si="89"/>
        <v>1.0682447123141398E-12</v>
      </c>
      <c r="AL110" s="20">
        <f t="shared" si="58"/>
        <v>1.978932943548152E-12</v>
      </c>
      <c r="AM110" s="59">
        <f t="shared" si="59"/>
        <v>293.3333333333353</v>
      </c>
      <c r="AN110" s="59">
        <f ca="1">AVERAGE(OFFSET($AM$3,0,0,'Données projet'!$E$10+1,1))-AVERAGE(OFFSET($H$3,0,0,'Données projet'!$E$10+1,1))</f>
        <v>214.93913810439858</v>
      </c>
      <c r="AO110" s="59">
        <f t="shared" si="90"/>
        <v>210.65603079265924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54.747635720225993</v>
      </c>
      <c r="AV110" s="21">
        <f>EXP(-LN(2)/25)*AV109+(1-EXP(-LN(2)/25))/(LN(2)/25)*Calculateur!AQ110*Calculateur!AS110*VLOOKUP('Données projet'!$B$10,Paramètres!$A$1:$I$89,3,0)*0.475*44/12</f>
        <v>13.160499853197752</v>
      </c>
      <c r="AW110" s="21">
        <f>EXP(-LN(2)/2)*AW109+(1-EXP(-LN(2)/2))/(LN(2)/2)*AQ110*AT110*VLOOKUP('Données projet'!$B$10,Paramètres!$A$1:$I$89,3,0)*0.475*44/12</f>
        <v>5.0543716943410276E-6</v>
      </c>
      <c r="AX110" s="21">
        <f t="shared" si="60"/>
        <v>67.908140627795447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10.840999999999998</v>
      </c>
      <c r="BD110" s="12">
        <f>IF('Données projet'!$A$88&gt;35,BD109+BC110-BL109,IF(A110&lt;'Données projet'!$A$88,$BA$205^A110,IF(A110='Données projet'!$A$88,'Données projet'!$B$88,BD109+BC110-BL109)))</f>
        <v>498.51700000000005</v>
      </c>
      <c r="BE110" s="13">
        <f>BD110*VLOOKUP('Données projet'!$B$11,Paramètres!$A$1:$I$89,3,0)*VLOOKUP('Données projet'!$B$11,Paramètres!$A$1:$I$89,5,0)</f>
        <v>451.05818160000001</v>
      </c>
      <c r="BF110" s="13">
        <f t="shared" si="91"/>
        <v>102.05445295405619</v>
      </c>
      <c r="BG110" s="20">
        <f t="shared" si="61"/>
        <v>963.33783851498117</v>
      </c>
      <c r="BH110" s="59">
        <f t="shared" si="62"/>
        <v>1256.6711718483145</v>
      </c>
      <c r="BI110" s="59">
        <f ca="1">AVERAGE(OFFSET($BH$3,0,0,'Données projet'!$E$11+1,1))-AVERAGE(OFFSET($H$3,0,0,'Données projet'!$E$11+1,1))</f>
        <v>507.69556381324213</v>
      </c>
      <c r="BJ110" s="59">
        <f t="shared" si="92"/>
        <v>129.52638237044044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44.882709066617572</v>
      </c>
      <c r="BQ110" s="21">
        <f>EXP(-LN(2)/25)*BQ109+(1-EXP(-LN(2)/25))/(LN(2)/25)*Calculateur!BL110*Calculateur!BN110*VLOOKUP('Données projet'!$B$11,Paramètres!$A$1:$I$89,3,0)*0.475*44/12</f>
        <v>28.793991493426439</v>
      </c>
      <c r="BR110" s="21">
        <f>EXP(-LN(2)/2)*BR109+(1-EXP(-LN(2)/2))/(LN(2)/2)*BL110*BO110*VLOOKUP('Données projet'!$B$11,Paramètres!$A$1:$I$89,3,0)*0.475*44/12</f>
        <v>1.7092912186204005E-2</v>
      </c>
      <c r="BS110" s="22">
        <f t="shared" si="63"/>
        <v>73.693793472230212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6.8811111111111085</v>
      </c>
      <c r="BY110" s="12">
        <f>IF('Données projet'!$A$114&gt;35,BY109+BX110-CG109,IF(A110&lt;'Données projet'!$A$114,$BV$205^A110,IF(A110='Données projet'!$A$114,'Données projet'!$B$114,BY109+BX110-CG109)))</f>
        <v>252.61333333333314</v>
      </c>
      <c r="BZ110" s="13">
        <f>BY110*VLOOKUP('Données projet'!$B$12,Paramètres!$A$1:$I$89,3,0)*VLOOKUP('Données projet'!$B$12,Paramètres!$A$1:$I$89,5,0)</f>
        <v>244.32761599999981</v>
      </c>
      <c r="CA110" s="13">
        <f t="shared" si="93"/>
        <v>59.369667493101296</v>
      </c>
      <c r="CB110" s="20">
        <f t="shared" si="64"/>
        <v>528.93943541715112</v>
      </c>
      <c r="CC110" s="59">
        <f t="shared" si="65"/>
        <v>822.27276875048437</v>
      </c>
      <c r="CD110" s="59">
        <f ca="1">AVERAGE(OFFSET($CC$3,0,0,'Données projet'!$E$12+1,1))-AVERAGE(OFFSET($H$3,0,0,'Données projet'!$E$12+1,1))</f>
        <v>292.52253679467469</v>
      </c>
      <c r="CE110" s="59">
        <f t="shared" si="94"/>
        <v>155.7114133976541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15.314120902983017</v>
      </c>
      <c r="CL110" s="21">
        <f>EXP(-LN(2)/25)*CL109+(1-EXP(-LN(2)/25))/(LN(2)/25)*Calculateur!CG110*Calculateur!CI110*VLOOKUP('Données projet'!$B$12,Paramètres!$A$1:$I$89,3,0)*0.475*44/12</f>
        <v>26.072965819552802</v>
      </c>
      <c r="CM110" s="21">
        <f>EXP(-LN(2)/2)*CM109+(1-EXP(-LN(2)/2))/(LN(2)/2)*CG110*CJ110*VLOOKUP('Données projet'!$B$12,Paramètres!$A$1:$I$89,3,0)*0.475*44/12</f>
        <v>1.3339669556170251</v>
      </c>
      <c r="CN110" s="22">
        <f t="shared" si="66"/>
        <v>42.721053678152842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-1.1368683772161603E-13</v>
      </c>
      <c r="CU110" s="17">
        <f>CT110*VLOOKUP('Données projet'!$B$13,Paramètres!$A$1:$I$89,3,0)*VLOOKUP('Données projet'!$B$13,Paramètres!$A$1:$I$89,5,0)</f>
        <v>-8.8675733422860506E-14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100.54865094989304</v>
      </c>
      <c r="CZ110" s="59">
        <f t="shared" si="96"/>
        <v>99.95654161405389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12.986644420900001</v>
      </c>
      <c r="DG110" s="21">
        <f>EXP(-LN(2)/25)*DG109+(1-EXP(-LN(2)/25))/(LN(2)/25)*Calculateur!DB110*Calculateur!DD110*VLOOKUP('Données projet'!$B$13,Paramètres!$A$1:$I$89,3,0)*0.475*44/12</f>
        <v>9.4626164818582197</v>
      </c>
      <c r="DH110" s="21">
        <f>EXP(-LN(2)/2)*DH109+(1-EXP(-LN(2)/2))/(LN(2)/2)*DB110*DE110*VLOOKUP('Données projet'!$B$13,Paramètres!$A$1:$I$89,3,0)*0.475*44/12</f>
        <v>7.4283919766356902E-5</v>
      </c>
      <c r="DI110" s="22">
        <f t="shared" si="69"/>
        <v>22.449335186677985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4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94.348799999999983</v>
      </c>
      <c r="D111" s="11">
        <f t="shared" si="86"/>
        <v>25.611153022386461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926.00665490964991</v>
      </c>
      <c r="H111" s="67">
        <f t="shared" si="56"/>
        <v>502.26358484732305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3.4106051316484809E-13</v>
      </c>
      <c r="O111" s="13">
        <f>N111*VLOOKUP('Données projet'!$B$9,Paramètres!$A$1:$I$89,3,0)*VLOOKUP('Données projet'!$B$9,Paramètres!$A$1:$I$89,5,0)</f>
        <v>1.9065282685915009E-13</v>
      </c>
      <c r="P111" s="13">
        <f t="shared" si="87"/>
        <v>2.6568987209435707E-12</v>
      </c>
      <c r="Q111" s="20">
        <f t="shared" si="107"/>
        <v>4.959485612423072E-12</v>
      </c>
      <c r="R111" s="59">
        <f t="shared" si="55"/>
        <v>293.33333333333826</v>
      </c>
      <c r="S111" s="59">
        <f ca="1">AVERAGE(OFFSET($R$3,0,0,'Données projet'!$E$9+1,1))-AVERAGE(OFFSET($H$3,0,0,'Données projet'!$E$9+1,1))</f>
        <v>324.69474275039357</v>
      </c>
      <c r="T111" s="59">
        <f t="shared" si="88"/>
        <v>437.68177084535927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84.682177699523564</v>
      </c>
      <c r="AA111" s="21">
        <f>EXP(-LN(2)/25)*AA110+(1-EXP(-LN(2)/25))/(LN(2)/25)*Calculateur!V111*Calculateur!X111*VLOOKUP('Données projet'!$B$9,Paramètres!$A$1:$I$89,3,0)*0.475*44/12</f>
        <v>19.019444948864084</v>
      </c>
      <c r="AB111" s="21">
        <f>EXP(-LN(2)/2)*AB110+(1-EXP(-LN(2)/2))/(LN(2)/2)*V111*Y111*VLOOKUP('Données projet'!$B$9,Paramètres!$A$1:$I$89,3,0)*0.475*44/12</f>
        <v>6.8178857275885346E-7</v>
      </c>
      <c r="AC111" s="22">
        <f t="shared" si="57"/>
        <v>103.70162333017623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1.1368683772161603E-13</v>
      </c>
      <c r="AJ111" s="13">
        <f>AI111*VLOOKUP('Données projet'!$B$10,Paramètres!$A$1:$I$89,3,0)*VLOOKUP('Données projet'!$B$10,Paramètres!$A$1:$I$89,5,0)</f>
        <v>6.7984728957526396E-14</v>
      </c>
      <c r="AK111" s="13">
        <f t="shared" si="89"/>
        <v>1.0682447123141398E-12</v>
      </c>
      <c r="AL111" s="20">
        <f t="shared" si="58"/>
        <v>1.978932943548152E-12</v>
      </c>
      <c r="AM111" s="59">
        <f t="shared" si="59"/>
        <v>293.3333333333353</v>
      </c>
      <c r="AN111" s="59">
        <f ca="1">AVERAGE(OFFSET($AM$3,0,0,'Données projet'!$E$10+1,1))-AVERAGE(OFFSET($H$3,0,0,'Données projet'!$E$10+1,1))</f>
        <v>214.93913810439858</v>
      </c>
      <c r="AO111" s="59">
        <f t="shared" si="90"/>
        <v>210.65603079265924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53.674067976512887</v>
      </c>
      <c r="AV111" s="21">
        <f>EXP(-LN(2)/25)*AV110+(1-EXP(-LN(2)/25))/(LN(2)/25)*Calculateur!AQ111*Calculateur!AS111*VLOOKUP('Données projet'!$B$10,Paramètres!$A$1:$I$89,3,0)*0.475*44/12</f>
        <v>12.800625292631452</v>
      </c>
      <c r="AW111" s="21">
        <f>EXP(-LN(2)/2)*AW110+(1-EXP(-LN(2)/2))/(LN(2)/2)*AQ111*AT111*VLOOKUP('Données projet'!$B$10,Paramètres!$A$1:$I$89,3,0)*0.475*44/12</f>
        <v>3.5739804997058805E-6</v>
      </c>
      <c r="AX111" s="21">
        <f t="shared" si="60"/>
        <v>66.474696843124832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10.840999999999998</v>
      </c>
      <c r="BD111" s="12">
        <f>IF('Données projet'!$A$88&gt;35,BD110+BC111-BL110,IF(A111&lt;'Données projet'!$A$88,$BA$205^A111,IF(A111='Données projet'!$A$88,'Données projet'!$B$88,BD110+BC111-BL110)))</f>
        <v>509.35800000000006</v>
      </c>
      <c r="BE111" s="13">
        <f>BD111*VLOOKUP('Données projet'!$B$11,Paramètres!$A$1:$I$89,3,0)*VLOOKUP('Données projet'!$B$11,Paramètres!$A$1:$I$89,5,0)</f>
        <v>460.86711840000004</v>
      </c>
      <c r="BF111" s="13">
        <f t="shared" si="91"/>
        <v>104.01298837243165</v>
      </c>
      <c r="BG111" s="20">
        <f t="shared" si="61"/>
        <v>983.83285262865172</v>
      </c>
      <c r="BH111" s="59">
        <f t="shared" si="62"/>
        <v>1277.1661859619851</v>
      </c>
      <c r="BI111" s="59">
        <f ca="1">AVERAGE(OFFSET($BH$3,0,0,'Données projet'!$E$11+1,1))-AVERAGE(OFFSET($H$3,0,0,'Données projet'!$E$11+1,1))</f>
        <v>507.69556381324213</v>
      </c>
      <c r="BJ111" s="59">
        <f t="shared" si="92"/>
        <v>129.52638237044044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44.002586517570599</v>
      </c>
      <c r="BQ111" s="21">
        <f>EXP(-LN(2)/25)*BQ110+(1-EXP(-LN(2)/25))/(LN(2)/25)*Calculateur!BL111*Calculateur!BN111*VLOOKUP('Données projet'!$B$11,Paramètres!$A$1:$I$89,3,0)*0.475*44/12</f>
        <v>28.006618281828491</v>
      </c>
      <c r="BR111" s="21">
        <f>EXP(-LN(2)/2)*BR110+(1-EXP(-LN(2)/2))/(LN(2)/2)*BL111*BO111*VLOOKUP('Données projet'!$B$11,Paramètres!$A$1:$I$89,3,0)*0.475*44/12</f>
        <v>1.2086514117091027E-2</v>
      </c>
      <c r="BS111" s="22">
        <f t="shared" si="63"/>
        <v>72.021291313516173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6.8811111111111085</v>
      </c>
      <c r="BY111" s="12">
        <f>IF('Données projet'!$A$114&gt;35,BY110+BX111-CG110,IF(A111&lt;'Données projet'!$A$114,$BV$205^A111,IF(A111='Données projet'!$A$114,'Données projet'!$B$114,BY110+BX111-CG110)))</f>
        <v>259.49444444444424</v>
      </c>
      <c r="BZ111" s="13">
        <f>BY111*VLOOKUP('Données projet'!$B$12,Paramètres!$A$1:$I$89,3,0)*VLOOKUP('Données projet'!$B$12,Paramètres!$A$1:$I$89,5,0)</f>
        <v>250.98302666666646</v>
      </c>
      <c r="CA111" s="13">
        <f t="shared" si="93"/>
        <v>60.796393115447323</v>
      </c>
      <c r="CB111" s="20">
        <f t="shared" si="64"/>
        <v>543.01582278718149</v>
      </c>
      <c r="CC111" s="59">
        <f t="shared" si="65"/>
        <v>836.34915612051486</v>
      </c>
      <c r="CD111" s="59">
        <f ca="1">AVERAGE(OFFSET($CC$3,0,0,'Données projet'!$E$12+1,1))-AVERAGE(OFFSET($H$3,0,0,'Données projet'!$E$12+1,1))</f>
        <v>292.52253679467469</v>
      </c>
      <c r="CE111" s="59">
        <f t="shared" si="94"/>
        <v>155.7114133976541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15.013820332766954</v>
      </c>
      <c r="CL111" s="21">
        <f>EXP(-LN(2)/25)*CL110+(1-EXP(-LN(2)/25))/(LN(2)/25)*Calculateur!CG111*Calculateur!CI111*VLOOKUP('Données projet'!$B$12,Paramètres!$A$1:$I$89,3,0)*0.475*44/12</f>
        <v>25.359999198099448</v>
      </c>
      <c r="CM111" s="21">
        <f>EXP(-LN(2)/2)*CM110+(1-EXP(-LN(2)/2))/(LN(2)/2)*CG111*CJ111*VLOOKUP('Données projet'!$B$12,Paramètres!$A$1:$I$89,3,0)*0.475*44/12</f>
        <v>0.94325708019557275</v>
      </c>
      <c r="CN111" s="22">
        <f t="shared" si="66"/>
        <v>41.317076611061971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-1.1368683772161603E-13</v>
      </c>
      <c r="CU111" s="17">
        <f>CT111*VLOOKUP('Données projet'!$B$13,Paramètres!$A$1:$I$89,3,0)*VLOOKUP('Données projet'!$B$13,Paramètres!$A$1:$I$89,5,0)</f>
        <v>-8.8675733422860506E-14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100.54865094989304</v>
      </c>
      <c r="CZ111" s="59">
        <f t="shared" si="96"/>
        <v>99.95654161405389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12.731984244877108</v>
      </c>
      <c r="DG111" s="21">
        <f>EXP(-LN(2)/25)*DG110+(1-EXP(-LN(2)/25))/(LN(2)/25)*Calculateur!DB111*Calculateur!DD111*VLOOKUP('Données projet'!$B$13,Paramètres!$A$1:$I$89,3,0)*0.475*44/12</f>
        <v>9.2038607365444332</v>
      </c>
      <c r="DH111" s="21">
        <f>EXP(-LN(2)/2)*DH110+(1-EXP(-LN(2)/2))/(LN(2)/2)*DB111*DE111*VLOOKUP('Données projet'!$B$13,Paramètres!$A$1:$I$89,3,0)*0.475*44/12</f>
        <v>5.2526663399908383E-5</v>
      </c>
      <c r="DI111" s="22">
        <f t="shared" si="69"/>
        <v>21.935897508084938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4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95.222399999999979</v>
      </c>
      <c r="D112" s="11">
        <f t="shared" si="86"/>
        <v>25.820577666484969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934.36684514479612</v>
      </c>
      <c r="H112" s="67">
        <f t="shared" si="56"/>
        <v>504.1498527691279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3.4106051316484809E-13</v>
      </c>
      <c r="O112" s="13">
        <f>N112*VLOOKUP('Données projet'!$B$9,Paramètres!$A$1:$I$89,3,0)*VLOOKUP('Données projet'!$B$9,Paramètres!$A$1:$I$89,5,0)</f>
        <v>1.9065282685915009E-13</v>
      </c>
      <c r="P112" s="13">
        <f t="shared" si="87"/>
        <v>2.6568987209435707E-12</v>
      </c>
      <c r="Q112" s="20">
        <f t="shared" si="107"/>
        <v>4.959485612423072E-12</v>
      </c>
      <c r="R112" s="59">
        <f t="shared" si="55"/>
        <v>293.33333333333826</v>
      </c>
      <c r="S112" s="59">
        <f ca="1">AVERAGE(OFFSET($R$3,0,0,'Données projet'!$E$9+1,1))-AVERAGE(OFFSET($H$3,0,0,'Données projet'!$E$9+1,1))</f>
        <v>324.69474275039357</v>
      </c>
      <c r="T112" s="59">
        <f t="shared" si="88"/>
        <v>437.68177084535927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83.021611845864186</v>
      </c>
      <c r="AA112" s="21">
        <f>EXP(-LN(2)/25)*AA111+(1-EXP(-LN(2)/25))/(LN(2)/25)*Calculateur!V112*Calculateur!X112*VLOOKUP('Données projet'!$B$9,Paramètres!$A$1:$I$89,3,0)*0.475*44/12</f>
        <v>18.499357226548256</v>
      </c>
      <c r="AB112" s="21">
        <f>EXP(-LN(2)/2)*AB111+(1-EXP(-LN(2)/2))/(LN(2)/2)*V112*Y112*VLOOKUP('Données projet'!$B$9,Paramètres!$A$1:$I$89,3,0)*0.475*44/12</f>
        <v>4.8209732313328311E-7</v>
      </c>
      <c r="AC112" s="22">
        <f t="shared" si="57"/>
        <v>101.52096955450976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1.1368683772161603E-13</v>
      </c>
      <c r="AJ112" s="13">
        <f>AI112*VLOOKUP('Données projet'!$B$10,Paramètres!$A$1:$I$89,3,0)*VLOOKUP('Données projet'!$B$10,Paramètres!$A$1:$I$89,5,0)</f>
        <v>6.7984728957526396E-14</v>
      </c>
      <c r="AK112" s="13">
        <f t="shared" si="89"/>
        <v>1.0682447123141398E-12</v>
      </c>
      <c r="AL112" s="20">
        <f t="shared" si="58"/>
        <v>1.978932943548152E-12</v>
      </c>
      <c r="AM112" s="59">
        <f t="shared" si="59"/>
        <v>293.3333333333353</v>
      </c>
      <c r="AN112" s="59">
        <f ca="1">AVERAGE(OFFSET($AM$3,0,0,'Données projet'!$E$10+1,1))-AVERAGE(OFFSET($H$3,0,0,'Données projet'!$E$10+1,1))</f>
        <v>214.93913810439858</v>
      </c>
      <c r="AO112" s="59">
        <f t="shared" si="90"/>
        <v>210.65603079265924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52.62155224144233</v>
      </c>
      <c r="AV112" s="21">
        <f>EXP(-LN(2)/25)*AV111+(1-EXP(-LN(2)/25))/(LN(2)/25)*Calculateur!AQ112*Calculateur!AS112*VLOOKUP('Données projet'!$B$10,Paramètres!$A$1:$I$89,3,0)*0.475*44/12</f>
        <v>12.450591520848816</v>
      </c>
      <c r="AW112" s="21">
        <f>EXP(-LN(2)/2)*AW111+(1-EXP(-LN(2)/2))/(LN(2)/2)*AQ112*AT112*VLOOKUP('Données projet'!$B$10,Paramètres!$A$1:$I$89,3,0)*0.475*44/12</f>
        <v>2.5271858471705138E-6</v>
      </c>
      <c r="AX112" s="21">
        <f t="shared" si="60"/>
        <v>65.07214628947699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10.840999999999998</v>
      </c>
      <c r="BD112" s="12">
        <f>IF('Données projet'!$A$88&gt;35,BD111+BC112-BL111,IF(A112&lt;'Données projet'!$A$88,$BA$205^A112,IF(A112='Données projet'!$A$88,'Données projet'!$B$88,BD111+BC112-BL111)))</f>
        <v>520.19900000000007</v>
      </c>
      <c r="BE112" s="13">
        <f>BD112*VLOOKUP('Données projet'!$B$11,Paramètres!$A$1:$I$89,3,0)*VLOOKUP('Données projet'!$B$11,Paramètres!$A$1:$I$89,5,0)</f>
        <v>470.67605520000001</v>
      </c>
      <c r="BF112" s="13">
        <f t="shared" si="91"/>
        <v>105.96667729960197</v>
      </c>
      <c r="BG112" s="20">
        <f t="shared" si="61"/>
        <v>1004.3194257701401</v>
      </c>
      <c r="BH112" s="59">
        <f t="shared" si="62"/>
        <v>1297.6527591034735</v>
      </c>
      <c r="BI112" s="59">
        <f ca="1">AVERAGE(OFFSET($BH$3,0,0,'Données projet'!$E$11+1,1))-AVERAGE(OFFSET($H$3,0,0,'Données projet'!$E$11+1,1))</f>
        <v>507.69556381324213</v>
      </c>
      <c r="BJ112" s="59">
        <f t="shared" si="92"/>
        <v>129.52638237044044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43.139722634888692</v>
      </c>
      <c r="BQ112" s="21">
        <f>EXP(-LN(2)/25)*BQ111+(1-EXP(-LN(2)/25))/(LN(2)/25)*Calculateur!BL112*Calculateur!BN112*VLOOKUP('Données projet'!$B$11,Paramètres!$A$1:$I$89,3,0)*0.475*44/12</f>
        <v>27.240775832107847</v>
      </c>
      <c r="BR112" s="21">
        <f>EXP(-LN(2)/2)*BR111+(1-EXP(-LN(2)/2))/(LN(2)/2)*BL112*BO112*VLOOKUP('Données projet'!$B$11,Paramètres!$A$1:$I$89,3,0)*0.475*44/12</f>
        <v>8.5464560931020027E-3</v>
      </c>
      <c r="BS112" s="22">
        <f t="shared" si="63"/>
        <v>70.389044923089642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6.8811111111111085</v>
      </c>
      <c r="BY112" s="12">
        <f>IF('Données projet'!$A$114&gt;35,BY111+BX112-CG111,IF(A112&lt;'Données projet'!$A$114,$BV$205^A112,IF(A112='Données projet'!$A$114,'Données projet'!$B$114,BY111+BX112-CG111)))</f>
        <v>266.37555555555537</v>
      </c>
      <c r="BZ112" s="13">
        <f>BY112*VLOOKUP('Données projet'!$B$12,Paramètres!$A$1:$I$89,3,0)*VLOOKUP('Données projet'!$B$12,Paramètres!$A$1:$I$89,5,0)</f>
        <v>257.63843733333317</v>
      </c>
      <c r="CA112" s="13">
        <f t="shared" si="93"/>
        <v>62.218721219477693</v>
      </c>
      <c r="CB112" s="20">
        <f t="shared" si="64"/>
        <v>557.0845511461456</v>
      </c>
      <c r="CC112" s="59">
        <f t="shared" si="65"/>
        <v>850.41788447947897</v>
      </c>
      <c r="CD112" s="59">
        <f ca="1">AVERAGE(OFFSET($CC$3,0,0,'Données projet'!$E$12+1,1))-AVERAGE(OFFSET($H$3,0,0,'Données projet'!$E$12+1,1))</f>
        <v>292.52253679467469</v>
      </c>
      <c r="CE112" s="59">
        <f t="shared" si="94"/>
        <v>155.7114133976541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14.719408473567567</v>
      </c>
      <c r="CL112" s="21">
        <f>EXP(-LN(2)/25)*CL111+(1-EXP(-LN(2)/25))/(LN(2)/25)*Calculateur!CG112*Calculateur!CI112*VLOOKUP('Données projet'!$B$12,Paramètres!$A$1:$I$89,3,0)*0.475*44/12</f>
        <v>24.666528686403023</v>
      </c>
      <c r="CM112" s="21">
        <f>EXP(-LN(2)/2)*CM111+(1-EXP(-LN(2)/2))/(LN(2)/2)*CG112*CJ112*VLOOKUP('Données projet'!$B$12,Paramètres!$A$1:$I$89,3,0)*0.475*44/12</f>
        <v>0.66698347780851264</v>
      </c>
      <c r="CN112" s="22">
        <f t="shared" si="66"/>
        <v>40.052920637779103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-1.1368683772161603E-13</v>
      </c>
      <c r="CU112" s="17">
        <f>CT112*VLOOKUP('Données projet'!$B$13,Paramètres!$A$1:$I$89,3,0)*VLOOKUP('Données projet'!$B$13,Paramètres!$A$1:$I$89,5,0)</f>
        <v>-8.8675733422860506E-14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100.54865094989304</v>
      </c>
      <c r="CZ112" s="59">
        <f t="shared" si="96"/>
        <v>99.95654161405389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12.482317799578654</v>
      </c>
      <c r="DG112" s="21">
        <f>EXP(-LN(2)/25)*DG111+(1-EXP(-LN(2)/25))/(LN(2)/25)*Calculateur!DB112*Calculateur!DD112*VLOOKUP('Données projet'!$B$13,Paramètres!$A$1:$I$89,3,0)*0.475*44/12</f>
        <v>8.9521806806936244</v>
      </c>
      <c r="DH112" s="21">
        <f>EXP(-LN(2)/2)*DH111+(1-EXP(-LN(2)/2))/(LN(2)/2)*DB112*DE112*VLOOKUP('Données projet'!$B$13,Paramètres!$A$1:$I$89,3,0)*0.475*44/12</f>
        <v>3.7141959883178451E-5</v>
      </c>
      <c r="DI112" s="22">
        <f t="shared" si="69"/>
        <v>21.434535622232161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4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96.095999999999975</v>
      </c>
      <c r="D113" s="11">
        <f t="shared" si="86"/>
        <v>26.029778784173352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942.72530991291694</v>
      </c>
      <c r="H113" s="67">
        <f t="shared" si="56"/>
        <v>506.03573138243519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3.4106051316484809E-13</v>
      </c>
      <c r="O113" s="13">
        <f>N113*VLOOKUP('Données projet'!$B$9,Paramètres!$A$1:$I$89,3,0)*VLOOKUP('Données projet'!$B$9,Paramètres!$A$1:$I$89,5,0)</f>
        <v>1.9065282685915009E-13</v>
      </c>
      <c r="P113" s="13">
        <f t="shared" si="87"/>
        <v>2.6568987209435707E-12</v>
      </c>
      <c r="Q113" s="20">
        <f t="shared" si="107"/>
        <v>4.959485612423072E-12</v>
      </c>
      <c r="R113" s="59">
        <f t="shared" si="55"/>
        <v>293.33333333333826</v>
      </c>
      <c r="S113" s="59">
        <f ca="1">AVERAGE(OFFSET($R$3,0,0,'Données projet'!$E$9+1,1))-AVERAGE(OFFSET($H$3,0,0,'Données projet'!$E$9+1,1))</f>
        <v>324.69474275039357</v>
      </c>
      <c r="T113" s="59">
        <f t="shared" si="88"/>
        <v>437.68177084535927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81.393608675749917</v>
      </c>
      <c r="AA113" s="21">
        <f>EXP(-LN(2)/25)*AA112+(1-EXP(-LN(2)/25))/(LN(2)/25)*Calculateur!V113*Calculateur!X113*VLOOKUP('Données projet'!$B$9,Paramètres!$A$1:$I$89,3,0)*0.475*44/12</f>
        <v>17.993491330349379</v>
      </c>
      <c r="AB113" s="21">
        <f>EXP(-LN(2)/2)*AB112+(1-EXP(-LN(2)/2))/(LN(2)/2)*V113*Y113*VLOOKUP('Données projet'!$B$9,Paramètres!$A$1:$I$89,3,0)*0.475*44/12</f>
        <v>3.4089428637942673E-7</v>
      </c>
      <c r="AC113" s="22">
        <f t="shared" si="57"/>
        <v>99.387100346993591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1.1368683772161603E-13</v>
      </c>
      <c r="AJ113" s="13">
        <f>AI113*VLOOKUP('Données projet'!$B$10,Paramètres!$A$1:$I$89,3,0)*VLOOKUP('Données projet'!$B$10,Paramètres!$A$1:$I$89,5,0)</f>
        <v>6.7984728957526396E-14</v>
      </c>
      <c r="AK113" s="13">
        <f t="shared" si="89"/>
        <v>1.0682447123141398E-12</v>
      </c>
      <c r="AL113" s="20">
        <f t="shared" si="58"/>
        <v>1.978932943548152E-12</v>
      </c>
      <c r="AM113" s="59">
        <f t="shared" si="59"/>
        <v>293.3333333333353</v>
      </c>
      <c r="AN113" s="59">
        <f ca="1">AVERAGE(OFFSET($AM$3,0,0,'Données projet'!$E$10+1,1))-AVERAGE(OFFSET($H$3,0,0,'Données projet'!$E$10+1,1))</f>
        <v>214.93913810439858</v>
      </c>
      <c r="AO113" s="59">
        <f t="shared" si="90"/>
        <v>210.65603079265924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51.589675697965298</v>
      </c>
      <c r="AV113" s="21">
        <f>EXP(-LN(2)/25)*AV112+(1-EXP(-LN(2)/25))/(LN(2)/25)*Calculateur!AQ113*Calculateur!AS113*VLOOKUP('Données projet'!$B$10,Paramètres!$A$1:$I$89,3,0)*0.475*44/12</f>
        <v>12.110129440963053</v>
      </c>
      <c r="AW113" s="21">
        <f>EXP(-LN(2)/2)*AW112+(1-EXP(-LN(2)/2))/(LN(2)/2)*AQ113*AT113*VLOOKUP('Données projet'!$B$10,Paramètres!$A$1:$I$89,3,0)*0.475*44/12</f>
        <v>1.7869902498529403E-6</v>
      </c>
      <c r="AX113" s="21">
        <f t="shared" si="60"/>
        <v>63.699806925918601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>
        <f>VLOOKUP(A113,'Données projet'!$A$87:$I$107,2,0)</f>
        <v>531.04</v>
      </c>
      <c r="BB113" s="12">
        <f>VLOOKUP(A113,'Données projet'!$A$87:$I$107,9,0)</f>
        <v>10.840999999999998</v>
      </c>
      <c r="BC113" s="12">
        <f t="array" ref="BC113">INDEX(BB:BB,MIN(IF(ISNUMBER(BB113:BB309),ROW(BB113:BB309),"")))</f>
        <v>10.840999999999998</v>
      </c>
      <c r="BD113" s="12">
        <f>IF('Données projet'!$A$88&gt;35,BD112+BC113-BL112,IF(A113&lt;'Données projet'!$A$88,$BA$205^A113,IF(A113='Données projet'!$A$88,'Données projet'!$B$88,BD112+BC113-BL112)))</f>
        <v>531.04000000000008</v>
      </c>
      <c r="BE113" s="13">
        <f>BD113*VLOOKUP('Données projet'!$B$11,Paramètres!$A$1:$I$89,3,0)*VLOOKUP('Données projet'!$B$11,Paramètres!$A$1:$I$89,5,0)</f>
        <v>480.48499200000009</v>
      </c>
      <c r="BF113" s="13">
        <f t="shared" si="91"/>
        <v>107.9156323733046</v>
      </c>
      <c r="BG113" s="20">
        <f t="shared" si="61"/>
        <v>1024.7977541168391</v>
      </c>
      <c r="BH113" s="59">
        <f t="shared" si="62"/>
        <v>1318.1310874501723</v>
      </c>
      <c r="BI113" s="59">
        <f ca="1">AVERAGE(OFFSET($BH$3,0,0,'Données projet'!$E$11+1,1))-AVERAGE(OFFSET($H$3,0,0,'Données projet'!$E$11+1,1))</f>
        <v>507.69556381324213</v>
      </c>
      <c r="BJ113" s="59">
        <f t="shared" si="92"/>
        <v>129.52638237044044</v>
      </c>
      <c r="BK113" s="15">
        <f>IF(ISNA(VLOOKUP(A113,'Données projet'!$A$87:$I$107,3,0)),0,VLOOKUP(A113,'Données projet'!$A$87:$I$107,3,0))</f>
        <v>10</v>
      </c>
      <c r="BL113" s="15">
        <f>IF(ISNA(VLOOKUP(A113,'Données projet'!$A$87:$I$107,4,0)),0,VLOOKUP(A113,'Données projet'!$A$87:$I$107,4,0))</f>
        <v>73.299999999999955</v>
      </c>
      <c r="BM113" s="16">
        <f>IF(ISNA(VLOOKUP(A113,'Données projet'!$A$87:$I$107,5,0)),0%,VLOOKUP(A113,'Données projet'!$A$87:$I$107,5,0)*VLOOKUP('Données projet'!$B$11,Paramètres!$A$1:$I$89,7,0))</f>
        <v>0.215</v>
      </c>
      <c r="BN113" s="16">
        <f>IF(ISNA(VLOOKUP(A113,'Données projet'!$A$87:$I$107,6,0)),0%,VLOOKUP(A113,'Données projet'!$A$87:$I$107,6,0)*VLOOKUP('Données projet'!$B$11,Paramètres!$A$1:$I$89,7,0))</f>
        <v>8.6000000000000007E-2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58.056897358417743</v>
      </c>
      <c r="BQ113" s="21">
        <f>EXP(-LN(2)/25)*BQ112+(1-EXP(-LN(2)/25))/(LN(2)/25)*Calculateur!BL113*Calculateur!BN113*VLOOKUP('Données projet'!$B$11,Paramètres!$A$1:$I$89,3,0)*0.475*44/12</f>
        <v>32.776296571855895</v>
      </c>
      <c r="BR113" s="21">
        <f>EXP(-LN(2)/2)*BR112+(1-EXP(-LN(2)/2))/(LN(2)/2)*BL113*BO113*VLOOKUP('Données projet'!$B$11,Paramètres!$A$1:$I$89,3,0)*0.475*44/12</f>
        <v>6.0432570585455137E-3</v>
      </c>
      <c r="BS113" s="22">
        <f t="shared" si="63"/>
        <v>90.839237187332188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6.8811111111111085</v>
      </c>
      <c r="BY113" s="12">
        <f>IF('Données projet'!$A$114&gt;35,BY112+BX113-CG112,IF(A113&lt;'Données projet'!$A$114,$BV$205^A113,IF(A113='Données projet'!$A$114,'Données projet'!$B$114,BY112+BX113-CG112)))</f>
        <v>273.25666666666649</v>
      </c>
      <c r="BZ113" s="13">
        <f>BY113*VLOOKUP('Données projet'!$B$12,Paramètres!$A$1:$I$89,3,0)*VLOOKUP('Données projet'!$B$12,Paramètres!$A$1:$I$89,5,0)</f>
        <v>264.29384799999985</v>
      </c>
      <c r="CA113" s="13">
        <f t="shared" si="93"/>
        <v>63.636778464374139</v>
      </c>
      <c r="CB113" s="20">
        <f t="shared" si="64"/>
        <v>571.14584109211796</v>
      </c>
      <c r="CC113" s="59">
        <f t="shared" si="65"/>
        <v>864.47917442545122</v>
      </c>
      <c r="CD113" s="59">
        <f ca="1">AVERAGE(OFFSET($CC$3,0,0,'Données projet'!$E$12+1,1))-AVERAGE(OFFSET($H$3,0,0,'Données projet'!$E$12+1,1))</f>
        <v>292.52253679467469</v>
      </c>
      <c r="CE113" s="59">
        <f t="shared" si="94"/>
        <v>155.7114133976541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14.430769851353576</v>
      </c>
      <c r="CL113" s="21">
        <f>EXP(-LN(2)/25)*CL112+(1-EXP(-LN(2)/25))/(LN(2)/25)*Calculateur!CG113*Calculateur!CI113*VLOOKUP('Données projet'!$B$12,Paramètres!$A$1:$I$89,3,0)*0.475*44/12</f>
        <v>23.992021162316966</v>
      </c>
      <c r="CM113" s="21">
        <f>EXP(-LN(2)/2)*CM112+(1-EXP(-LN(2)/2))/(LN(2)/2)*CG113*CJ113*VLOOKUP('Données projet'!$B$12,Paramètres!$A$1:$I$89,3,0)*0.475*44/12</f>
        <v>0.47162854009778643</v>
      </c>
      <c r="CN113" s="22">
        <f t="shared" si="66"/>
        <v>38.89441955376833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-1.1368683772161603E-13</v>
      </c>
      <c r="CU113" s="17">
        <f>CT113*VLOOKUP('Données projet'!$B$13,Paramètres!$A$1:$I$89,3,0)*VLOOKUP('Données projet'!$B$13,Paramètres!$A$1:$I$89,5,0)</f>
        <v>-8.8675733422860506E-14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100.54865094989304</v>
      </c>
      <c r="CZ113" s="59">
        <f t="shared" si="96"/>
        <v>99.95654161405389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12.237547160991008</v>
      </c>
      <c r="DG113" s="21">
        <f>EXP(-LN(2)/25)*DG112+(1-EXP(-LN(2)/25))/(LN(2)/25)*Calculateur!DB113*Calculateur!DD113*VLOOKUP('Données projet'!$B$13,Paramètres!$A$1:$I$89,3,0)*0.475*44/12</f>
        <v>8.7073828292053363</v>
      </c>
      <c r="DH113" s="21">
        <f>EXP(-LN(2)/2)*DH112+(1-EXP(-LN(2)/2))/(LN(2)/2)*DB113*DE113*VLOOKUP('Données projet'!$B$13,Paramètres!$A$1:$I$89,3,0)*0.475*44/12</f>
        <v>2.6263331699954192E-5</v>
      </c>
      <c r="DI113" s="22">
        <f t="shared" si="69"/>
        <v>20.944956253528044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4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96.969599999999971</v>
      </c>
      <c r="D114" s="11">
        <f t="shared" si="86"/>
        <v>26.238758642904312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951.08206671715607</v>
      </c>
      <c r="H114" s="67">
        <f t="shared" si="56"/>
        <v>507.92122463639157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3.4106051316484809E-13</v>
      </c>
      <c r="O114" s="13">
        <f>N114*VLOOKUP('Données projet'!$B$9,Paramètres!$A$1:$I$89,3,0)*VLOOKUP('Données projet'!$B$9,Paramètres!$A$1:$I$89,5,0)</f>
        <v>1.9065282685915009E-13</v>
      </c>
      <c r="P114" s="13">
        <f t="shared" si="87"/>
        <v>2.6568987209435707E-12</v>
      </c>
      <c r="Q114" s="20">
        <f t="shared" si="107"/>
        <v>4.959485612423072E-12</v>
      </c>
      <c r="R114" s="59">
        <f t="shared" si="55"/>
        <v>293.33333333333826</v>
      </c>
      <c r="S114" s="59">
        <f ca="1">AVERAGE(OFFSET($R$3,0,0,'Données projet'!$E$9+1,1))-AVERAGE(OFFSET($H$3,0,0,'Données projet'!$E$9+1,1))</f>
        <v>324.69474275039357</v>
      </c>
      <c r="T114" s="59">
        <f t="shared" si="88"/>
        <v>437.68177084535927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79.797529654817694</v>
      </c>
      <c r="AA114" s="21">
        <f>EXP(-LN(2)/25)*AA113+(1-EXP(-LN(2)/25))/(LN(2)/25)*Calculateur!V114*Calculateur!X114*VLOOKUP('Données projet'!$B$9,Paramètres!$A$1:$I$89,3,0)*0.475*44/12</f>
        <v>17.501458363684389</v>
      </c>
      <c r="AB114" s="21">
        <f>EXP(-LN(2)/2)*AB113+(1-EXP(-LN(2)/2))/(LN(2)/2)*V114*Y114*VLOOKUP('Données projet'!$B$9,Paramètres!$A$1:$I$89,3,0)*0.475*44/12</f>
        <v>2.4104866156664155E-7</v>
      </c>
      <c r="AC114" s="22">
        <f t="shared" si="57"/>
        <v>97.298988259550754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1.1368683772161603E-13</v>
      </c>
      <c r="AJ114" s="13">
        <f>AI114*VLOOKUP('Données projet'!$B$10,Paramètres!$A$1:$I$89,3,0)*VLOOKUP('Données projet'!$B$10,Paramètres!$A$1:$I$89,5,0)</f>
        <v>6.7984728957526396E-14</v>
      </c>
      <c r="AK114" s="13">
        <f t="shared" si="89"/>
        <v>1.0682447123141398E-12</v>
      </c>
      <c r="AL114" s="20">
        <f t="shared" si="58"/>
        <v>1.978932943548152E-12</v>
      </c>
      <c r="AM114" s="59">
        <f t="shared" si="59"/>
        <v>293.3333333333353</v>
      </c>
      <c r="AN114" s="59">
        <f ca="1">AVERAGE(OFFSET($AM$3,0,0,'Données projet'!$E$10+1,1))-AVERAGE(OFFSET($H$3,0,0,'Données projet'!$E$10+1,1))</f>
        <v>214.93913810439858</v>
      </c>
      <c r="AO114" s="59">
        <f t="shared" si="90"/>
        <v>210.65603079265924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50.578033624123307</v>
      </c>
      <c r="AV114" s="21">
        <f>EXP(-LN(2)/25)*AV113+(1-EXP(-LN(2)/25))/(LN(2)/25)*Calculateur!AQ114*Calculateur!AS114*VLOOKUP('Données projet'!$B$10,Paramètres!$A$1:$I$89,3,0)*0.475*44/12</f>
        <v>11.77897731455589</v>
      </c>
      <c r="AW114" s="21">
        <f>EXP(-LN(2)/2)*AW113+(1-EXP(-LN(2)/2))/(LN(2)/2)*AQ114*AT114*VLOOKUP('Données projet'!$B$10,Paramètres!$A$1:$I$89,3,0)*0.475*44/12</f>
        <v>1.2635929235852569E-6</v>
      </c>
      <c r="AX114" s="21">
        <f t="shared" si="60"/>
        <v>62.357012202272116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10.725999999999999</v>
      </c>
      <c r="BD114" s="12">
        <f>IF('Données projet'!$A$88&gt;35,BD113+BC114-BL113,IF(A114&lt;'Données projet'!$A$88,$BA$205^A114,IF(A114='Données projet'!$A$88,'Données projet'!$B$88,BD113+BC114-BL113)))</f>
        <v>468.46600000000012</v>
      </c>
      <c r="BE114" s="13">
        <f>BD114*VLOOKUP('Données projet'!$B$11,Paramètres!$A$1:$I$89,3,0)*VLOOKUP('Données projet'!$B$11,Paramètres!$A$1:$I$89,5,0)</f>
        <v>423.86803680000014</v>
      </c>
      <c r="BF114" s="13">
        <f t="shared" si="91"/>
        <v>96.59910072492606</v>
      </c>
      <c r="BG114" s="20">
        <f t="shared" si="61"/>
        <v>906.48026452257966</v>
      </c>
      <c r="BH114" s="59">
        <f t="shared" si="62"/>
        <v>1199.813597855913</v>
      </c>
      <c r="BI114" s="59">
        <f ca="1">AVERAGE(OFFSET($BH$3,0,0,'Données projet'!$E$11+1,1))-AVERAGE(OFFSET($H$3,0,0,'Données projet'!$E$11+1,1))</f>
        <v>507.69556381324213</v>
      </c>
      <c r="BJ114" s="59">
        <f t="shared" si="92"/>
        <v>129.52638237044044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56.91843701242999</v>
      </c>
      <c r="BQ114" s="21">
        <f>EXP(-LN(2)/25)*BQ113+(1-EXP(-LN(2)/25))/(LN(2)/25)*Calculateur!BL114*Calculateur!BN114*VLOOKUP('Données projet'!$B$11,Paramètres!$A$1:$I$89,3,0)*0.475*44/12</f>
        <v>31.88002701846797</v>
      </c>
      <c r="BR114" s="21">
        <f>EXP(-LN(2)/2)*BR113+(1-EXP(-LN(2)/2))/(LN(2)/2)*BL114*BO114*VLOOKUP('Données projet'!$B$11,Paramètres!$A$1:$I$89,3,0)*0.475*44/12</f>
        <v>4.2732280465510013E-3</v>
      </c>
      <c r="BS114" s="22">
        <f t="shared" si="63"/>
        <v>88.802737258944518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6.8811111111111085</v>
      </c>
      <c r="BY114" s="12">
        <f>IF('Données projet'!$A$114&gt;35,BY113+BX114-CG113,IF(A114&lt;'Données projet'!$A$114,$BV$205^A114,IF(A114='Données projet'!$A$114,'Données projet'!$B$114,BY113+BX114-CG113)))</f>
        <v>280.13777777777761</v>
      </c>
      <c r="BZ114" s="13">
        <f>BY114*VLOOKUP('Données projet'!$B$12,Paramètres!$A$1:$I$89,3,0)*VLOOKUP('Données projet'!$B$12,Paramètres!$A$1:$I$89,5,0)</f>
        <v>270.94925866666654</v>
      </c>
      <c r="CA114" s="13">
        <f t="shared" si="93"/>
        <v>65.050684766766153</v>
      </c>
      <c r="CB114" s="20">
        <f t="shared" si="64"/>
        <v>585.19990147989529</v>
      </c>
      <c r="CC114" s="59">
        <f t="shared" si="65"/>
        <v>878.53323481322855</v>
      </c>
      <c r="CD114" s="59">
        <f ca="1">AVERAGE(OFFSET($CC$3,0,0,'Données projet'!$E$12+1,1))-AVERAGE(OFFSET($H$3,0,0,'Données projet'!$E$12+1,1))</f>
        <v>292.52253679467469</v>
      </c>
      <c r="CE114" s="59">
        <f t="shared" si="94"/>
        <v>155.7114133976541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14.147791256469025</v>
      </c>
      <c r="CL114" s="21">
        <f>EXP(-LN(2)/25)*CL113+(1-EXP(-LN(2)/25))/(LN(2)/25)*Calculateur!CG114*Calculateur!CI114*VLOOKUP('Données projet'!$B$12,Paramètres!$A$1:$I$89,3,0)*0.475*44/12</f>
        <v>23.335958081947851</v>
      </c>
      <c r="CM114" s="21">
        <f>EXP(-LN(2)/2)*CM113+(1-EXP(-LN(2)/2))/(LN(2)/2)*CG114*CJ114*VLOOKUP('Données projet'!$B$12,Paramètres!$A$1:$I$89,3,0)*0.475*44/12</f>
        <v>0.33349173890425637</v>
      </c>
      <c r="CN114" s="22">
        <f t="shared" si="66"/>
        <v>37.817241077321135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-1.1368683772161603E-13</v>
      </c>
      <c r="CU114" s="17">
        <f>CT114*VLOOKUP('Données projet'!$B$13,Paramètres!$A$1:$I$89,3,0)*VLOOKUP('Données projet'!$B$13,Paramètres!$A$1:$I$89,5,0)</f>
        <v>-8.8675733422860506E-14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100.54865094989304</v>
      </c>
      <c r="CZ114" s="59">
        <f t="shared" si="96"/>
        <v>99.95654161405389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11.997576325330717</v>
      </c>
      <c r="DG114" s="21">
        <f>EXP(-LN(2)/25)*DG113+(1-EXP(-LN(2)/25))/(LN(2)/25)*Calculateur!DB114*Calculateur!DD114*VLOOKUP('Données projet'!$B$13,Paramètres!$A$1:$I$89,3,0)*0.475*44/12</f>
        <v>8.4692789878393544</v>
      </c>
      <c r="DH114" s="21">
        <f>EXP(-LN(2)/2)*DH113+(1-EXP(-LN(2)/2))/(LN(2)/2)*DB114*DE114*VLOOKUP('Données projet'!$B$13,Paramètres!$A$1:$I$89,3,0)*0.475*44/12</f>
        <v>1.8570979941589225E-5</v>
      </c>
      <c r="DI114" s="22">
        <f t="shared" si="69"/>
        <v>20.466873884150015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4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97.843199999999968</v>
      </c>
      <c r="D115" s="11">
        <f t="shared" si="86"/>
        <v>26.447519466918756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959.43713272709192</v>
      </c>
      <c r="H115" s="67">
        <f t="shared" si="56"/>
        <v>509.80633640488338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3.4106051316484809E-13</v>
      </c>
      <c r="O115" s="13">
        <f>N115*VLOOKUP('Données projet'!$B$9,Paramètres!$A$1:$I$89,3,0)*VLOOKUP('Données projet'!$B$9,Paramètres!$A$1:$I$89,5,0)</f>
        <v>1.9065282685915009E-13</v>
      </c>
      <c r="P115" s="13">
        <f t="shared" si="87"/>
        <v>2.6568987209435707E-12</v>
      </c>
      <c r="Q115" s="20">
        <f t="shared" si="107"/>
        <v>4.959485612423072E-12</v>
      </c>
      <c r="R115" s="59">
        <f t="shared" si="55"/>
        <v>293.33333333333826</v>
      </c>
      <c r="S115" s="59">
        <f ca="1">AVERAGE(OFFSET($R$3,0,0,'Données projet'!$E$9+1,1))-AVERAGE(OFFSET($H$3,0,0,'Données projet'!$E$9+1,1))</f>
        <v>324.69474275039357</v>
      </c>
      <c r="T115" s="59">
        <f t="shared" si="88"/>
        <v>437.68177084535927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78.232748769973881</v>
      </c>
      <c r="AA115" s="21">
        <f>EXP(-LN(2)/25)*AA114+(1-EXP(-LN(2)/25))/(LN(2)/25)*Calculateur!V115*Calculateur!X115*VLOOKUP('Données projet'!$B$9,Paramètres!$A$1:$I$89,3,0)*0.475*44/12</f>
        <v>17.022880064367744</v>
      </c>
      <c r="AB115" s="21">
        <f>EXP(-LN(2)/2)*AB114+(1-EXP(-LN(2)/2))/(LN(2)/2)*V115*Y115*VLOOKUP('Données projet'!$B$9,Paramètres!$A$1:$I$89,3,0)*0.475*44/12</f>
        <v>1.7044714318971336E-7</v>
      </c>
      <c r="AC115" s="22">
        <f t="shared" si="57"/>
        <v>95.255629004788759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1.1368683772161603E-13</v>
      </c>
      <c r="AJ115" s="13">
        <f>AI115*VLOOKUP('Données projet'!$B$10,Paramètres!$A$1:$I$89,3,0)*VLOOKUP('Données projet'!$B$10,Paramètres!$A$1:$I$89,5,0)</f>
        <v>6.7984728957526396E-14</v>
      </c>
      <c r="AK115" s="13">
        <f t="shared" si="89"/>
        <v>1.0682447123141398E-12</v>
      </c>
      <c r="AL115" s="20">
        <f t="shared" si="58"/>
        <v>1.978932943548152E-12</v>
      </c>
      <c r="AM115" s="59">
        <f t="shared" si="59"/>
        <v>293.3333333333353</v>
      </c>
      <c r="AN115" s="59">
        <f ca="1">AVERAGE(OFFSET($AM$3,0,0,'Données projet'!$E$10+1,1))-AVERAGE(OFFSET($H$3,0,0,'Données projet'!$E$10+1,1))</f>
        <v>214.93913810439858</v>
      </c>
      <c r="AO115" s="59">
        <f t="shared" si="90"/>
        <v>210.65603079265924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49.586229234308618</v>
      </c>
      <c r="AV115" s="21">
        <f>EXP(-LN(2)/25)*AV114+(1-EXP(-LN(2)/25))/(LN(2)/25)*Calculateur!AQ115*Calculateur!AS115*VLOOKUP('Données projet'!$B$10,Paramètres!$A$1:$I$89,3,0)*0.475*44/12</f>
        <v>11.456880560459863</v>
      </c>
      <c r="AW115" s="21">
        <f>EXP(-LN(2)/2)*AW114+(1-EXP(-LN(2)/2))/(LN(2)/2)*AQ115*AT115*VLOOKUP('Données projet'!$B$10,Paramètres!$A$1:$I$89,3,0)*0.475*44/12</f>
        <v>8.9349512492647013E-7</v>
      </c>
      <c r="AX115" s="21">
        <f t="shared" si="60"/>
        <v>61.04311068826361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10.725999999999999</v>
      </c>
      <c r="BD115" s="12">
        <f>IF('Données projet'!$A$88&gt;35,BD114+BC115-BL114,IF(A115&lt;'Données projet'!$A$88,$BA$205^A115,IF(A115='Données projet'!$A$88,'Données projet'!$B$88,BD114+BC115-BL114)))</f>
        <v>479.19200000000012</v>
      </c>
      <c r="BE115" s="13">
        <f>BD115*VLOOKUP('Données projet'!$B$11,Paramètres!$A$1:$I$89,3,0)*VLOOKUP('Données projet'!$B$11,Paramètres!$A$1:$I$89,5,0)</f>
        <v>433.57292160000009</v>
      </c>
      <c r="BF115" s="13">
        <f t="shared" si="91"/>
        <v>98.550806203987747</v>
      </c>
      <c r="BG115" s="20">
        <f t="shared" si="61"/>
        <v>926.78215925861196</v>
      </c>
      <c r="BH115" s="59">
        <f t="shared" si="62"/>
        <v>1220.1154925919452</v>
      </c>
      <c r="BI115" s="59">
        <f ca="1">AVERAGE(OFFSET($BH$3,0,0,'Données projet'!$E$11+1,1))-AVERAGE(OFFSET($H$3,0,0,'Données projet'!$E$11+1,1))</f>
        <v>507.69556381324213</v>
      </c>
      <c r="BJ115" s="59">
        <f t="shared" si="92"/>
        <v>129.52638237044044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55.802301179434814</v>
      </c>
      <c r="BQ115" s="21">
        <f>EXP(-LN(2)/25)*BQ114+(1-EXP(-LN(2)/25))/(LN(2)/25)*Calculateur!BL115*Calculateur!BN115*VLOOKUP('Données projet'!$B$11,Paramètres!$A$1:$I$89,3,0)*0.475*44/12</f>
        <v>31.008266003150204</v>
      </c>
      <c r="BR115" s="21">
        <f>EXP(-LN(2)/2)*BR114+(1-EXP(-LN(2)/2))/(LN(2)/2)*BL115*BO115*VLOOKUP('Données projet'!$B$11,Paramètres!$A$1:$I$89,3,0)*0.475*44/12</f>
        <v>3.0216285292727569E-3</v>
      </c>
      <c r="BS115" s="22">
        <f t="shared" si="63"/>
        <v>86.813588811114286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6.8811111111111085</v>
      </c>
      <c r="BY115" s="12">
        <f>IF('Données projet'!$A$114&gt;35,BY114+BX115-CG114,IF(A115&lt;'Données projet'!$A$114,$BV$205^A115,IF(A115='Données projet'!$A$114,'Données projet'!$B$114,BY114+BX115-CG114)))</f>
        <v>287.01888888888874</v>
      </c>
      <c r="BZ115" s="13">
        <f>BY115*VLOOKUP('Données projet'!$B$12,Paramètres!$A$1:$I$89,3,0)*VLOOKUP('Données projet'!$B$12,Paramètres!$A$1:$I$89,5,0)</f>
        <v>277.60466933333322</v>
      </c>
      <c r="CA115" s="13">
        <f t="shared" si="93"/>
        <v>66.460553816339257</v>
      </c>
      <c r="CB115" s="20">
        <f t="shared" si="64"/>
        <v>599.24693031901279</v>
      </c>
      <c r="CC115" s="59">
        <f t="shared" si="65"/>
        <v>892.58026365234605</v>
      </c>
      <c r="CD115" s="59">
        <f ca="1">AVERAGE(OFFSET($CC$3,0,0,'Données projet'!$E$12+1,1))-AVERAGE(OFFSET($H$3,0,0,'Données projet'!$E$12+1,1))</f>
        <v>292.52253679467469</v>
      </c>
      <c r="CE115" s="59">
        <f t="shared" si="94"/>
        <v>155.7114133976541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13.870361699230262</v>
      </c>
      <c r="CL115" s="21">
        <f>EXP(-LN(2)/25)*CL114+(1-EXP(-LN(2)/25))/(LN(2)/25)*Calculateur!CG115*Calculateur!CI115*VLOOKUP('Données projet'!$B$12,Paramètres!$A$1:$I$89,3,0)*0.475*44/12</f>
        <v>22.697835081012286</v>
      </c>
      <c r="CM115" s="21">
        <f>EXP(-LN(2)/2)*CM114+(1-EXP(-LN(2)/2))/(LN(2)/2)*CG115*CJ115*VLOOKUP('Données projet'!$B$12,Paramètres!$A$1:$I$89,3,0)*0.475*44/12</f>
        <v>0.23581427004889327</v>
      </c>
      <c r="CN115" s="22">
        <f t="shared" si="66"/>
        <v>36.804011050291436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-1.1368683772161603E-13</v>
      </c>
      <c r="CU115" s="17">
        <f>CT115*VLOOKUP('Données projet'!$B$13,Paramètres!$A$1:$I$89,3,0)*VLOOKUP('Données projet'!$B$13,Paramètres!$A$1:$I$89,5,0)</f>
        <v>-8.8675733422860506E-14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100.54865094989304</v>
      </c>
      <c r="CZ115" s="59">
        <f t="shared" si="96"/>
        <v>99.95654161405389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11.762311171389968</v>
      </c>
      <c r="DG115" s="21">
        <f>EXP(-LN(2)/25)*DG114+(1-EXP(-LN(2)/25))/(LN(2)/25)*Calculateur!DB115*Calculateur!DD115*VLOOKUP('Données projet'!$B$13,Paramètres!$A$1:$I$89,3,0)*0.475*44/12</f>
        <v>8.2376861085368613</v>
      </c>
      <c r="DH115" s="21">
        <f>EXP(-LN(2)/2)*DH114+(1-EXP(-LN(2)/2))/(LN(2)/2)*DB115*DE115*VLOOKUP('Données projet'!$B$13,Paramètres!$A$1:$I$89,3,0)*0.475*44/12</f>
        <v>1.3131665849977096E-5</v>
      </c>
      <c r="DI115" s="22">
        <f t="shared" si="69"/>
        <v>20.00001041159268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4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98.716799999999964</v>
      </c>
      <c r="D116" s="11">
        <f t="shared" si="86"/>
        <v>26.656063438447475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967.79052478801532</v>
      </c>
      <c r="H116" s="67">
        <f t="shared" si="56"/>
        <v>511.69107048862929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3.4106051316484809E-13</v>
      </c>
      <c r="O116" s="13">
        <f>N116*VLOOKUP('Données projet'!$B$9,Paramètres!$A$1:$I$89,3,0)*VLOOKUP('Données projet'!$B$9,Paramètres!$A$1:$I$89,5,0)</f>
        <v>1.9065282685915009E-13</v>
      </c>
      <c r="P116" s="13">
        <f t="shared" si="87"/>
        <v>2.6568987209435707E-12</v>
      </c>
      <c r="Q116" s="20">
        <f t="shared" si="107"/>
        <v>4.959485612423072E-12</v>
      </c>
      <c r="R116" s="59">
        <f t="shared" si="55"/>
        <v>293.33333333333826</v>
      </c>
      <c r="S116" s="59">
        <f ca="1">AVERAGE(OFFSET($R$3,0,0,'Données projet'!$E$9+1,1))-AVERAGE(OFFSET($H$3,0,0,'Données projet'!$E$9+1,1))</f>
        <v>324.69474275039357</v>
      </c>
      <c r="T116" s="59">
        <f t="shared" si="88"/>
        <v>437.68177084535927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76.698652283859758</v>
      </c>
      <c r="AA116" s="21">
        <f>EXP(-LN(2)/25)*AA115+(1-EXP(-LN(2)/25))/(LN(2)/25)*Calculateur!V116*Calculateur!X116*VLOOKUP('Données projet'!$B$9,Paramètres!$A$1:$I$89,3,0)*0.475*44/12</f>
        <v>16.557388513813251</v>
      </c>
      <c r="AB116" s="21">
        <f>EXP(-LN(2)/2)*AB115+(1-EXP(-LN(2)/2))/(LN(2)/2)*V116*Y116*VLOOKUP('Données projet'!$B$9,Paramètres!$A$1:$I$89,3,0)*0.475*44/12</f>
        <v>1.2052433078332078E-7</v>
      </c>
      <c r="AC116" s="22">
        <f t="shared" si="57"/>
        <v>93.256040918197343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1.1368683772161603E-13</v>
      </c>
      <c r="AJ116" s="13">
        <f>AI116*VLOOKUP('Données projet'!$B$10,Paramètres!$A$1:$I$89,3,0)*VLOOKUP('Données projet'!$B$10,Paramètres!$A$1:$I$89,5,0)</f>
        <v>6.7984728957526396E-14</v>
      </c>
      <c r="AK116" s="13">
        <f t="shared" si="89"/>
        <v>1.0682447123141398E-12</v>
      </c>
      <c r="AL116" s="20">
        <f t="shared" si="58"/>
        <v>1.978932943548152E-12</v>
      </c>
      <c r="AM116" s="59">
        <f t="shared" si="59"/>
        <v>293.3333333333353</v>
      </c>
      <c r="AN116" s="59">
        <f ca="1">AVERAGE(OFFSET($AM$3,0,0,'Données projet'!$E$10+1,1))-AVERAGE(OFFSET($H$3,0,0,'Données projet'!$E$10+1,1))</f>
        <v>214.93913810439858</v>
      </c>
      <c r="AO116" s="59">
        <f t="shared" si="90"/>
        <v>210.65603079265924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48.613873523637253</v>
      </c>
      <c r="AV116" s="21">
        <f>EXP(-LN(2)/25)*AV115+(1-EXP(-LN(2)/25))/(LN(2)/25)*Calculateur!AQ116*Calculateur!AS116*VLOOKUP('Données projet'!$B$10,Paramètres!$A$1:$I$89,3,0)*0.475*44/12</f>
        <v>11.143591559042925</v>
      </c>
      <c r="AW116" s="21">
        <f>EXP(-LN(2)/2)*AW115+(1-EXP(-LN(2)/2))/(LN(2)/2)*AQ116*AT116*VLOOKUP('Données projet'!$B$10,Paramètres!$A$1:$I$89,3,0)*0.475*44/12</f>
        <v>6.3179646179262845E-7</v>
      </c>
      <c r="AX116" s="21">
        <f t="shared" si="60"/>
        <v>59.757465714476638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10.725999999999999</v>
      </c>
      <c r="BD116" s="12">
        <f>IF('Données projet'!$A$88&gt;35,BD115+BC116-BL115,IF(A116&lt;'Données projet'!$A$88,$BA$205^A116,IF(A116='Données projet'!$A$88,'Données projet'!$B$88,BD115+BC116-BL115)))</f>
        <v>489.91800000000012</v>
      </c>
      <c r="BE116" s="13">
        <f>BD116*VLOOKUP('Données projet'!$B$11,Paramètres!$A$1:$I$89,3,0)*VLOOKUP('Données projet'!$B$11,Paramètres!$A$1:$I$89,5,0)</f>
        <v>443.27780640000015</v>
      </c>
      <c r="BF116" s="13">
        <f t="shared" si="91"/>
        <v>100.49743280031032</v>
      </c>
      <c r="BG116" s="20">
        <f t="shared" si="61"/>
        <v>947.07520827387407</v>
      </c>
      <c r="BH116" s="59">
        <f t="shared" si="62"/>
        <v>1240.4085416072073</v>
      </c>
      <c r="BI116" s="59">
        <f ca="1">AVERAGE(OFFSET($BH$3,0,0,'Données projet'!$E$11+1,1))-AVERAGE(OFFSET($H$3,0,0,'Données projet'!$E$11+1,1))</f>
        <v>507.69556381324213</v>
      </c>
      <c r="BJ116" s="59">
        <f t="shared" si="92"/>
        <v>129.52638237044044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54.708052089349039</v>
      </c>
      <c r="BQ116" s="21">
        <f>EXP(-LN(2)/25)*BQ115+(1-EXP(-LN(2)/25))/(LN(2)/25)*Calculateur!BL116*Calculateur!BN116*VLOOKUP('Données projet'!$B$11,Paramètres!$A$1:$I$89,3,0)*0.475*44/12</f>
        <v>30.160343338640224</v>
      </c>
      <c r="BR116" s="21">
        <f>EXP(-LN(2)/2)*BR115+(1-EXP(-LN(2)/2))/(LN(2)/2)*BL116*BO116*VLOOKUP('Données projet'!$B$11,Paramètres!$A$1:$I$89,3,0)*0.475*44/12</f>
        <v>2.1366140232755007E-3</v>
      </c>
      <c r="BS116" s="22">
        <f t="shared" si="63"/>
        <v>84.870532042012542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>
        <f>VLOOKUP(A116,'Données projet'!$A$113:$I$133,2,0)</f>
        <v>293.89999999999998</v>
      </c>
      <c r="BW116" s="12">
        <f>VLOOKUP(A116,'Données projet'!$A$113:$I$133,9,0)</f>
        <v>6.8811111111111085</v>
      </c>
      <c r="BX116" s="12">
        <f t="array" ref="BX116">INDEX(BW:BW,MIN(IF(ISNUMBER(BW116:BW312),ROW(BW116:BW312),"")))</f>
        <v>6.8811111111111085</v>
      </c>
      <c r="BY116" s="12">
        <f>IF('Données projet'!$A$114&gt;35,BY115+BX116-CG115,IF(A116&lt;'Données projet'!$A$114,$BV$205^A116,IF(A116='Données projet'!$A$114,'Données projet'!$B$114,BY115+BX116-CG115)))</f>
        <v>293.89999999999986</v>
      </c>
      <c r="BZ116" s="13">
        <f>BY116*VLOOKUP('Données projet'!$B$12,Paramètres!$A$1:$I$89,3,0)*VLOOKUP('Données projet'!$B$12,Paramètres!$A$1:$I$89,5,0)</f>
        <v>284.26007999999985</v>
      </c>
      <c r="CA116" s="13">
        <f t="shared" si="93"/>
        <v>67.866493540604594</v>
      </c>
      <c r="CB116" s="20">
        <f t="shared" si="64"/>
        <v>613.28711558321936</v>
      </c>
      <c r="CC116" s="59">
        <f t="shared" si="65"/>
        <v>906.62044891655273</v>
      </c>
      <c r="CD116" s="59">
        <f ca="1">AVERAGE(OFFSET($CC$3,0,0,'Données projet'!$E$12+1,1))-AVERAGE(OFFSET($H$3,0,0,'Données projet'!$E$12+1,1))</f>
        <v>292.52253679467469</v>
      </c>
      <c r="CE116" s="59">
        <f t="shared" si="94"/>
        <v>155.7114133976541</v>
      </c>
      <c r="CF116" s="15">
        <f>IF(ISNA(VLOOKUP(A116,'Données projet'!$A$113:$I$133,3,0)),0,VLOOKUP(A116,'Données projet'!$A$113:$I$133,3,0))</f>
        <v>7</v>
      </c>
      <c r="CG116" s="15">
        <f>IF(ISNA(VLOOKUP(A116,'Données projet'!$A$113:$I$133,4,0)),0,VLOOKUP(A116,'Données projet'!$A$113:$I$133,4,0))</f>
        <v>41.639999999999986</v>
      </c>
      <c r="CH116" s="16">
        <f>IF(ISNA(VLOOKUP(A116,'Données projet'!$A$113:$I$133,5,0)),0%,VLOOKUP(A116,'Données projet'!$A$113:$I$133,5,0)*VLOOKUP('Données projet'!$B$12,Paramètres!$A$1:$I$89,7,0))</f>
        <v>0.15049999999999999</v>
      </c>
      <c r="CI116" s="16">
        <f>IF(ISNA(VLOOKUP(A116,'Données projet'!$A$113:$I$133,6,0)),0%,VLOOKUP(A116,'Données projet'!$A$113:$I$133,6,0)*VLOOKUP('Données projet'!$B$12,Paramètres!$A$1:$I$89,7,0))</f>
        <v>8.6000000000000007E-2</v>
      </c>
      <c r="CJ116" s="16">
        <f>IF(ISNA(VLOOKUP(A116,'Données projet'!$A$113:$I$133,7,0)),0%,VLOOKUP(A116,'Données projet'!$A$113:$I$133,7,0))</f>
        <v>0.1</v>
      </c>
      <c r="CK116" s="21">
        <f>EXP(-LN(2)/35)*CK115+(1-EXP(-LN(2)/35))/(LN(2)/35)*CG116*CH116*VLOOKUP('Données projet'!$B$12,Paramètres!$A$1:$I$89,3,0)*0.475*44/12</f>
        <v>20.298924938867547</v>
      </c>
      <c r="CL116" s="21">
        <f>EXP(-LN(2)/25)*CL115+(1-EXP(-LN(2)/25))/(LN(2)/25)*Calculateur!CG116*Calculateur!CI116*VLOOKUP('Données projet'!$B$12,Paramètres!$A$1:$I$89,3,0)*0.475*44/12</f>
        <v>25.890972983600676</v>
      </c>
      <c r="CM116" s="21">
        <f>EXP(-LN(2)/2)*CM115+(1-EXP(-LN(2)/2))/(LN(2)/2)*CG116*CJ116*VLOOKUP('Données projet'!$B$12,Paramètres!$A$1:$I$89,3,0)*0.475*44/12</f>
        <v>3.9667257906936912</v>
      </c>
      <c r="CN116" s="22">
        <f t="shared" si="66"/>
        <v>50.156623713161913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-1.1368683772161603E-13</v>
      </c>
      <c r="CU116" s="17">
        <f>CT116*VLOOKUP('Données projet'!$B$13,Paramètres!$A$1:$I$89,3,0)*VLOOKUP('Données projet'!$B$13,Paramètres!$A$1:$I$89,5,0)</f>
        <v>-8.8675733422860506E-14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100.54865094989304</v>
      </c>
      <c r="CZ116" s="59">
        <f t="shared" si="96"/>
        <v>99.95654161405389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11.531659423620422</v>
      </c>
      <c r="DG116" s="21">
        <f>EXP(-LN(2)/25)*DG115+(1-EXP(-LN(2)/25))/(LN(2)/25)*Calculateur!DB116*Calculateur!DD116*VLOOKUP('Données projet'!$B$13,Paramètres!$A$1:$I$89,3,0)*0.475*44/12</f>
        <v>8.0124261486978359</v>
      </c>
      <c r="DH116" s="21">
        <f>EXP(-LN(2)/2)*DH115+(1-EXP(-LN(2)/2))/(LN(2)/2)*DB116*DE116*VLOOKUP('Données projet'!$B$13,Paramètres!$A$1:$I$89,3,0)*0.475*44/12</f>
        <v>9.2854899707946127E-6</v>
      </c>
      <c r="DI116" s="22">
        <f t="shared" si="69"/>
        <v>19.544094857808229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4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99.59039999999996</v>
      </c>
      <c r="D117" s="11">
        <f t="shared" si="86"/>
        <v>26.864392698869324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976.14225942986832</v>
      </c>
      <c r="H117" s="67">
        <f t="shared" si="56"/>
        <v>513.5754306171973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3.4106051316484809E-13</v>
      </c>
      <c r="O117" s="13">
        <f>N117*VLOOKUP('Données projet'!$B$9,Paramètres!$A$1:$I$89,3,0)*VLOOKUP('Données projet'!$B$9,Paramètres!$A$1:$I$89,5,0)</f>
        <v>1.9065282685915009E-13</v>
      </c>
      <c r="P117" s="13">
        <f t="shared" si="87"/>
        <v>2.6568987209435707E-12</v>
      </c>
      <c r="Q117" s="20">
        <f t="shared" si="107"/>
        <v>4.959485612423072E-12</v>
      </c>
      <c r="R117" s="59">
        <f t="shared" si="55"/>
        <v>293.33333333333826</v>
      </c>
      <c r="S117" s="59">
        <f ca="1">AVERAGE(OFFSET($R$3,0,0,'Données projet'!$E$9+1,1))-AVERAGE(OFFSET($H$3,0,0,'Données projet'!$E$9+1,1))</f>
        <v>324.69474275039357</v>
      </c>
      <c r="T117" s="59">
        <f t="shared" si="88"/>
        <v>437.68177084535927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75.194638494131866</v>
      </c>
      <c r="AA117" s="21">
        <f>EXP(-LN(2)/25)*AA116+(1-EXP(-LN(2)/25))/(LN(2)/25)*Calculateur!V117*Calculateur!X117*VLOOKUP('Données projet'!$B$9,Paramètres!$A$1:$I$89,3,0)*0.475*44/12</f>
        <v>16.104625854187809</v>
      </c>
      <c r="AB117" s="21">
        <f>EXP(-LN(2)/2)*AB116+(1-EXP(-LN(2)/2))/(LN(2)/2)*V117*Y117*VLOOKUP('Données projet'!$B$9,Paramètres!$A$1:$I$89,3,0)*0.475*44/12</f>
        <v>8.5223571594856682E-8</v>
      </c>
      <c r="AC117" s="22">
        <f t="shared" si="57"/>
        <v>91.299264433543243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1.1368683772161603E-13</v>
      </c>
      <c r="AJ117" s="13">
        <f>AI117*VLOOKUP('Données projet'!$B$10,Paramètres!$A$1:$I$89,3,0)*VLOOKUP('Données projet'!$B$10,Paramètres!$A$1:$I$89,5,0)</f>
        <v>6.7984728957526396E-14</v>
      </c>
      <c r="AK117" s="13">
        <f t="shared" si="89"/>
        <v>1.0682447123141398E-12</v>
      </c>
      <c r="AL117" s="20">
        <f t="shared" si="58"/>
        <v>1.978932943548152E-12</v>
      </c>
      <c r="AM117" s="59">
        <f t="shared" si="59"/>
        <v>293.3333333333353</v>
      </c>
      <c r="AN117" s="59">
        <f ca="1">AVERAGE(OFFSET($AM$3,0,0,'Données projet'!$E$10+1,1))-AVERAGE(OFFSET($H$3,0,0,'Données projet'!$E$10+1,1))</f>
        <v>214.93913810439858</v>
      </c>
      <c r="AO117" s="59">
        <f t="shared" si="90"/>
        <v>210.65603079265924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47.660585115373728</v>
      </c>
      <c r="AV117" s="21">
        <f>EXP(-LN(2)/25)*AV116+(1-EXP(-LN(2)/25))/(LN(2)/25)*Calculateur!AQ117*Calculateur!AS117*VLOOKUP('Données projet'!$B$10,Paramètres!$A$1:$I$89,3,0)*0.475*44/12</f>
        <v>10.838869461844885</v>
      </c>
      <c r="AW117" s="21">
        <f>EXP(-LN(2)/2)*AW116+(1-EXP(-LN(2)/2))/(LN(2)/2)*AQ117*AT117*VLOOKUP('Données projet'!$B$10,Paramètres!$A$1:$I$89,3,0)*0.475*44/12</f>
        <v>4.4674756246323506E-7</v>
      </c>
      <c r="AX117" s="21">
        <f t="shared" si="60"/>
        <v>58.499455023966178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10.725999999999999</v>
      </c>
      <c r="BD117" s="12">
        <f>IF('Données projet'!$A$88&gt;35,BD116+BC117-BL116,IF(A117&lt;'Données projet'!$A$88,$BA$205^A117,IF(A117='Données projet'!$A$88,'Données projet'!$B$88,BD116+BC117-BL116)))</f>
        <v>500.64400000000012</v>
      </c>
      <c r="BE117" s="13">
        <f>BD117*VLOOKUP('Données projet'!$B$11,Paramètres!$A$1:$I$89,3,0)*VLOOKUP('Données projet'!$B$11,Paramètres!$A$1:$I$89,5,0)</f>
        <v>452.98269120000009</v>
      </c>
      <c r="BF117" s="13">
        <f t="shared" si="91"/>
        <v>102.43910451319562</v>
      </c>
      <c r="BG117" s="20">
        <f t="shared" si="61"/>
        <v>967.35962753381591</v>
      </c>
      <c r="BH117" s="59">
        <f t="shared" si="62"/>
        <v>1260.6929608671492</v>
      </c>
      <c r="BI117" s="59">
        <f ca="1">AVERAGE(OFFSET($BH$3,0,0,'Données projet'!$E$11+1,1))-AVERAGE(OFFSET($H$3,0,0,'Données projet'!$E$11+1,1))</f>
        <v>507.69556381324213</v>
      </c>
      <c r="BJ117" s="59">
        <f t="shared" si="92"/>
        <v>129.52638237044044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53.635260556493805</v>
      </c>
      <c r="BQ117" s="21">
        <f>EXP(-LN(2)/25)*BQ116+(1-EXP(-LN(2)/25))/(LN(2)/25)*Calculateur!BL117*Calculateur!BN117*VLOOKUP('Données projet'!$B$11,Paramètres!$A$1:$I$89,3,0)*0.475*44/12</f>
        <v>29.335607163981585</v>
      </c>
      <c r="BR117" s="21">
        <f>EXP(-LN(2)/2)*BR116+(1-EXP(-LN(2)/2))/(LN(2)/2)*BL117*BO117*VLOOKUP('Données projet'!$B$11,Paramètres!$A$1:$I$89,3,0)*0.475*44/12</f>
        <v>1.5108142646363784E-3</v>
      </c>
      <c r="BS117" s="22">
        <f t="shared" si="63"/>
        <v>82.972378534740017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7.0011111111111104</v>
      </c>
      <c r="BY117" s="12">
        <f>IF('Données projet'!$A$114&gt;35,BY116+BX117-CG116,IF(A117&lt;'Données projet'!$A$114,$BV$205^A117,IF(A117='Données projet'!$A$114,'Données projet'!$B$114,BY116+BX117-CG116)))</f>
        <v>259.26111111111101</v>
      </c>
      <c r="BZ117" s="13">
        <f>BY117*VLOOKUP('Données projet'!$B$12,Paramètres!$A$1:$I$89,3,0)*VLOOKUP('Données projet'!$B$12,Paramètres!$A$1:$I$89,5,0)</f>
        <v>250.75734666666656</v>
      </c>
      <c r="CA117" s="13">
        <f t="shared" si="93"/>
        <v>60.748086681617018</v>
      </c>
      <c r="CB117" s="20">
        <f t="shared" si="64"/>
        <v>542.53862974826052</v>
      </c>
      <c r="CC117" s="59">
        <f t="shared" si="65"/>
        <v>835.87196308159378</v>
      </c>
      <c r="CD117" s="59">
        <f ca="1">AVERAGE(OFFSET($CC$3,0,0,'Données projet'!$E$12+1,1))-AVERAGE(OFFSET($H$3,0,0,'Données projet'!$E$12+1,1))</f>
        <v>292.52253679467469</v>
      </c>
      <c r="CE117" s="59">
        <f t="shared" si="94"/>
        <v>155.7114133976541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19.900875401938034</v>
      </c>
      <c r="CL117" s="21">
        <f>EXP(-LN(2)/25)*CL116+(1-EXP(-LN(2)/25))/(LN(2)/25)*Calculateur!CG117*Calculateur!CI117*VLOOKUP('Données projet'!$B$12,Paramètres!$A$1:$I$89,3,0)*0.475*44/12</f>
        <v>25.182982965817022</v>
      </c>
      <c r="CM117" s="21">
        <f>EXP(-LN(2)/2)*CM116+(1-EXP(-LN(2)/2))/(LN(2)/2)*CG117*CJ117*VLOOKUP('Données projet'!$B$12,Paramètres!$A$1:$I$89,3,0)*0.475*44/12</f>
        <v>2.8048987057070787</v>
      </c>
      <c r="CN117" s="22">
        <f t="shared" si="66"/>
        <v>47.888757073462138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-1.1368683772161603E-13</v>
      </c>
      <c r="CU117" s="17">
        <f>CT117*VLOOKUP('Données projet'!$B$13,Paramètres!$A$1:$I$89,3,0)*VLOOKUP('Données projet'!$B$13,Paramètres!$A$1:$I$89,5,0)</f>
        <v>-8.8675733422860506E-14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100.54865094989304</v>
      </c>
      <c r="CZ117" s="59">
        <f t="shared" si="96"/>
        <v>99.95654161405389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11.305530615940961</v>
      </c>
      <c r="DG117" s="21">
        <f>EXP(-LN(2)/25)*DG116+(1-EXP(-LN(2)/25))/(LN(2)/25)*Calculateur!DB117*Calculateur!DD117*VLOOKUP('Données projet'!$B$13,Paramètres!$A$1:$I$89,3,0)*0.475*44/12</f>
        <v>7.7933259343065151</v>
      </c>
      <c r="DH117" s="21">
        <f>EXP(-LN(2)/2)*DH116+(1-EXP(-LN(2)/2))/(LN(2)/2)*DB117*DE117*VLOOKUP('Données projet'!$B$13,Paramètres!$A$1:$I$89,3,0)*0.475*44/12</f>
        <v>6.5658329249885479E-6</v>
      </c>
      <c r="DI117" s="22">
        <f t="shared" si="69"/>
        <v>19.098863116080402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4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100.46399999999996</v>
      </c>
      <c r="D118" s="11">
        <f t="shared" si="86"/>
        <v>27.072509349827456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984.49235287586089</v>
      </c>
      <c r="H118" s="67">
        <f t="shared" si="56"/>
        <v>515.45942045094944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3.4106051316484809E-13</v>
      </c>
      <c r="O118" s="13">
        <f>N118*VLOOKUP('Données projet'!$B$9,Paramètres!$A$1:$I$89,3,0)*VLOOKUP('Données projet'!$B$9,Paramètres!$A$1:$I$89,5,0)</f>
        <v>1.9065282685915009E-13</v>
      </c>
      <c r="P118" s="13">
        <f t="shared" si="87"/>
        <v>2.6568987209435707E-12</v>
      </c>
      <c r="Q118" s="20">
        <f t="shared" si="107"/>
        <v>4.959485612423072E-12</v>
      </c>
      <c r="R118" s="59">
        <f t="shared" si="55"/>
        <v>293.33333333333826</v>
      </c>
      <c r="S118" s="59">
        <f ca="1">AVERAGE(OFFSET($R$3,0,0,'Données projet'!$E$9+1,1))-AVERAGE(OFFSET($H$3,0,0,'Données projet'!$E$9+1,1))</f>
        <v>324.69474275039357</v>
      </c>
      <c r="T118" s="59">
        <f t="shared" si="88"/>
        <v>437.68177084535927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73.720117497462709</v>
      </c>
      <c r="AA118" s="21">
        <f>EXP(-LN(2)/25)*AA117+(1-EXP(-LN(2)/25))/(LN(2)/25)*Calculateur!V118*Calculateur!X118*VLOOKUP('Données projet'!$B$9,Paramètres!$A$1:$I$89,3,0)*0.475*44/12</f>
        <v>15.664244013299577</v>
      </c>
      <c r="AB118" s="21">
        <f>EXP(-LN(2)/2)*AB117+(1-EXP(-LN(2)/2))/(LN(2)/2)*V118*Y118*VLOOKUP('Données projet'!$B$9,Paramètres!$A$1:$I$89,3,0)*0.475*44/12</f>
        <v>6.0262165391660389E-8</v>
      </c>
      <c r="AC118" s="22">
        <f t="shared" si="57"/>
        <v>89.384361571024456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1.1368683772161603E-13</v>
      </c>
      <c r="AJ118" s="13">
        <f>AI118*VLOOKUP('Données projet'!$B$10,Paramètres!$A$1:$I$89,3,0)*VLOOKUP('Données projet'!$B$10,Paramètres!$A$1:$I$89,5,0)</f>
        <v>6.7984728957526396E-14</v>
      </c>
      <c r="AK118" s="13">
        <f t="shared" si="89"/>
        <v>1.0682447123141398E-12</v>
      </c>
      <c r="AL118" s="20">
        <f t="shared" si="58"/>
        <v>1.978932943548152E-12</v>
      </c>
      <c r="AM118" s="59">
        <f t="shared" si="59"/>
        <v>293.3333333333353</v>
      </c>
      <c r="AN118" s="59">
        <f ca="1">AVERAGE(OFFSET($AM$3,0,0,'Données projet'!$E$10+1,1))-AVERAGE(OFFSET($H$3,0,0,'Données projet'!$E$10+1,1))</f>
        <v>214.93913810439858</v>
      </c>
      <c r="AO118" s="59">
        <f t="shared" si="90"/>
        <v>210.65603079265924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46.725990111347734</v>
      </c>
      <c r="AV118" s="21">
        <f>EXP(-LN(2)/25)*AV117+(1-EXP(-LN(2)/25))/(LN(2)/25)*Calculateur!AQ118*Calculateur!AS118*VLOOKUP('Données projet'!$B$10,Paramètres!$A$1:$I$89,3,0)*0.475*44/12</f>
        <v>10.542480006419364</v>
      </c>
      <c r="AW118" s="21">
        <f>EXP(-LN(2)/2)*AW117+(1-EXP(-LN(2)/2))/(LN(2)/2)*AQ118*AT118*VLOOKUP('Données projet'!$B$10,Paramètres!$A$1:$I$89,3,0)*0.475*44/12</f>
        <v>3.1589823089631423E-7</v>
      </c>
      <c r="AX118" s="21">
        <f t="shared" si="60"/>
        <v>57.268470433665328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10.725999999999999</v>
      </c>
      <c r="BD118" s="12">
        <f>IF('Données projet'!$A$88&gt;35,BD117+BC118-BL117,IF(A118&lt;'Données projet'!$A$88,$BA$205^A118,IF(A118='Données projet'!$A$88,'Données projet'!$B$88,BD117+BC118-BL117)))</f>
        <v>511.37000000000012</v>
      </c>
      <c r="BE118" s="13">
        <f>BD118*VLOOKUP('Données projet'!$B$11,Paramètres!$A$1:$I$89,3,0)*VLOOKUP('Données projet'!$B$11,Paramètres!$A$1:$I$89,5,0)</f>
        <v>462.68757600000015</v>
      </c>
      <c r="BF118" s="13">
        <f t="shared" si="91"/>
        <v>104.37593972520772</v>
      </c>
      <c r="BG118" s="20">
        <f t="shared" si="61"/>
        <v>987.63562322140353</v>
      </c>
      <c r="BH118" s="59">
        <f t="shared" si="62"/>
        <v>1280.9689565547369</v>
      </c>
      <c r="BI118" s="59">
        <f ca="1">AVERAGE(OFFSET($BH$3,0,0,'Données projet'!$E$11+1,1))-AVERAGE(OFFSET($H$3,0,0,'Données projet'!$E$11+1,1))</f>
        <v>507.69556381324213</v>
      </c>
      <c r="BJ118" s="59">
        <f t="shared" si="92"/>
        <v>129.52638237044044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52.583505811259634</v>
      </c>
      <c r="BQ118" s="21">
        <f>EXP(-LN(2)/25)*BQ117+(1-EXP(-LN(2)/25))/(LN(2)/25)*Calculateur!BL118*Calculateur!BN118*VLOOKUP('Données projet'!$B$11,Paramètres!$A$1:$I$89,3,0)*0.475*44/12</f>
        <v>28.533423443389974</v>
      </c>
      <c r="BR118" s="21">
        <f>EXP(-LN(2)/2)*BR117+(1-EXP(-LN(2)/2))/(LN(2)/2)*BL118*BO118*VLOOKUP('Données projet'!$B$11,Paramètres!$A$1:$I$89,3,0)*0.475*44/12</f>
        <v>1.0683070116377503E-3</v>
      </c>
      <c r="BS118" s="22">
        <f t="shared" si="63"/>
        <v>81.117997561661241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7.0011111111111104</v>
      </c>
      <c r="BY118" s="12">
        <f>IF('Données projet'!$A$114&gt;35,BY117+BX118-CG117,IF(A118&lt;'Données projet'!$A$114,$BV$205^A118,IF(A118='Données projet'!$A$114,'Données projet'!$B$114,BY117+BX118-CG117)))</f>
        <v>266.26222222222214</v>
      </c>
      <c r="BZ118" s="13">
        <f>BY118*VLOOKUP('Données projet'!$B$12,Paramètres!$A$1:$I$89,3,0)*VLOOKUP('Données projet'!$B$12,Paramètres!$A$1:$I$89,5,0)</f>
        <v>257.52882133333327</v>
      </c>
      <c r="CA118" s="13">
        <f t="shared" si="93"/>
        <v>62.195330109146276</v>
      </c>
      <c r="CB118" s="20">
        <f t="shared" si="64"/>
        <v>556.85289709565188</v>
      </c>
      <c r="CC118" s="59">
        <f t="shared" si="65"/>
        <v>850.18623042898525</v>
      </c>
      <c r="CD118" s="59">
        <f ca="1">AVERAGE(OFFSET($CC$3,0,0,'Données projet'!$E$12+1,1))-AVERAGE(OFFSET($H$3,0,0,'Données projet'!$E$12+1,1))</f>
        <v>292.52253679467469</v>
      </c>
      <c r="CE118" s="59">
        <f t="shared" si="94"/>
        <v>155.7114133976541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19.510631373641463</v>
      </c>
      <c r="CL118" s="21">
        <f>EXP(-LN(2)/25)*CL117+(1-EXP(-LN(2)/25))/(LN(2)/25)*Calculateur!CG118*Calculateur!CI118*VLOOKUP('Données projet'!$B$12,Paramètres!$A$1:$I$89,3,0)*0.475*44/12</f>
        <v>24.494352972301236</v>
      </c>
      <c r="CM118" s="21">
        <f>EXP(-LN(2)/2)*CM117+(1-EXP(-LN(2)/2))/(LN(2)/2)*CG118*CJ118*VLOOKUP('Données projet'!$B$12,Paramètres!$A$1:$I$89,3,0)*0.475*44/12</f>
        <v>1.9833628953468458</v>
      </c>
      <c r="CN118" s="22">
        <f t="shared" si="66"/>
        <v>45.988347241289546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-1.1368683772161603E-13</v>
      </c>
      <c r="CU118" s="17">
        <f>CT118*VLOOKUP('Données projet'!$B$13,Paramètres!$A$1:$I$89,3,0)*VLOOKUP('Données projet'!$B$13,Paramètres!$A$1:$I$89,5,0)</f>
        <v>-8.8675733422860506E-14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100.54865094989304</v>
      </c>
      <c r="CZ118" s="59">
        <f t="shared" si="96"/>
        <v>99.95654161405389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11.083836056255143</v>
      </c>
      <c r="DG118" s="21">
        <f>EXP(-LN(2)/25)*DG117+(1-EXP(-LN(2)/25))/(LN(2)/25)*Calculateur!DB118*Calculateur!DD118*VLOOKUP('Données projet'!$B$13,Paramètres!$A$1:$I$89,3,0)*0.475*44/12</f>
        <v>7.5802170267997049</v>
      </c>
      <c r="DH118" s="21">
        <f>EXP(-LN(2)/2)*DH117+(1-EXP(-LN(2)/2))/(LN(2)/2)*DB118*DE118*VLOOKUP('Données projet'!$B$13,Paramètres!$A$1:$I$89,3,0)*0.475*44/12</f>
        <v>4.6427449853973064E-6</v>
      </c>
      <c r="DI118" s="22">
        <f t="shared" si="69"/>
        <v>18.664057725799832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4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101.33759999999995</v>
      </c>
      <c r="D119" s="11">
        <f t="shared" si="86"/>
        <v>27.28041545430554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992.84082105077925</v>
      </c>
      <c r="H119" s="67">
        <f t="shared" si="56"/>
        <v>517.34304358291536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3.4106051316484809E-13</v>
      </c>
      <c r="O119" s="13">
        <f>N119*VLOOKUP('Données projet'!$B$9,Paramètres!$A$1:$I$89,3,0)*VLOOKUP('Données projet'!$B$9,Paramètres!$A$1:$I$89,5,0)</f>
        <v>1.9065282685915009E-13</v>
      </c>
      <c r="P119" s="13">
        <f t="shared" si="87"/>
        <v>2.6568987209435707E-12</v>
      </c>
      <c r="Q119" s="20">
        <f t="shared" si="107"/>
        <v>4.959485612423072E-12</v>
      </c>
      <c r="R119" s="59">
        <f t="shared" si="55"/>
        <v>293.33333333333826</v>
      </c>
      <c r="S119" s="59">
        <f ca="1">AVERAGE(OFFSET($R$3,0,0,'Données projet'!$E$9+1,1))-AVERAGE(OFFSET($H$3,0,0,'Données projet'!$E$9+1,1))</f>
        <v>324.69474275039357</v>
      </c>
      <c r="T119" s="59">
        <f t="shared" si="88"/>
        <v>437.68177084535927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72.27451095816923</v>
      </c>
      <c r="AA119" s="21">
        <f>EXP(-LN(2)/25)*AA118+(1-EXP(-LN(2)/25))/(LN(2)/25)*Calculateur!V119*Calculateur!X119*VLOOKUP('Données projet'!$B$9,Paramètres!$A$1:$I$89,3,0)*0.475*44/12</f>
        <v>15.235904437009108</v>
      </c>
      <c r="AB119" s="21">
        <f>EXP(-LN(2)/2)*AB118+(1-EXP(-LN(2)/2))/(LN(2)/2)*V119*Y119*VLOOKUP('Données projet'!$B$9,Paramètres!$A$1:$I$89,3,0)*0.475*44/12</f>
        <v>4.2611785797428341E-8</v>
      </c>
      <c r="AC119" s="22">
        <f t="shared" si="57"/>
        <v>87.51041543779013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1.1368683772161603E-13</v>
      </c>
      <c r="AJ119" s="13">
        <f>AI119*VLOOKUP('Données projet'!$B$10,Paramètres!$A$1:$I$89,3,0)*VLOOKUP('Données projet'!$B$10,Paramètres!$A$1:$I$89,5,0)</f>
        <v>6.7984728957526396E-14</v>
      </c>
      <c r="AK119" s="13">
        <f t="shared" si="89"/>
        <v>1.0682447123141398E-12</v>
      </c>
      <c r="AL119" s="20">
        <f t="shared" si="58"/>
        <v>1.978932943548152E-12</v>
      </c>
      <c r="AM119" s="59">
        <f t="shared" si="59"/>
        <v>293.3333333333353</v>
      </c>
      <c r="AN119" s="59">
        <f ca="1">AVERAGE(OFFSET($AM$3,0,0,'Données projet'!$E$10+1,1))-AVERAGE(OFFSET($H$3,0,0,'Données projet'!$E$10+1,1))</f>
        <v>214.93913810439858</v>
      </c>
      <c r="AO119" s="59">
        <f t="shared" si="90"/>
        <v>210.65603079265924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45.809721945304027</v>
      </c>
      <c r="AV119" s="21">
        <f>EXP(-LN(2)/25)*AV118+(1-EXP(-LN(2)/25))/(LN(2)/25)*Calculateur!AQ119*Calculateur!AS119*VLOOKUP('Données projet'!$B$10,Paramètres!$A$1:$I$89,3,0)*0.475*44/12</f>
        <v>10.254195336238897</v>
      </c>
      <c r="AW119" s="21">
        <f>EXP(-LN(2)/2)*AW118+(1-EXP(-LN(2)/2))/(LN(2)/2)*AQ119*AT119*VLOOKUP('Données projet'!$B$10,Paramètres!$A$1:$I$89,3,0)*0.475*44/12</f>
        <v>2.2337378123161753E-7</v>
      </c>
      <c r="AX119" s="21">
        <f t="shared" si="60"/>
        <v>56.063917504916709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10.725999999999999</v>
      </c>
      <c r="BD119" s="12">
        <f>IF('Données projet'!$A$88&gt;35,BD118+BC119-BL118,IF(A119&lt;'Données projet'!$A$88,$BA$205^A119,IF(A119='Données projet'!$A$88,'Données projet'!$B$88,BD118+BC119-BL118)))</f>
        <v>522.09600000000012</v>
      </c>
      <c r="BE119" s="13">
        <f>BD119*VLOOKUP('Données projet'!$B$11,Paramètres!$A$1:$I$89,3,0)*VLOOKUP('Données projet'!$B$11,Paramètres!$A$1:$I$89,5,0)</f>
        <v>472.39246080000009</v>
      </c>
      <c r="BF119" s="13">
        <f t="shared" si="91"/>
        <v>106.30805156897928</v>
      </c>
      <c r="BG119" s="20">
        <f t="shared" si="61"/>
        <v>1007.9033923759724</v>
      </c>
      <c r="BH119" s="59">
        <f t="shared" si="62"/>
        <v>1301.2367257093058</v>
      </c>
      <c r="BI119" s="59">
        <f ca="1">AVERAGE(OFFSET($BH$3,0,0,'Données projet'!$E$11+1,1))-AVERAGE(OFFSET($H$3,0,0,'Données projet'!$E$11+1,1))</f>
        <v>507.69556381324213</v>
      </c>
      <c r="BJ119" s="59">
        <f t="shared" si="92"/>
        <v>129.52638237044044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51.552375335072455</v>
      </c>
      <c r="BQ119" s="21">
        <f>EXP(-LN(2)/25)*BQ118+(1-EXP(-LN(2)/25))/(LN(2)/25)*Calculateur!BL119*Calculateur!BN119*VLOOKUP('Données projet'!$B$11,Paramètres!$A$1:$I$89,3,0)*0.475*44/12</f>
        <v>27.75317547882295</v>
      </c>
      <c r="BR119" s="21">
        <f>EXP(-LN(2)/2)*BR118+(1-EXP(-LN(2)/2))/(LN(2)/2)*BL119*BO119*VLOOKUP('Données projet'!$B$11,Paramètres!$A$1:$I$89,3,0)*0.475*44/12</f>
        <v>7.5540713231818921E-4</v>
      </c>
      <c r="BS119" s="22">
        <f t="shared" si="63"/>
        <v>79.306306221027725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7.0011111111111104</v>
      </c>
      <c r="BY119" s="12">
        <f>IF('Données projet'!$A$114&gt;35,BY118+BX119-CG118,IF(A119&lt;'Données projet'!$A$114,$BV$205^A119,IF(A119='Données projet'!$A$114,'Données projet'!$B$114,BY118+BX119-CG118)))</f>
        <v>273.26333333333326</v>
      </c>
      <c r="BZ119" s="13">
        <f>BY119*VLOOKUP('Données projet'!$B$12,Paramètres!$A$1:$I$89,3,0)*VLOOKUP('Données projet'!$B$12,Paramètres!$A$1:$I$89,5,0)</f>
        <v>264.30029599999995</v>
      </c>
      <c r="CA119" s="13">
        <f t="shared" si="93"/>
        <v>63.638150297391014</v>
      </c>
      <c r="CB119" s="20">
        <f t="shared" si="64"/>
        <v>571.15946063462252</v>
      </c>
      <c r="CC119" s="59">
        <f t="shared" si="65"/>
        <v>864.49279396795578</v>
      </c>
      <c r="CD119" s="59">
        <f ca="1">AVERAGE(OFFSET($CC$3,0,0,'Données projet'!$E$12+1,1))-AVERAGE(OFFSET($H$3,0,0,'Données projet'!$E$12+1,1))</f>
        <v>292.52253679467469</v>
      </c>
      <c r="CE119" s="59">
        <f t="shared" si="94"/>
        <v>155.7114133976541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19.128039792714432</v>
      </c>
      <c r="CL119" s="21">
        <f>EXP(-LN(2)/25)*CL118+(1-EXP(-LN(2)/25))/(LN(2)/25)*Calculateur!CG119*Calculateur!CI119*VLOOKUP('Données projet'!$B$12,Paramètres!$A$1:$I$89,3,0)*0.475*44/12</f>
        <v>23.824553602171619</v>
      </c>
      <c r="CM119" s="21">
        <f>EXP(-LN(2)/2)*CM118+(1-EXP(-LN(2)/2))/(LN(2)/2)*CG119*CJ119*VLOOKUP('Données projet'!$B$12,Paramètres!$A$1:$I$89,3,0)*0.475*44/12</f>
        <v>1.4024493528535396</v>
      </c>
      <c r="CN119" s="22">
        <f t="shared" si="66"/>
        <v>44.355042747739589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-1.1368683772161603E-13</v>
      </c>
      <c r="CU119" s="17">
        <f>CT119*VLOOKUP('Données projet'!$B$13,Paramètres!$A$1:$I$89,3,0)*VLOOKUP('Données projet'!$B$13,Paramètres!$A$1:$I$89,5,0)</f>
        <v>-8.8675733422860506E-14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100.54865094989304</v>
      </c>
      <c r="CZ119" s="59">
        <f t="shared" si="96"/>
        <v>99.95654161405389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10.866488791664432</v>
      </c>
      <c r="DG119" s="21">
        <f>EXP(-LN(2)/25)*DG118+(1-EXP(-LN(2)/25))/(LN(2)/25)*Calculateur!DB119*Calculateur!DD119*VLOOKUP('Données projet'!$B$13,Paramètres!$A$1:$I$89,3,0)*0.475*44/12</f>
        <v>7.372935593575578</v>
      </c>
      <c r="DH119" s="21">
        <f>EXP(-LN(2)/2)*DH118+(1-EXP(-LN(2)/2))/(LN(2)/2)*DB119*DE119*VLOOKUP('Données projet'!$B$13,Paramètres!$A$1:$I$89,3,0)*0.475*44/12</f>
        <v>3.2829164624942739E-6</v>
      </c>
      <c r="DI119" s="22">
        <f t="shared" si="69"/>
        <v>18.239427668156473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4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102.21119999999995</v>
      </c>
      <c r="D120" s="11">
        <f t="shared" si="86"/>
        <v>27.488113037666018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1001.1876795890006</v>
      </c>
      <c r="H120" s="67">
        <f t="shared" si="56"/>
        <v>519.22630354060152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3.4106051316484809E-13</v>
      </c>
      <c r="O120" s="13">
        <f>N120*VLOOKUP('Données projet'!$B$9,Paramètres!$A$1:$I$89,3,0)*VLOOKUP('Données projet'!$B$9,Paramètres!$A$1:$I$89,5,0)</f>
        <v>1.9065282685915009E-13</v>
      </c>
      <c r="P120" s="13">
        <f t="shared" si="87"/>
        <v>2.6568987209435707E-12</v>
      </c>
      <c r="Q120" s="20">
        <f t="shared" si="107"/>
        <v>4.959485612423072E-12</v>
      </c>
      <c r="R120" s="59">
        <f t="shared" si="55"/>
        <v>293.33333333333826</v>
      </c>
      <c r="S120" s="59">
        <f ca="1">AVERAGE(OFFSET($R$3,0,0,'Données projet'!$E$9+1,1))-AVERAGE(OFFSET($H$3,0,0,'Données projet'!$E$9+1,1))</f>
        <v>324.69474275039357</v>
      </c>
      <c r="T120" s="59">
        <f t="shared" si="88"/>
        <v>437.68177084535927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70.857251881378374</v>
      </c>
      <c r="AA120" s="21">
        <f>EXP(-LN(2)/25)*AA119+(1-EXP(-LN(2)/25))/(LN(2)/25)*Calculateur!V120*Calculateur!X120*VLOOKUP('Données projet'!$B$9,Paramètres!$A$1:$I$89,3,0)*0.475*44/12</f>
        <v>14.819277828957702</v>
      </c>
      <c r="AB120" s="21">
        <f>EXP(-LN(2)/2)*AB119+(1-EXP(-LN(2)/2))/(LN(2)/2)*V120*Y120*VLOOKUP('Données projet'!$B$9,Paramètres!$A$1:$I$89,3,0)*0.475*44/12</f>
        <v>3.0131082695830194E-8</v>
      </c>
      <c r="AC120" s="22">
        <f t="shared" si="57"/>
        <v>85.676529740467146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1.1368683772161603E-13</v>
      </c>
      <c r="AJ120" s="13">
        <f>AI120*VLOOKUP('Données projet'!$B$10,Paramètres!$A$1:$I$89,3,0)*VLOOKUP('Données projet'!$B$10,Paramètres!$A$1:$I$89,5,0)</f>
        <v>6.7984728957526396E-14</v>
      </c>
      <c r="AK120" s="13">
        <f t="shared" si="89"/>
        <v>1.0682447123141398E-12</v>
      </c>
      <c r="AL120" s="20">
        <f t="shared" si="58"/>
        <v>1.978932943548152E-12</v>
      </c>
      <c r="AM120" s="59">
        <f t="shared" si="59"/>
        <v>293.3333333333353</v>
      </c>
      <c r="AN120" s="59">
        <f ca="1">AVERAGE(OFFSET($AM$3,0,0,'Données projet'!$E$10+1,1))-AVERAGE(OFFSET($H$3,0,0,'Données projet'!$E$10+1,1))</f>
        <v>214.93913810439858</v>
      </c>
      <c r="AO120" s="59">
        <f t="shared" si="90"/>
        <v>210.65603079265924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44.911421239128039</v>
      </c>
      <c r="AV120" s="21">
        <f>EXP(-LN(2)/25)*AV119+(1-EXP(-LN(2)/25))/(LN(2)/25)*Calculateur!AQ120*Calculateur!AS120*VLOOKUP('Données projet'!$B$10,Paramètres!$A$1:$I$89,3,0)*0.475*44/12</f>
        <v>9.9737938255247478</v>
      </c>
      <c r="AW120" s="21">
        <f>EXP(-LN(2)/2)*AW119+(1-EXP(-LN(2)/2))/(LN(2)/2)*AQ120*AT120*VLOOKUP('Données projet'!$B$10,Paramètres!$A$1:$I$89,3,0)*0.475*44/12</f>
        <v>1.5794911544815711E-7</v>
      </c>
      <c r="AX120" s="21">
        <f t="shared" si="60"/>
        <v>54.8852152226019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10.725999999999999</v>
      </c>
      <c r="BD120" s="12">
        <f>IF('Données projet'!$A$88&gt;35,BD119+BC120-BL119,IF(A120&lt;'Données projet'!$A$88,$BA$205^A120,IF(A120='Données projet'!$A$88,'Données projet'!$B$88,BD119+BC120-BL119)))</f>
        <v>532.82200000000012</v>
      </c>
      <c r="BE120" s="13">
        <f>BD120*VLOOKUP('Données projet'!$B$11,Paramètres!$A$1:$I$89,3,0)*VLOOKUP('Données projet'!$B$11,Paramètres!$A$1:$I$89,5,0)</f>
        <v>482.09734560000015</v>
      </c>
      <c r="BF120" s="13">
        <f t="shared" si="91"/>
        <v>108.23554826302497</v>
      </c>
      <c r="BG120" s="20">
        <f t="shared" si="61"/>
        <v>1028.1631234781019</v>
      </c>
      <c r="BH120" s="59">
        <f t="shared" si="62"/>
        <v>1321.4964568114351</v>
      </c>
      <c r="BI120" s="59">
        <f ca="1">AVERAGE(OFFSET($BH$3,0,0,'Données projet'!$E$11+1,1))-AVERAGE(OFFSET($H$3,0,0,'Données projet'!$E$11+1,1))</f>
        <v>507.69556381324213</v>
      </c>
      <c r="BJ120" s="59">
        <f t="shared" si="92"/>
        <v>129.52638237044044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50.541464698595817</v>
      </c>
      <c r="BQ120" s="21">
        <f>EXP(-LN(2)/25)*BQ119+(1-EXP(-LN(2)/25))/(LN(2)/25)*Calculateur!BL120*Calculateur!BN120*VLOOKUP('Données projet'!$B$11,Paramètres!$A$1:$I$89,3,0)*0.475*44/12</f>
        <v>26.994263435878469</v>
      </c>
      <c r="BR120" s="21">
        <f>EXP(-LN(2)/2)*BR119+(1-EXP(-LN(2)/2))/(LN(2)/2)*BL120*BO120*VLOOKUP('Données projet'!$B$11,Paramètres!$A$1:$I$89,3,0)*0.475*44/12</f>
        <v>5.3415350581887517E-4</v>
      </c>
      <c r="BS120" s="22">
        <f t="shared" si="63"/>
        <v>77.536262287980108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7.0011111111111104</v>
      </c>
      <c r="BY120" s="12">
        <f>IF('Données projet'!$A$114&gt;35,BY119+BX120-CG119,IF(A120&lt;'Données projet'!$A$114,$BV$205^A120,IF(A120='Données projet'!$A$114,'Données projet'!$B$114,BY119+BX120-CG119)))</f>
        <v>280.26444444444439</v>
      </c>
      <c r="BZ120" s="13">
        <f>BY120*VLOOKUP('Données projet'!$B$12,Paramètres!$A$1:$I$89,3,0)*VLOOKUP('Données projet'!$B$12,Paramètres!$A$1:$I$89,5,0)</f>
        <v>271.07177066666662</v>
      </c>
      <c r="CA120" s="13">
        <f t="shared" si="93"/>
        <v>65.076673601984467</v>
      </c>
      <c r="CB120" s="20">
        <f t="shared" si="64"/>
        <v>585.45854043456723</v>
      </c>
      <c r="CC120" s="59">
        <f t="shared" si="65"/>
        <v>878.7918737679006</v>
      </c>
      <c r="CD120" s="59">
        <f ca="1">AVERAGE(OFFSET($CC$3,0,0,'Données projet'!$E$12+1,1))-AVERAGE(OFFSET($H$3,0,0,'Données projet'!$E$12+1,1))</f>
        <v>292.52253679467469</v>
      </c>
      <c r="CE120" s="59">
        <f t="shared" si="94"/>
        <v>155.7114133976541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18.752950599331559</v>
      </c>
      <c r="CL120" s="21">
        <f>EXP(-LN(2)/25)*CL119+(1-EXP(-LN(2)/25))/(LN(2)/25)*Calculateur!CG120*Calculateur!CI120*VLOOKUP('Données projet'!$B$12,Paramètres!$A$1:$I$89,3,0)*0.475*44/12</f>
        <v>23.173069931041415</v>
      </c>
      <c r="CM120" s="21">
        <f>EXP(-LN(2)/2)*CM119+(1-EXP(-LN(2)/2))/(LN(2)/2)*CG120*CJ120*VLOOKUP('Données projet'!$B$12,Paramètres!$A$1:$I$89,3,0)*0.475*44/12</f>
        <v>0.99168144767342303</v>
      </c>
      <c r="CN120" s="22">
        <f t="shared" si="66"/>
        <v>42.917701978046395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-1.1368683772161603E-13</v>
      </c>
      <c r="CU120" s="17">
        <f>CT120*VLOOKUP('Données projet'!$B$13,Paramètres!$A$1:$I$89,3,0)*VLOOKUP('Données projet'!$B$13,Paramètres!$A$1:$I$89,5,0)</f>
        <v>-8.8675733422860506E-14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100.54865094989304</v>
      </c>
      <c r="CZ120" s="59">
        <f t="shared" si="96"/>
        <v>99.95654161405389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10.653403574363605</v>
      </c>
      <c r="DG120" s="21">
        <f>EXP(-LN(2)/25)*DG119+(1-EXP(-LN(2)/25))/(LN(2)/25)*Calculateur!DB120*Calculateur!DD120*VLOOKUP('Données projet'!$B$13,Paramètres!$A$1:$I$89,3,0)*0.475*44/12</f>
        <v>7.1713222820434224</v>
      </c>
      <c r="DH120" s="21">
        <f>EXP(-LN(2)/2)*DH119+(1-EXP(-LN(2)/2))/(LN(2)/2)*DB120*DE120*VLOOKUP('Données projet'!$B$13,Paramètres!$A$1:$I$89,3,0)*0.475*44/12</f>
        <v>2.3213724926986532E-6</v>
      </c>
      <c r="DI120" s="22">
        <f t="shared" si="69"/>
        <v>17.824728177779519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4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103.08479999999994</v>
      </c>
      <c r="D121" s="11">
        <f t="shared" si="86"/>
        <v>27.69560408865161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1009.5329438422226</v>
      </c>
      <c r="H121" s="67">
        <f t="shared" si="56"/>
        <v>521.10920378773471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3.4106051316484809E-13</v>
      </c>
      <c r="O121" s="13">
        <f>N121*VLOOKUP('Données projet'!$B$9,Paramètres!$A$1:$I$89,3,0)*VLOOKUP('Données projet'!$B$9,Paramètres!$A$1:$I$89,5,0)</f>
        <v>1.9065282685915009E-13</v>
      </c>
      <c r="P121" s="13">
        <f t="shared" si="87"/>
        <v>2.6568987209435707E-12</v>
      </c>
      <c r="Q121" s="20">
        <f t="shared" si="107"/>
        <v>4.959485612423072E-12</v>
      </c>
      <c r="R121" s="59">
        <f t="shared" si="55"/>
        <v>293.33333333333826</v>
      </c>
      <c r="S121" s="59">
        <f ca="1">AVERAGE(OFFSET($R$3,0,0,'Données projet'!$E$9+1,1))-AVERAGE(OFFSET($H$3,0,0,'Données projet'!$E$9+1,1))</f>
        <v>324.69474275039357</v>
      </c>
      <c r="T121" s="59">
        <f t="shared" si="88"/>
        <v>437.68177084535927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69.467784390640702</v>
      </c>
      <c r="AA121" s="21">
        <f>EXP(-LN(2)/25)*AA120+(1-EXP(-LN(2)/25))/(LN(2)/25)*Calculateur!V121*Calculateur!X121*VLOOKUP('Données projet'!$B$9,Paramètres!$A$1:$I$89,3,0)*0.475*44/12</f>
        <v>14.414043897412903</v>
      </c>
      <c r="AB121" s="21">
        <f>EXP(-LN(2)/2)*AB120+(1-EXP(-LN(2)/2))/(LN(2)/2)*V121*Y121*VLOOKUP('Données projet'!$B$9,Paramètres!$A$1:$I$89,3,0)*0.475*44/12</f>
        <v>2.1305892898714171E-8</v>
      </c>
      <c r="AC121" s="22">
        <f t="shared" si="57"/>
        <v>83.881828309359506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1.1368683772161603E-13</v>
      </c>
      <c r="AJ121" s="13">
        <f>AI121*VLOOKUP('Données projet'!$B$10,Paramètres!$A$1:$I$89,3,0)*VLOOKUP('Données projet'!$B$10,Paramètres!$A$1:$I$89,5,0)</f>
        <v>6.7984728957526396E-14</v>
      </c>
      <c r="AK121" s="13">
        <f t="shared" si="89"/>
        <v>1.0682447123141398E-12</v>
      </c>
      <c r="AL121" s="20">
        <f t="shared" si="58"/>
        <v>1.978932943548152E-12</v>
      </c>
      <c r="AM121" s="59">
        <f t="shared" si="59"/>
        <v>293.3333333333353</v>
      </c>
      <c r="AN121" s="59">
        <f ca="1">AVERAGE(OFFSET($AM$3,0,0,'Données projet'!$E$10+1,1))-AVERAGE(OFFSET($H$3,0,0,'Données projet'!$E$10+1,1))</f>
        <v>214.93913810439858</v>
      </c>
      <c r="AO121" s="59">
        <f t="shared" si="90"/>
        <v>210.65603079265924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44.030735661890837</v>
      </c>
      <c r="AV121" s="21">
        <f>EXP(-LN(2)/25)*AV120+(1-EXP(-LN(2)/25))/(LN(2)/25)*Calculateur!AQ121*Calculateur!AS121*VLOOKUP('Données projet'!$B$10,Paramètres!$A$1:$I$89,3,0)*0.475*44/12</f>
        <v>9.7010599088667515</v>
      </c>
      <c r="AW121" s="21">
        <f>EXP(-LN(2)/2)*AW120+(1-EXP(-LN(2)/2))/(LN(2)/2)*AQ121*AT121*VLOOKUP('Données projet'!$B$10,Paramètres!$A$1:$I$89,3,0)*0.475*44/12</f>
        <v>1.1168689061580877E-7</v>
      </c>
      <c r="AX121" s="21">
        <f t="shared" si="60"/>
        <v>53.731795682444478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10.725999999999999</v>
      </c>
      <c r="BD121" s="12">
        <f>IF('Données projet'!$A$88&gt;35,BD120+BC121-BL120,IF(A121&lt;'Données projet'!$A$88,$BA$205^A121,IF(A121='Données projet'!$A$88,'Données projet'!$B$88,BD120+BC121-BL120)))</f>
        <v>543.54800000000012</v>
      </c>
      <c r="BE121" s="13">
        <f>BD121*VLOOKUP('Données projet'!$B$11,Paramètres!$A$1:$I$89,3,0)*VLOOKUP('Données projet'!$B$11,Paramètres!$A$1:$I$89,5,0)</f>
        <v>491.8022304000001</v>
      </c>
      <c r="BF121" s="13">
        <f t="shared" si="91"/>
        <v>110.1585334197499</v>
      </c>
      <c r="BG121" s="20">
        <f t="shared" si="61"/>
        <v>1048.4149969860646</v>
      </c>
      <c r="BH121" s="59">
        <f t="shared" si="62"/>
        <v>1341.7483303193978</v>
      </c>
      <c r="BI121" s="59">
        <f ca="1">AVERAGE(OFFSET($BH$3,0,0,'Données projet'!$E$11+1,1))-AVERAGE(OFFSET($H$3,0,0,'Données projet'!$E$11+1,1))</f>
        <v>507.69556381324213</v>
      </c>
      <c r="BJ121" s="59">
        <f t="shared" si="92"/>
        <v>129.52638237044044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49.550377403105884</v>
      </c>
      <c r="BQ121" s="21">
        <f>EXP(-LN(2)/25)*BQ120+(1-EXP(-LN(2)/25))/(LN(2)/25)*Calculateur!BL121*Calculateur!BN121*VLOOKUP('Données projet'!$B$11,Paramètres!$A$1:$I$89,3,0)*0.475*44/12</f>
        <v>26.256103882657754</v>
      </c>
      <c r="BR121" s="21">
        <f>EXP(-LN(2)/2)*BR120+(1-EXP(-LN(2)/2))/(LN(2)/2)*BL121*BO121*VLOOKUP('Données projet'!$B$11,Paramètres!$A$1:$I$89,3,0)*0.475*44/12</f>
        <v>3.7770356615909461E-4</v>
      </c>
      <c r="BS121" s="22">
        <f t="shared" si="63"/>
        <v>75.806858989329797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7.0011111111111104</v>
      </c>
      <c r="BY121" s="12">
        <f>IF('Données projet'!$A$114&gt;35,BY120+BX121-CG120,IF(A121&lt;'Données projet'!$A$114,$BV$205^A121,IF(A121='Données projet'!$A$114,'Données projet'!$B$114,BY120+BX121-CG120)))</f>
        <v>287.26555555555552</v>
      </c>
      <c r="BZ121" s="13">
        <f>BY121*VLOOKUP('Données projet'!$B$12,Paramètres!$A$1:$I$89,3,0)*VLOOKUP('Données projet'!$B$12,Paramètres!$A$1:$I$89,5,0)</f>
        <v>277.8432453333333</v>
      </c>
      <c r="CA121" s="13">
        <f t="shared" si="93"/>
        <v>66.511019705942104</v>
      </c>
      <c r="CB121" s="20">
        <f t="shared" si="64"/>
        <v>599.75034494340457</v>
      </c>
      <c r="CC121" s="59">
        <f t="shared" si="65"/>
        <v>893.08367827673783</v>
      </c>
      <c r="CD121" s="59">
        <f ca="1">AVERAGE(OFFSET($CC$3,0,0,'Données projet'!$E$12+1,1))-AVERAGE(OFFSET($H$3,0,0,'Données projet'!$E$12+1,1))</f>
        <v>292.52253679467469</v>
      </c>
      <c r="CE121" s="59">
        <f t="shared" si="94"/>
        <v>155.7114133976541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18.385216676249108</v>
      </c>
      <c r="CL121" s="21">
        <f>EXP(-LN(2)/25)*CL120+(1-EXP(-LN(2)/25))/(LN(2)/25)*Calculateur!CG121*Calculateur!CI121*VLOOKUP('Données projet'!$B$12,Paramètres!$A$1:$I$89,3,0)*0.475*44/12</f>
        <v>22.539401115158302</v>
      </c>
      <c r="CM121" s="21">
        <f>EXP(-LN(2)/2)*CM120+(1-EXP(-LN(2)/2))/(LN(2)/2)*CG121*CJ121*VLOOKUP('Données projet'!$B$12,Paramètres!$A$1:$I$89,3,0)*0.475*44/12</f>
        <v>0.70122467642676989</v>
      </c>
      <c r="CN121" s="22">
        <f t="shared" si="66"/>
        <v>41.625842467834183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-1.1368683772161603E-13</v>
      </c>
      <c r="CU121" s="17">
        <f>CT121*VLOOKUP('Données projet'!$B$13,Paramètres!$A$1:$I$89,3,0)*VLOOKUP('Données projet'!$B$13,Paramètres!$A$1:$I$89,5,0)</f>
        <v>-8.8675733422860506E-14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100.54865094989304</v>
      </c>
      <c r="CZ121" s="59">
        <f t="shared" si="96"/>
        <v>99.95654161405389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10.444496828204898</v>
      </c>
      <c r="DG121" s="21">
        <f>EXP(-LN(2)/25)*DG120+(1-EXP(-LN(2)/25))/(LN(2)/25)*Calculateur!DB121*Calculateur!DD121*VLOOKUP('Données projet'!$B$13,Paramètres!$A$1:$I$89,3,0)*0.475*44/12</f>
        <v>6.9752220971174967</v>
      </c>
      <c r="DH121" s="21">
        <f>EXP(-LN(2)/2)*DH120+(1-EXP(-LN(2)/2))/(LN(2)/2)*DB121*DE121*VLOOKUP('Données projet'!$B$13,Paramètres!$A$1:$I$89,3,0)*0.475*44/12</f>
        <v>1.641458231247137E-6</v>
      </c>
      <c r="DI121" s="22">
        <f t="shared" si="69"/>
        <v>17.419720566780622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4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103.95839999999994</v>
      </c>
      <c r="D122" s="11">
        <f t="shared" si="86"/>
        <v>27.902890560352166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1017.8766288869284</v>
      </c>
      <c r="H122" s="67">
        <f t="shared" si="56"/>
        <v>522.99174772594654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3.4106051316484809E-13</v>
      </c>
      <c r="O122" s="13">
        <f>N122*VLOOKUP('Données projet'!$B$9,Paramètres!$A$1:$I$89,3,0)*VLOOKUP('Données projet'!$B$9,Paramètres!$A$1:$I$89,5,0)</f>
        <v>1.9065282685915009E-13</v>
      </c>
      <c r="P122" s="13">
        <f t="shared" si="87"/>
        <v>2.6568987209435707E-12</v>
      </c>
      <c r="Q122" s="20">
        <f t="shared" si="107"/>
        <v>4.959485612423072E-12</v>
      </c>
      <c r="R122" s="59">
        <f t="shared" si="55"/>
        <v>293.33333333333826</v>
      </c>
      <c r="S122" s="59">
        <f ca="1">AVERAGE(OFFSET($R$3,0,0,'Données projet'!$E$9+1,1))-AVERAGE(OFFSET($H$3,0,0,'Données projet'!$E$9+1,1))</f>
        <v>324.69474275039357</v>
      </c>
      <c r="T122" s="59">
        <f t="shared" si="88"/>
        <v>437.68177084535927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68.105563509904911</v>
      </c>
      <c r="AA122" s="21">
        <f>EXP(-LN(2)/25)*AA121+(1-EXP(-LN(2)/25))/(LN(2)/25)*Calculateur!V122*Calculateur!X122*VLOOKUP('Données projet'!$B$9,Paramètres!$A$1:$I$89,3,0)*0.475*44/12</f>
        <v>14.019891109036521</v>
      </c>
      <c r="AB122" s="21">
        <f>EXP(-LN(2)/2)*AB121+(1-EXP(-LN(2)/2))/(LN(2)/2)*V122*Y122*VLOOKUP('Données projet'!$B$9,Paramètres!$A$1:$I$89,3,0)*0.475*44/12</f>
        <v>1.5065541347915097E-8</v>
      </c>
      <c r="AC122" s="22">
        <f t="shared" si="57"/>
        <v>82.125454634006971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1.1368683772161603E-13</v>
      </c>
      <c r="AJ122" s="13">
        <f>AI122*VLOOKUP('Données projet'!$B$10,Paramètres!$A$1:$I$89,3,0)*VLOOKUP('Données projet'!$B$10,Paramètres!$A$1:$I$89,5,0)</f>
        <v>6.7984728957526396E-14</v>
      </c>
      <c r="AK122" s="13">
        <f t="shared" si="89"/>
        <v>1.0682447123141398E-12</v>
      </c>
      <c r="AL122" s="20">
        <f t="shared" si="58"/>
        <v>1.978932943548152E-12</v>
      </c>
      <c r="AM122" s="59">
        <f t="shared" si="59"/>
        <v>293.3333333333353</v>
      </c>
      <c r="AN122" s="59">
        <f ca="1">AVERAGE(OFFSET($AM$3,0,0,'Données projet'!$E$10+1,1))-AVERAGE(OFFSET($H$3,0,0,'Données projet'!$E$10+1,1))</f>
        <v>214.93913810439858</v>
      </c>
      <c r="AO122" s="59">
        <f t="shared" si="90"/>
        <v>210.65603079265924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43.167319791658095</v>
      </c>
      <c r="AV122" s="21">
        <f>EXP(-LN(2)/25)*AV121+(1-EXP(-LN(2)/25))/(LN(2)/25)*Calculateur!AQ122*Calculateur!AS122*VLOOKUP('Données projet'!$B$10,Paramètres!$A$1:$I$89,3,0)*0.475*44/12</f>
        <v>9.4357839155022223</v>
      </c>
      <c r="AW122" s="21">
        <f>EXP(-LN(2)/2)*AW121+(1-EXP(-LN(2)/2))/(LN(2)/2)*AQ122*AT122*VLOOKUP('Données projet'!$B$10,Paramètres!$A$1:$I$89,3,0)*0.475*44/12</f>
        <v>7.8974557724078556E-8</v>
      </c>
      <c r="AX122" s="21">
        <f t="shared" si="60"/>
        <v>52.603103786134874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10.725999999999999</v>
      </c>
      <c r="BD122" s="12">
        <f>IF('Données projet'!$A$88&gt;35,BD121+BC122-BL121,IF(A122&lt;'Données projet'!$A$88,$BA$205^A122,IF(A122='Données projet'!$A$88,'Données projet'!$B$88,BD121+BC122-BL121)))</f>
        <v>554.27400000000011</v>
      </c>
      <c r="BE122" s="13">
        <f>BD122*VLOOKUP('Données projet'!$B$11,Paramètres!$A$1:$I$89,3,0)*VLOOKUP('Données projet'!$B$11,Paramètres!$A$1:$I$89,5,0)</f>
        <v>501.50711520000004</v>
      </c>
      <c r="BF122" s="13">
        <f t="shared" si="91"/>
        <v>112.07710632845966</v>
      </c>
      <c r="BG122" s="20">
        <f t="shared" si="61"/>
        <v>1068.6591858287338</v>
      </c>
      <c r="BH122" s="59">
        <f t="shared" si="62"/>
        <v>1361.9925191620671</v>
      </c>
      <c r="BI122" s="59">
        <f ca="1">AVERAGE(OFFSET($BH$3,0,0,'Données projet'!$E$11+1,1))-AVERAGE(OFFSET($H$3,0,0,'Données projet'!$E$11+1,1))</f>
        <v>507.69556381324213</v>
      </c>
      <c r="BJ122" s="59">
        <f t="shared" si="92"/>
        <v>129.52638237044044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48.578724724976944</v>
      </c>
      <c r="BQ122" s="21">
        <f>EXP(-LN(2)/25)*BQ121+(1-EXP(-LN(2)/25))/(LN(2)/25)*Calculateur!BL122*Calculateur!BN122*VLOOKUP('Données projet'!$B$11,Paramètres!$A$1:$I$89,3,0)*0.475*44/12</f>
        <v>25.538129341237983</v>
      </c>
      <c r="BR122" s="21">
        <f>EXP(-LN(2)/2)*BR121+(1-EXP(-LN(2)/2))/(LN(2)/2)*BL122*BO122*VLOOKUP('Données projet'!$B$11,Paramètres!$A$1:$I$89,3,0)*0.475*44/12</f>
        <v>2.6707675290943758E-4</v>
      </c>
      <c r="BS122" s="22">
        <f t="shared" si="63"/>
        <v>74.117121142967832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7.0011111111111104</v>
      </c>
      <c r="BY122" s="12">
        <f>IF('Données projet'!$A$114&gt;35,BY121+BX122-CG121,IF(A122&lt;'Données projet'!$A$114,$BV$205^A122,IF(A122='Données projet'!$A$114,'Données projet'!$B$114,BY121+BX122-CG121)))</f>
        <v>294.26666666666665</v>
      </c>
      <c r="BZ122" s="13">
        <f>BY122*VLOOKUP('Données projet'!$B$12,Paramètres!$A$1:$I$89,3,0)*VLOOKUP('Données projet'!$B$12,Paramètres!$A$1:$I$89,5,0)</f>
        <v>284.61471999999998</v>
      </c>
      <c r="CA122" s="13">
        <f t="shared" si="93"/>
        <v>67.941302125940567</v>
      </c>
      <c r="CB122" s="20">
        <f t="shared" si="64"/>
        <v>614.03507186934644</v>
      </c>
      <c r="CC122" s="59">
        <f t="shared" si="65"/>
        <v>907.3684052026797</v>
      </c>
      <c r="CD122" s="59">
        <f ca="1">AVERAGE(OFFSET($CC$3,0,0,'Données projet'!$E$12+1,1))-AVERAGE(OFFSET($H$3,0,0,'Données projet'!$E$12+1,1))</f>
        <v>292.52253679467469</v>
      </c>
      <c r="CE122" s="59">
        <f t="shared" si="94"/>
        <v>155.7114133976541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18.024693791102756</v>
      </c>
      <c r="CL122" s="21">
        <f>EXP(-LN(2)/25)*CL121+(1-EXP(-LN(2)/25))/(LN(2)/25)*Calculateur!CG122*Calculateur!CI122*VLOOKUP('Données projet'!$B$12,Paramètres!$A$1:$I$89,3,0)*0.475*44/12</f>
        <v>21.923060006368708</v>
      </c>
      <c r="CM122" s="21">
        <f>EXP(-LN(2)/2)*CM121+(1-EXP(-LN(2)/2))/(LN(2)/2)*CG122*CJ122*VLOOKUP('Données projet'!$B$12,Paramètres!$A$1:$I$89,3,0)*0.475*44/12</f>
        <v>0.49584072383671157</v>
      </c>
      <c r="CN122" s="22">
        <f t="shared" si="66"/>
        <v>40.443594521308178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-1.1368683772161603E-13</v>
      </c>
      <c r="CU122" s="17">
        <f>CT122*VLOOKUP('Données projet'!$B$13,Paramètres!$A$1:$I$89,3,0)*VLOOKUP('Données projet'!$B$13,Paramètres!$A$1:$I$89,5,0)</f>
        <v>-8.8675733422860506E-14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100.54865094989304</v>
      </c>
      <c r="CZ122" s="59">
        <f t="shared" si="96"/>
        <v>99.95654161405389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10.239686615917829</v>
      </c>
      <c r="DG122" s="21">
        <f>EXP(-LN(2)/25)*DG121+(1-EXP(-LN(2)/25))/(LN(2)/25)*Calculateur!DB122*Calculateur!DD122*VLOOKUP('Données projet'!$B$13,Paramètres!$A$1:$I$89,3,0)*0.475*44/12</f>
        <v>6.7844842820608307</v>
      </c>
      <c r="DH122" s="21">
        <f>EXP(-LN(2)/2)*DH121+(1-EXP(-LN(2)/2))/(LN(2)/2)*DB122*DE122*VLOOKUP('Données projet'!$B$13,Paramètres!$A$1:$I$89,3,0)*0.475*44/12</f>
        <v>1.1606862463493266E-6</v>
      </c>
      <c r="DI122" s="22">
        <f t="shared" si="69"/>
        <v>17.024172058664906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4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104.83199999999994</v>
      </c>
      <c r="D123" s="11">
        <f t="shared" si="86"/>
        <v>28.109974371137692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1026.2187495315889</v>
      </c>
      <c r="H123" s="67">
        <f t="shared" si="56"/>
        <v>524.873938696398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3.4106051316484809E-13</v>
      </c>
      <c r="O123" s="13">
        <f>N123*VLOOKUP('Données projet'!$B$9,Paramètres!$A$1:$I$89,3,0)*VLOOKUP('Données projet'!$B$9,Paramètres!$A$1:$I$89,5,0)</f>
        <v>1.9065282685915009E-13</v>
      </c>
      <c r="P123" s="13">
        <f t="shared" si="87"/>
        <v>2.6568987209435707E-12</v>
      </c>
      <c r="Q123" s="20">
        <f t="shared" si="107"/>
        <v>4.959485612423072E-12</v>
      </c>
      <c r="R123" s="59">
        <f t="shared" si="55"/>
        <v>293.33333333333826</v>
      </c>
      <c r="S123" s="59">
        <f ca="1">AVERAGE(OFFSET($R$3,0,0,'Données projet'!$E$9+1,1))-AVERAGE(OFFSET($H$3,0,0,'Données projet'!$E$9+1,1))</f>
        <v>324.69474275039357</v>
      </c>
      <c r="T123" s="59">
        <f t="shared" si="88"/>
        <v>437.68177084535927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66.770054949767655</v>
      </c>
      <c r="AA123" s="21">
        <f>EXP(-LN(2)/25)*AA122+(1-EXP(-LN(2)/25))/(LN(2)/25)*Calculateur!V123*Calculateur!X123*VLOOKUP('Données projet'!$B$9,Paramètres!$A$1:$I$89,3,0)*0.475*44/12</f>
        <v>13.636516449385887</v>
      </c>
      <c r="AB123" s="21">
        <f>EXP(-LN(2)/2)*AB122+(1-EXP(-LN(2)/2))/(LN(2)/2)*V123*Y123*VLOOKUP('Données projet'!$B$9,Paramètres!$A$1:$I$89,3,0)*0.475*44/12</f>
        <v>1.0652946449357085E-8</v>
      </c>
      <c r="AC123" s="22">
        <f t="shared" si="57"/>
        <v>80.406571409806475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1.1368683772161603E-13</v>
      </c>
      <c r="AJ123" s="13">
        <f>AI123*VLOOKUP('Données projet'!$B$10,Paramètres!$A$1:$I$89,3,0)*VLOOKUP('Données projet'!$B$10,Paramètres!$A$1:$I$89,5,0)</f>
        <v>6.7984728957526396E-14</v>
      </c>
      <c r="AK123" s="13">
        <f t="shared" si="89"/>
        <v>1.0682447123141398E-12</v>
      </c>
      <c r="AL123" s="20">
        <f t="shared" si="58"/>
        <v>1.978932943548152E-12</v>
      </c>
      <c r="AM123" s="59">
        <f t="shared" si="59"/>
        <v>293.3333333333353</v>
      </c>
      <c r="AN123" s="59">
        <f ca="1">AVERAGE(OFFSET($AM$3,0,0,'Données projet'!$E$10+1,1))-AVERAGE(OFFSET($H$3,0,0,'Données projet'!$E$10+1,1))</f>
        <v>214.93913810439858</v>
      </c>
      <c r="AO123" s="59">
        <f t="shared" si="90"/>
        <v>210.65603079265924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42.320834980008932</v>
      </c>
      <c r="AV123" s="21">
        <f>EXP(-LN(2)/25)*AV122+(1-EXP(-LN(2)/25))/(LN(2)/25)*Calculateur!AQ123*Calculateur!AS123*VLOOKUP('Données projet'!$B$10,Paramètres!$A$1:$I$89,3,0)*0.475*44/12</f>
        <v>9.1777619081265041</v>
      </c>
      <c r="AW123" s="21">
        <f>EXP(-LN(2)/2)*AW122+(1-EXP(-LN(2)/2))/(LN(2)/2)*AQ123*AT123*VLOOKUP('Données projet'!$B$10,Paramètres!$A$1:$I$89,3,0)*0.475*44/12</f>
        <v>5.5843445307904383E-8</v>
      </c>
      <c r="AX123" s="21">
        <f t="shared" si="60"/>
        <v>51.498596943978882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>
        <f>VLOOKUP(A123,'Données projet'!$A$87:$I$107,2,0)</f>
        <v>565</v>
      </c>
      <c r="BB123" s="12">
        <f>VLOOKUP(A123,'Données projet'!$A$87:$I$107,9,0)</f>
        <v>10.725999999999999</v>
      </c>
      <c r="BC123" s="12">
        <f t="array" ref="BC123">INDEX(BB:BB,MIN(IF(ISNUMBER(BB123:BB319),ROW(BB123:BB319),"")))</f>
        <v>10.725999999999999</v>
      </c>
      <c r="BD123" s="12">
        <f>IF('Données projet'!$A$88&gt;35,BD122+BC123-BL122,IF(A123&lt;'Données projet'!$A$88,$BA$205^A123,IF(A123='Données projet'!$A$88,'Données projet'!$B$88,BD122+BC123-BL122)))</f>
        <v>565.00000000000011</v>
      </c>
      <c r="BE123" s="13">
        <f>BD123*VLOOKUP('Données projet'!$B$11,Paramètres!$A$1:$I$89,3,0)*VLOOKUP('Données projet'!$B$11,Paramètres!$A$1:$I$89,5,0)</f>
        <v>511.2120000000001</v>
      </c>
      <c r="BF123" s="13">
        <f t="shared" si="91"/>
        <v>113.9913622158443</v>
      </c>
      <c r="BG123" s="20">
        <f t="shared" si="61"/>
        <v>1088.8958558592624</v>
      </c>
      <c r="BH123" s="59">
        <f t="shared" si="62"/>
        <v>1382.2291891925956</v>
      </c>
      <c r="BI123" s="59">
        <f ca="1">AVERAGE(OFFSET($BH$3,0,0,'Données projet'!$E$11+1,1))-AVERAGE(OFFSET($H$3,0,0,'Données projet'!$E$11+1,1))</f>
        <v>507.69556381324213</v>
      </c>
      <c r="BJ123" s="59">
        <f t="shared" si="92"/>
        <v>129.52638237044044</v>
      </c>
      <c r="BK123" s="15">
        <f>IF(ISNA(VLOOKUP(A123,'Données projet'!$A$87:$I$107,3,0)),0,VLOOKUP(A123,'Données projet'!$A$87:$I$107,3,0))</f>
        <v>11</v>
      </c>
      <c r="BL123" s="15">
        <f>IF(ISNA(VLOOKUP(A123,'Données projet'!$A$87:$I$107,4,0)),0,VLOOKUP(A123,'Données projet'!$A$87:$I$107,4,0))</f>
        <v>66.050000000000011</v>
      </c>
      <c r="BM123" s="16">
        <f>IF(ISNA(VLOOKUP(A123,'Données projet'!$A$87:$I$107,5,0)),0%,VLOOKUP(A123,'Données projet'!$A$87:$I$107,5,0)*VLOOKUP('Données projet'!$B$11,Paramètres!$A$1:$I$89,7,0))</f>
        <v>0.215</v>
      </c>
      <c r="BN123" s="16">
        <f>IF(ISNA(VLOOKUP(A123,'Données projet'!$A$87:$I$107,6,0)),0%,VLOOKUP(A123,'Données projet'!$A$87:$I$107,6,0)*VLOOKUP('Données projet'!$B$11,Paramètres!$A$1:$I$89,7,0))</f>
        <v>8.6000000000000007E-2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61.830136046916117</v>
      </c>
      <c r="BQ123" s="21">
        <f>EXP(-LN(2)/25)*BQ122+(1-EXP(-LN(2)/25))/(LN(2)/25)*Calculateur!BL123*Calculateur!BN123*VLOOKUP('Données projet'!$B$11,Paramètres!$A$1:$I$89,3,0)*0.475*44/12</f>
        <v>30.499021404319176</v>
      </c>
      <c r="BR123" s="21">
        <f>EXP(-LN(2)/2)*BR122+(1-EXP(-LN(2)/2))/(LN(2)/2)*BL123*BO123*VLOOKUP('Données projet'!$B$11,Paramètres!$A$1:$I$89,3,0)*0.475*44/12</f>
        <v>1.888517830795473E-4</v>
      </c>
      <c r="BS123" s="22">
        <f t="shared" si="63"/>
        <v>92.329346303018369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7.0011111111111104</v>
      </c>
      <c r="BY123" s="12">
        <f>IF('Données projet'!$A$114&gt;35,BY122+BX123-CG122,IF(A123&lt;'Données projet'!$A$114,$BV$205^A123,IF(A123='Données projet'!$A$114,'Données projet'!$B$114,BY122+BX123-CG122)))</f>
        <v>301.26777777777778</v>
      </c>
      <c r="BZ123" s="13">
        <f>BY123*VLOOKUP('Données projet'!$B$12,Paramètres!$A$1:$I$89,3,0)*VLOOKUP('Données projet'!$B$12,Paramètres!$A$1:$I$89,5,0)</f>
        <v>291.38619466666665</v>
      </c>
      <c r="CA123" s="13">
        <f t="shared" si="93"/>
        <v>69.367628669059272</v>
      </c>
      <c r="CB123" s="20">
        <f t="shared" si="64"/>
        <v>628.31290897638928</v>
      </c>
      <c r="CC123" s="59">
        <f t="shared" si="65"/>
        <v>921.64624230972254</v>
      </c>
      <c r="CD123" s="59">
        <f ca="1">AVERAGE(OFFSET($CC$3,0,0,'Données projet'!$E$12+1,1))-AVERAGE(OFFSET($H$3,0,0,'Données projet'!$E$12+1,1))</f>
        <v>292.52253679467469</v>
      </c>
      <c r="CE123" s="59">
        <f t="shared" si="94"/>
        <v>155.7114133976541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17.671240539836877</v>
      </c>
      <c r="CL123" s="21">
        <f>EXP(-LN(2)/25)*CL122+(1-EXP(-LN(2)/25))/(LN(2)/25)*Calculateur!CG123*Calculateur!CI123*VLOOKUP('Données projet'!$B$12,Paramètres!$A$1:$I$89,3,0)*0.475*44/12</f>
        <v>21.323572777610934</v>
      </c>
      <c r="CM123" s="21">
        <f>EXP(-LN(2)/2)*CM122+(1-EXP(-LN(2)/2))/(LN(2)/2)*CG123*CJ123*VLOOKUP('Données projet'!$B$12,Paramètres!$A$1:$I$89,3,0)*0.475*44/12</f>
        <v>0.350612338213385</v>
      </c>
      <c r="CN123" s="22">
        <f t="shared" si="66"/>
        <v>39.345425655661195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-1.1368683772161603E-13</v>
      </c>
      <c r="CU123" s="17">
        <f>CT123*VLOOKUP('Données projet'!$B$13,Paramètres!$A$1:$I$89,3,0)*VLOOKUP('Données projet'!$B$13,Paramètres!$A$1:$I$89,5,0)</f>
        <v>-8.8675733422860506E-14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100.54865094989304</v>
      </c>
      <c r="CZ123" s="59">
        <f t="shared" si="96"/>
        <v>99.95654161405389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10.038892606971816</v>
      </c>
      <c r="DG123" s="21">
        <f>EXP(-LN(2)/25)*DG122+(1-EXP(-LN(2)/25))/(LN(2)/25)*Calculateur!DB123*Calculateur!DD123*VLOOKUP('Données projet'!$B$13,Paramètres!$A$1:$I$89,3,0)*0.475*44/12</f>
        <v>6.5989622025873551</v>
      </c>
      <c r="DH123" s="21">
        <f>EXP(-LN(2)/2)*DH122+(1-EXP(-LN(2)/2))/(LN(2)/2)*DB123*DE123*VLOOKUP('Données projet'!$B$13,Paramètres!$A$1:$I$89,3,0)*0.475*44/12</f>
        <v>8.2072911562356849E-7</v>
      </c>
      <c r="DI123" s="22">
        <f t="shared" si="69"/>
        <v>16.637855630288289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4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105.70559999999993</v>
      </c>
      <c r="D124" s="11">
        <f t="shared" si="86"/>
        <v>28.316857405559968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1034.5593203236203</v>
      </c>
      <c r="H124" s="67">
        <f t="shared" si="56"/>
        <v>526.75577998135009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3.4106051316484809E-13</v>
      </c>
      <c r="O124" s="13">
        <f>N124*VLOOKUP('Données projet'!$B$9,Paramètres!$A$1:$I$89,3,0)*VLOOKUP('Données projet'!$B$9,Paramètres!$A$1:$I$89,5,0)</f>
        <v>1.9065282685915009E-13</v>
      </c>
      <c r="P124" s="13">
        <f t="shared" si="87"/>
        <v>2.6568987209435707E-12</v>
      </c>
      <c r="Q124" s="20">
        <f t="shared" si="107"/>
        <v>4.959485612423072E-12</v>
      </c>
      <c r="R124" s="59">
        <f t="shared" si="55"/>
        <v>293.33333333333826</v>
      </c>
      <c r="S124" s="59">
        <f ca="1">AVERAGE(OFFSET($R$3,0,0,'Données projet'!$E$9+1,1))-AVERAGE(OFFSET($H$3,0,0,'Données projet'!$E$9+1,1))</f>
        <v>324.69474275039357</v>
      </c>
      <c r="T124" s="59">
        <f t="shared" si="88"/>
        <v>437.68177084535927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65.460734897914904</v>
      </c>
      <c r="AA124" s="21">
        <f>EXP(-LN(2)/25)*AA123+(1-EXP(-LN(2)/25))/(LN(2)/25)*Calculateur!V124*Calculateur!X124*VLOOKUP('Données projet'!$B$9,Paramètres!$A$1:$I$89,3,0)*0.475*44/12</f>
        <v>13.263625189964197</v>
      </c>
      <c r="AB124" s="21">
        <f>EXP(-LN(2)/2)*AB123+(1-EXP(-LN(2)/2))/(LN(2)/2)*V124*Y124*VLOOKUP('Données projet'!$B$9,Paramètres!$A$1:$I$89,3,0)*0.475*44/12</f>
        <v>7.5327706739575486E-9</v>
      </c>
      <c r="AC124" s="22">
        <f t="shared" si="57"/>
        <v>78.724360095411882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1.1368683772161603E-13</v>
      </c>
      <c r="AJ124" s="13">
        <f>AI124*VLOOKUP('Données projet'!$B$10,Paramètres!$A$1:$I$89,3,0)*VLOOKUP('Données projet'!$B$10,Paramètres!$A$1:$I$89,5,0)</f>
        <v>6.7984728957526396E-14</v>
      </c>
      <c r="AK124" s="13">
        <f t="shared" si="89"/>
        <v>1.0682447123141398E-12</v>
      </c>
      <c r="AL124" s="20">
        <f t="shared" si="58"/>
        <v>1.978932943548152E-12</v>
      </c>
      <c r="AM124" s="59">
        <f t="shared" si="59"/>
        <v>293.3333333333353</v>
      </c>
      <c r="AN124" s="59">
        <f ca="1">AVERAGE(OFFSET($AM$3,0,0,'Données projet'!$E$10+1,1))-AVERAGE(OFFSET($H$3,0,0,'Données projet'!$E$10+1,1))</f>
        <v>214.93913810439858</v>
      </c>
      <c r="AO124" s="59">
        <f t="shared" si="90"/>
        <v>210.65603079265924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41.490949219211458</v>
      </c>
      <c r="AV124" s="21">
        <f>EXP(-LN(2)/25)*AV123+(1-EXP(-LN(2)/25))/(LN(2)/25)*Calculateur!AQ124*Calculateur!AS124*VLOOKUP('Données projet'!$B$10,Paramètres!$A$1:$I$89,3,0)*0.475*44/12</f>
        <v>8.9267955261112615</v>
      </c>
      <c r="AW124" s="21">
        <f>EXP(-LN(2)/2)*AW123+(1-EXP(-LN(2)/2))/(LN(2)/2)*AQ124*AT124*VLOOKUP('Données projet'!$B$10,Paramètres!$A$1:$I$89,3,0)*0.475*44/12</f>
        <v>3.9487278862039278E-8</v>
      </c>
      <c r="AX124" s="21">
        <f t="shared" si="60"/>
        <v>50.417744784809997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10.745999999999999</v>
      </c>
      <c r="BD124" s="12">
        <f>IF('Données projet'!$A$88&gt;35,BD123+BC124-BL123,IF(A124&lt;'Données projet'!$A$88,$BA$205^A124,IF(A124='Données projet'!$A$88,'Données projet'!$B$88,BD123+BC124-BL123)))</f>
        <v>509.69600000000008</v>
      </c>
      <c r="BE124" s="13">
        <f>BD124*VLOOKUP('Données projet'!$B$11,Paramètres!$A$1:$I$89,3,0)*VLOOKUP('Données projet'!$B$11,Paramètres!$A$1:$I$89,5,0)</f>
        <v>461.17294080000005</v>
      </c>
      <c r="BF124" s="13">
        <f t="shared" si="91"/>
        <v>104.07397295861892</v>
      </c>
      <c r="BG124" s="20">
        <f t="shared" si="61"/>
        <v>984.47170812959484</v>
      </c>
      <c r="BH124" s="59">
        <f t="shared" si="62"/>
        <v>1277.8050414629281</v>
      </c>
      <c r="BI124" s="59">
        <f ca="1">AVERAGE(OFFSET($BH$3,0,0,'Données projet'!$E$11+1,1))-AVERAGE(OFFSET($H$3,0,0,'Données projet'!$E$11+1,1))</f>
        <v>507.69556381324213</v>
      </c>
      <c r="BJ124" s="59">
        <f t="shared" si="92"/>
        <v>129.52638237044044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60.617684791695261</v>
      </c>
      <c r="BQ124" s="21">
        <f>EXP(-LN(2)/25)*BQ123+(1-EXP(-LN(2)/25))/(LN(2)/25)*Calculateur!BL124*Calculateur!BN124*VLOOKUP('Données projet'!$B$11,Paramètres!$A$1:$I$89,3,0)*0.475*44/12</f>
        <v>29.665024060144241</v>
      </c>
      <c r="BR124" s="21">
        <f>EXP(-LN(2)/2)*BR123+(1-EXP(-LN(2)/2))/(LN(2)/2)*BL124*BO124*VLOOKUP('Données projet'!$B$11,Paramètres!$A$1:$I$89,3,0)*0.475*44/12</f>
        <v>1.3353837645471879E-4</v>
      </c>
      <c r="BS124" s="22">
        <f t="shared" si="63"/>
        <v>90.282842390215961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7.0011111111111104</v>
      </c>
      <c r="BY124" s="12">
        <f>IF('Données projet'!$A$114&gt;35,BY123+BX124-CG123,IF(A124&lt;'Données projet'!$A$114,$BV$205^A124,IF(A124='Données projet'!$A$114,'Données projet'!$B$114,BY123+BX124-CG123)))</f>
        <v>308.26888888888891</v>
      </c>
      <c r="BZ124" s="13">
        <f>BY124*VLOOKUP('Données projet'!$B$12,Paramètres!$A$1:$I$89,3,0)*VLOOKUP('Données projet'!$B$12,Paramètres!$A$1:$I$89,5,0)</f>
        <v>298.15766933333333</v>
      </c>
      <c r="CA124" s="13">
        <f t="shared" si="93"/>
        <v>70.790101845868477</v>
      </c>
      <c r="CB124" s="20">
        <f t="shared" si="64"/>
        <v>642.58403480377649</v>
      </c>
      <c r="CC124" s="59">
        <f t="shared" si="65"/>
        <v>935.91736813710986</v>
      </c>
      <c r="CD124" s="59">
        <f ca="1">AVERAGE(OFFSET($CC$3,0,0,'Données projet'!$E$12+1,1))-AVERAGE(OFFSET($H$3,0,0,'Données projet'!$E$12+1,1))</f>
        <v>292.52253679467469</v>
      </c>
      <c r="CE124" s="59">
        <f t="shared" si="94"/>
        <v>155.7114133976541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17.324718291243126</v>
      </c>
      <c r="CL124" s="21">
        <f>EXP(-LN(2)/25)*CL123+(1-EXP(-LN(2)/25))/(LN(2)/25)*Calculateur!CG124*Calculateur!CI124*VLOOKUP('Données projet'!$B$12,Paramètres!$A$1:$I$89,3,0)*0.475*44/12</f>
        <v>20.740478558649208</v>
      </c>
      <c r="CM124" s="21">
        <f>EXP(-LN(2)/2)*CM123+(1-EXP(-LN(2)/2))/(LN(2)/2)*CG124*CJ124*VLOOKUP('Données projet'!$B$12,Paramètres!$A$1:$I$89,3,0)*0.475*44/12</f>
        <v>0.24792036191835584</v>
      </c>
      <c r="CN124" s="22">
        <f t="shared" si="66"/>
        <v>38.313117211810685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-1.1368683772161603E-13</v>
      </c>
      <c r="CU124" s="17">
        <f>CT124*VLOOKUP('Données projet'!$B$13,Paramètres!$A$1:$I$89,3,0)*VLOOKUP('Données projet'!$B$13,Paramètres!$A$1:$I$89,5,0)</f>
        <v>-8.8675733422860506E-14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100.54865094989304</v>
      </c>
      <c r="CZ124" s="59">
        <f t="shared" si="96"/>
        <v>99.95654161405389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9.84203604606898</v>
      </c>
      <c r="DG124" s="21">
        <f>EXP(-LN(2)/25)*DG123+(1-EXP(-LN(2)/25))/(LN(2)/25)*Calculateur!DB124*Calculateur!DD124*VLOOKUP('Données projet'!$B$13,Paramètres!$A$1:$I$89,3,0)*0.475*44/12</f>
        <v>6.4185132341332638</v>
      </c>
      <c r="DH124" s="21">
        <f>EXP(-LN(2)/2)*DH123+(1-EXP(-LN(2)/2))/(LN(2)/2)*DB124*DE124*VLOOKUP('Données projet'!$B$13,Paramètres!$A$1:$I$89,3,0)*0.475*44/12</f>
        <v>5.803431231746633E-7</v>
      </c>
      <c r="DI124" s="22">
        <f t="shared" si="69"/>
        <v>16.260549860545368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4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106.57919999999993</v>
      </c>
      <c r="D125" s="11">
        <f t="shared" si="86"/>
        <v>28.523541515222913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1042.8983555561063</v>
      </c>
      <c r="H125" s="67">
        <f t="shared" si="56"/>
        <v>528.63727480567968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3.4106051316484809E-13</v>
      </c>
      <c r="O125" s="13">
        <f>N125*VLOOKUP('Données projet'!$B$9,Paramètres!$A$1:$I$89,3,0)*VLOOKUP('Données projet'!$B$9,Paramètres!$A$1:$I$89,5,0)</f>
        <v>1.9065282685915009E-13</v>
      </c>
      <c r="P125" s="13">
        <f t="shared" si="87"/>
        <v>2.6568987209435707E-12</v>
      </c>
      <c r="Q125" s="20">
        <f t="shared" si="107"/>
        <v>4.959485612423072E-12</v>
      </c>
      <c r="R125" s="59">
        <f t="shared" si="55"/>
        <v>293.33333333333826</v>
      </c>
      <c r="S125" s="59">
        <f ca="1">AVERAGE(OFFSET($R$3,0,0,'Données projet'!$E$9+1,1))-AVERAGE(OFFSET($H$3,0,0,'Données projet'!$E$9+1,1))</f>
        <v>324.69474275039357</v>
      </c>
      <c r="T125" s="59">
        <f t="shared" si="88"/>
        <v>437.68177084535927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64.177089813672609</v>
      </c>
      <c r="AA125" s="21">
        <f>EXP(-LN(2)/25)*AA124+(1-EXP(-LN(2)/25))/(LN(2)/25)*Calculateur!V125*Calculateur!X125*VLOOKUP('Données projet'!$B$9,Paramètres!$A$1:$I$89,3,0)*0.475*44/12</f>
        <v>12.900930661640892</v>
      </c>
      <c r="AB125" s="21">
        <f>EXP(-LN(2)/2)*AB124+(1-EXP(-LN(2)/2))/(LN(2)/2)*V125*Y125*VLOOKUP('Données projet'!$B$9,Paramètres!$A$1:$I$89,3,0)*0.475*44/12</f>
        <v>5.3264732246785426E-9</v>
      </c>
      <c r="AC125" s="22">
        <f t="shared" si="57"/>
        <v>77.078020480639978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1.1368683772161603E-13</v>
      </c>
      <c r="AJ125" s="13">
        <f>AI125*VLOOKUP('Données projet'!$B$10,Paramètres!$A$1:$I$89,3,0)*VLOOKUP('Données projet'!$B$10,Paramètres!$A$1:$I$89,5,0)</f>
        <v>6.7984728957526396E-14</v>
      </c>
      <c r="AK125" s="13">
        <f t="shared" si="89"/>
        <v>1.0682447123141398E-12</v>
      </c>
      <c r="AL125" s="20">
        <f t="shared" si="58"/>
        <v>1.978932943548152E-12</v>
      </c>
      <c r="AM125" s="59">
        <f t="shared" si="59"/>
        <v>293.3333333333353</v>
      </c>
      <c r="AN125" s="59">
        <f ca="1">AVERAGE(OFFSET($AM$3,0,0,'Données projet'!$E$10+1,1))-AVERAGE(OFFSET($H$3,0,0,'Données projet'!$E$10+1,1))</f>
        <v>214.93913810439858</v>
      </c>
      <c r="AO125" s="59">
        <f t="shared" si="90"/>
        <v>210.65603079265924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40.677337012002887</v>
      </c>
      <c r="AV125" s="21">
        <f>EXP(-LN(2)/25)*AV124+(1-EXP(-LN(2)/25))/(LN(2)/25)*Calculateur!AQ125*Calculateur!AS125*VLOOKUP('Données projet'!$B$10,Paramètres!$A$1:$I$89,3,0)*0.475*44/12</f>
        <v>8.682691833009974</v>
      </c>
      <c r="AW125" s="21">
        <f>EXP(-LN(2)/2)*AW124+(1-EXP(-LN(2)/2))/(LN(2)/2)*AQ125*AT125*VLOOKUP('Données projet'!$B$10,Paramètres!$A$1:$I$89,3,0)*0.475*44/12</f>
        <v>2.7921722653952191E-8</v>
      </c>
      <c r="AX125" s="21">
        <f t="shared" si="60"/>
        <v>49.360028872934585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10.745999999999999</v>
      </c>
      <c r="BD125" s="12">
        <f>IF('Données projet'!$A$88&gt;35,BD124+BC125-BL124,IF(A125&lt;'Données projet'!$A$88,$BA$205^A125,IF(A125='Données projet'!$A$88,'Données projet'!$B$88,BD124+BC125-BL124)))</f>
        <v>520.44200000000012</v>
      </c>
      <c r="BE125" s="13">
        <f>BD125*VLOOKUP('Données projet'!$B$11,Paramètres!$A$1:$I$89,3,0)*VLOOKUP('Données projet'!$B$11,Paramètres!$A$1:$I$89,5,0)</f>
        <v>470.89592160000012</v>
      </c>
      <c r="BF125" s="13">
        <f t="shared" si="91"/>
        <v>106.0104143991686</v>
      </c>
      <c r="BG125" s="20">
        <f t="shared" si="61"/>
        <v>1004.7785351985522</v>
      </c>
      <c r="BH125" s="59">
        <f t="shared" si="62"/>
        <v>1298.1118685318854</v>
      </c>
      <c r="BI125" s="59">
        <f ca="1">AVERAGE(OFFSET($BH$3,0,0,'Données projet'!$E$11+1,1))-AVERAGE(OFFSET($H$3,0,0,'Données projet'!$E$11+1,1))</f>
        <v>507.69556381324213</v>
      </c>
      <c r="BJ125" s="59">
        <f t="shared" si="92"/>
        <v>129.52638237044044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59.429008966067045</v>
      </c>
      <c r="BQ125" s="21">
        <f>EXP(-LN(2)/25)*BQ124+(1-EXP(-LN(2)/25))/(LN(2)/25)*Calculateur!BL125*Calculateur!BN125*VLOOKUP('Données projet'!$B$11,Paramètres!$A$1:$I$89,3,0)*0.475*44/12</f>
        <v>28.85383241720378</v>
      </c>
      <c r="BR125" s="21">
        <f>EXP(-LN(2)/2)*BR124+(1-EXP(-LN(2)/2))/(LN(2)/2)*BL125*BO125*VLOOKUP('Données projet'!$B$11,Paramètres!$A$1:$I$89,3,0)*0.475*44/12</f>
        <v>9.4425891539773652E-5</v>
      </c>
      <c r="BS125" s="22">
        <f t="shared" si="63"/>
        <v>88.282935809162367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>
        <f>VLOOKUP(A125,'Données projet'!$A$113:$I$133,2,0)</f>
        <v>315.27</v>
      </c>
      <c r="BW125" s="12">
        <f>VLOOKUP(A125,'Données projet'!$A$113:$I$133,9,0)</f>
        <v>7.0011111111111104</v>
      </c>
      <c r="BX125" s="12">
        <f t="array" ref="BX125">INDEX(BW:BW,MIN(IF(ISNUMBER(BW125:BW321),ROW(BW125:BW321),"")))</f>
        <v>7.0011111111111104</v>
      </c>
      <c r="BY125" s="12">
        <f>IF('Données projet'!$A$114&gt;35,BY124+BX125-CG124,IF(A125&lt;'Données projet'!$A$114,$BV$205^A125,IF(A125='Données projet'!$A$114,'Données projet'!$B$114,BY124+BX125-CG124)))</f>
        <v>315.27000000000004</v>
      </c>
      <c r="BZ125" s="13">
        <f>BY125*VLOOKUP('Données projet'!$B$12,Paramètres!$A$1:$I$89,3,0)*VLOOKUP('Données projet'!$B$12,Paramètres!$A$1:$I$89,5,0)</f>
        <v>304.92914400000006</v>
      </c>
      <c r="CA125" s="13">
        <f t="shared" si="93"/>
        <v>72.20881924493338</v>
      </c>
      <c r="CB125" s="20">
        <f t="shared" si="64"/>
        <v>656.84861931825901</v>
      </c>
      <c r="CC125" s="59">
        <f t="shared" si="65"/>
        <v>950.18195265159238</v>
      </c>
      <c r="CD125" s="59">
        <f ca="1">AVERAGE(OFFSET($CC$3,0,0,'Données projet'!$E$12+1,1))-AVERAGE(OFFSET($H$3,0,0,'Données projet'!$E$12+1,1))</f>
        <v>292.52253679467469</v>
      </c>
      <c r="CE125" s="59">
        <f t="shared" si="94"/>
        <v>155.7114133976541</v>
      </c>
      <c r="CF125" s="15">
        <f>IF(ISNA(VLOOKUP(A125,'Données projet'!$A$113:$I$133,3,0)),0,VLOOKUP(A125,'Données projet'!$A$113:$I$133,3,0))</f>
        <v>8</v>
      </c>
      <c r="CG125" s="15">
        <f>IF(ISNA(VLOOKUP(A125,'Données projet'!$A$113:$I$133,4,0)),0,VLOOKUP(A125,'Données projet'!$A$113:$I$133,4,0))</f>
        <v>45.829999999999984</v>
      </c>
      <c r="CH125" s="16">
        <f>IF(ISNA(VLOOKUP(A125,'Données projet'!$A$113:$I$133,5,0)),0%,VLOOKUP(A125,'Données projet'!$A$113:$I$133,5,0)*VLOOKUP('Données projet'!$B$12,Paramètres!$A$1:$I$89,7,0))</f>
        <v>0.15049999999999999</v>
      </c>
      <c r="CI125" s="16">
        <f>IF(ISNA(VLOOKUP(A125,'Données projet'!$A$113:$I$133,6,0)),0%,VLOOKUP(A125,'Données projet'!$A$113:$I$133,6,0)*VLOOKUP('Données projet'!$B$12,Paramètres!$A$1:$I$89,7,0))</f>
        <v>8.6000000000000007E-2</v>
      </c>
      <c r="CJ125" s="16">
        <f>IF(ISNA(VLOOKUP(A125,'Données projet'!$A$113:$I$133,7,0)),0%,VLOOKUP(A125,'Données projet'!$A$113:$I$133,7,0))</f>
        <v>0.1</v>
      </c>
      <c r="CK125" s="21">
        <f>EXP(-LN(2)/35)*CK124+(1-EXP(-LN(2)/35))/(LN(2)/35)*CG125*CH125*VLOOKUP('Données projet'!$B$12,Paramètres!$A$1:$I$89,3,0)*0.475*44/12</f>
        <v>24.359782784759499</v>
      </c>
      <c r="CL125" s="21">
        <f>EXP(-LN(2)/25)*CL124+(1-EXP(-LN(2)/25))/(LN(2)/25)*Calculateur!CG125*Calculateur!CI125*VLOOKUP('Données projet'!$B$12,Paramètres!$A$1:$I$89,3,0)*0.475*44/12</f>
        <v>24.370902960295656</v>
      </c>
      <c r="CM125" s="21">
        <f>EXP(-LN(2)/2)*CM124+(1-EXP(-LN(2)/2))/(LN(2)/2)*CG125*CJ125*VLOOKUP('Données projet'!$B$12,Paramètres!$A$1:$I$89,3,0)*0.475*44/12</f>
        <v>4.3576567884751078</v>
      </c>
      <c r="CN125" s="22">
        <f t="shared" si="66"/>
        <v>53.088342533530266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-1.1368683772161603E-13</v>
      </c>
      <c r="CU125" s="17">
        <f>CT125*VLOOKUP('Données projet'!$B$13,Paramètres!$A$1:$I$89,3,0)*VLOOKUP('Données projet'!$B$13,Paramètres!$A$1:$I$89,5,0)</f>
        <v>-8.8675733422860506E-14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100.54865094989304</v>
      </c>
      <c r="CZ125" s="59">
        <f t="shared" si="96"/>
        <v>99.95654161405389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9.6490397222548037</v>
      </c>
      <c r="DG125" s="21">
        <f>EXP(-LN(2)/25)*DG124+(1-EXP(-LN(2)/25))/(LN(2)/25)*Calculateur!DB125*Calculateur!DD125*VLOOKUP('Données projet'!$B$13,Paramètres!$A$1:$I$89,3,0)*0.475*44/12</f>
        <v>6.2429986522109484</v>
      </c>
      <c r="DH125" s="21">
        <f>EXP(-LN(2)/2)*DH124+(1-EXP(-LN(2)/2))/(LN(2)/2)*DB125*DE125*VLOOKUP('Données projet'!$B$13,Paramètres!$A$1:$I$89,3,0)*0.475*44/12</f>
        <v>4.1036455781178424E-7</v>
      </c>
      <c r="DI125" s="22">
        <f t="shared" si="69"/>
        <v>15.89203878483031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4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107.45279999999993</v>
      </c>
      <c r="D126" s="11">
        <f t="shared" si="86"/>
        <v>28.730028519623875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1051.2358692742889</v>
      </c>
      <c r="H126" s="67">
        <f t="shared" si="56"/>
        <v>530.51842633834474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3.4106051316484809E-13</v>
      </c>
      <c r="O126" s="13">
        <f>N126*VLOOKUP('Données projet'!$B$9,Paramètres!$A$1:$I$89,3,0)*VLOOKUP('Données projet'!$B$9,Paramètres!$A$1:$I$89,5,0)</f>
        <v>1.9065282685915009E-13</v>
      </c>
      <c r="P126" s="13">
        <f t="shared" si="87"/>
        <v>2.6568987209435707E-12</v>
      </c>
      <c r="Q126" s="20">
        <f t="shared" si="107"/>
        <v>4.959485612423072E-12</v>
      </c>
      <c r="R126" s="59">
        <f t="shared" si="55"/>
        <v>293.33333333333826</v>
      </c>
      <c r="S126" s="59">
        <f ca="1">AVERAGE(OFFSET($R$3,0,0,'Données projet'!$E$9+1,1))-AVERAGE(OFFSET($H$3,0,0,'Données projet'!$E$9+1,1))</f>
        <v>324.69474275039357</v>
      </c>
      <c r="T126" s="59">
        <f t="shared" si="88"/>
        <v>437.68177084535927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62.91861622658611</v>
      </c>
      <c r="AA126" s="21">
        <f>EXP(-LN(2)/25)*AA125+(1-EXP(-LN(2)/25))/(LN(2)/25)*Calculateur!V126*Calculateur!X126*VLOOKUP('Données projet'!$B$9,Paramètres!$A$1:$I$89,3,0)*0.475*44/12</f>
        <v>12.548154034267863</v>
      </c>
      <c r="AB126" s="21">
        <f>EXP(-LN(2)/2)*AB125+(1-EXP(-LN(2)/2))/(LN(2)/2)*V126*Y126*VLOOKUP('Données projet'!$B$9,Paramètres!$A$1:$I$89,3,0)*0.475*44/12</f>
        <v>3.7663853369787743E-9</v>
      </c>
      <c r="AC126" s="22">
        <f t="shared" si="57"/>
        <v>75.466770264620365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1.1368683772161603E-13</v>
      </c>
      <c r="AJ126" s="13">
        <f>AI126*VLOOKUP('Données projet'!$B$10,Paramètres!$A$1:$I$89,3,0)*VLOOKUP('Données projet'!$B$10,Paramètres!$A$1:$I$89,5,0)</f>
        <v>6.7984728957526396E-14</v>
      </c>
      <c r="AK126" s="13">
        <f t="shared" si="89"/>
        <v>1.0682447123141398E-12</v>
      </c>
      <c r="AL126" s="20">
        <f t="shared" si="58"/>
        <v>1.978932943548152E-12</v>
      </c>
      <c r="AM126" s="59">
        <f t="shared" si="59"/>
        <v>293.3333333333353</v>
      </c>
      <c r="AN126" s="59">
        <f ca="1">AVERAGE(OFFSET($AM$3,0,0,'Données projet'!$E$10+1,1))-AVERAGE(OFFSET($H$3,0,0,'Données projet'!$E$10+1,1))</f>
        <v>214.93913810439858</v>
      </c>
      <c r="AO126" s="59">
        <f t="shared" si="90"/>
        <v>210.65603079265924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39.879679243923235</v>
      </c>
      <c r="AV126" s="21">
        <f>EXP(-LN(2)/25)*AV125+(1-EXP(-LN(2)/25))/(LN(2)/25)*Calculateur!AQ126*Calculateur!AS126*VLOOKUP('Données projet'!$B$10,Paramètres!$A$1:$I$89,3,0)*0.475*44/12</f>
        <v>8.4452631682333976</v>
      </c>
      <c r="AW126" s="21">
        <f>EXP(-LN(2)/2)*AW125+(1-EXP(-LN(2)/2))/(LN(2)/2)*AQ126*AT126*VLOOKUP('Données projet'!$B$10,Paramètres!$A$1:$I$89,3,0)*0.475*44/12</f>
        <v>1.9743639431019639E-8</v>
      </c>
      <c r="AX126" s="21">
        <f t="shared" si="60"/>
        <v>48.324942431900269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10.745999999999999</v>
      </c>
      <c r="BD126" s="12">
        <f>IF('Données projet'!$A$88&gt;35,BD125+BC126-BL125,IF(A126&lt;'Données projet'!$A$88,$BA$205^A126,IF(A126='Données projet'!$A$88,'Données projet'!$B$88,BD125+BC126-BL125)))</f>
        <v>531.1880000000001</v>
      </c>
      <c r="BE126" s="13">
        <f>BD126*VLOOKUP('Données projet'!$B$11,Paramètres!$A$1:$I$89,3,0)*VLOOKUP('Données projet'!$B$11,Paramètres!$A$1:$I$89,5,0)</f>
        <v>480.61890240000002</v>
      </c>
      <c r="BF126" s="13">
        <f t="shared" si="91"/>
        <v>107.9422070202726</v>
      </c>
      <c r="BG126" s="20">
        <f t="shared" si="61"/>
        <v>1025.0772655736414</v>
      </c>
      <c r="BH126" s="59">
        <f t="shared" si="62"/>
        <v>1318.4105989069747</v>
      </c>
      <c r="BI126" s="59">
        <f ca="1">AVERAGE(OFFSET($BH$3,0,0,'Données projet'!$E$11+1,1))-AVERAGE(OFFSET($H$3,0,0,'Données projet'!$E$11+1,1))</f>
        <v>507.69556381324213</v>
      </c>
      <c r="BJ126" s="59">
        <f t="shared" si="92"/>
        <v>129.52638237044044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58.263642348358736</v>
      </c>
      <c r="BQ126" s="21">
        <f>EXP(-LN(2)/25)*BQ125+(1-EXP(-LN(2)/25))/(LN(2)/25)*Calculateur!BL126*Calculateur!BN126*VLOOKUP('Données projet'!$B$11,Paramètres!$A$1:$I$89,3,0)*0.475*44/12</f>
        <v>28.06482285239824</v>
      </c>
      <c r="BR126" s="21">
        <f>EXP(-LN(2)/2)*BR125+(1-EXP(-LN(2)/2))/(LN(2)/2)*BL126*BO126*VLOOKUP('Données projet'!$B$11,Paramètres!$A$1:$I$89,3,0)*0.475*44/12</f>
        <v>6.6769188227359396E-5</v>
      </c>
      <c r="BS126" s="22">
        <f t="shared" si="63"/>
        <v>86.328531969945203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7.1129999999999995</v>
      </c>
      <c r="BY126" s="12">
        <f>IF('Données projet'!$A$114&gt;35,BY125+BX126-CG125,IF(A126&lt;'Données projet'!$A$114,$BV$205^A126,IF(A126='Données projet'!$A$114,'Données projet'!$B$114,BY125+BX126-CG125)))</f>
        <v>276.55300000000005</v>
      </c>
      <c r="BZ126" s="13">
        <f>BY126*VLOOKUP('Données projet'!$B$12,Paramètres!$A$1:$I$89,3,0)*VLOOKUP('Données projet'!$B$12,Paramètres!$A$1:$I$89,5,0)</f>
        <v>267.48206160000007</v>
      </c>
      <c r="CA126" s="13">
        <f t="shared" si="93"/>
        <v>64.314608166975702</v>
      </c>
      <c r="CB126" s="20">
        <f t="shared" si="64"/>
        <v>577.87919984414941</v>
      </c>
      <c r="CC126" s="59">
        <f t="shared" si="65"/>
        <v>871.21253317748278</v>
      </c>
      <c r="CD126" s="59">
        <f ca="1">AVERAGE(OFFSET($CC$3,0,0,'Données projet'!$E$12+1,1))-AVERAGE(OFFSET($H$3,0,0,'Données projet'!$E$12+1,1))</f>
        <v>292.52253679467469</v>
      </c>
      <c r="CE126" s="59">
        <f t="shared" si="94"/>
        <v>155.7114133976541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23.882102302350759</v>
      </c>
      <c r="CL126" s="21">
        <f>EXP(-LN(2)/25)*CL125+(1-EXP(-LN(2)/25))/(LN(2)/25)*Calculateur!CG126*Calculateur!CI126*VLOOKUP('Données projet'!$B$12,Paramètres!$A$1:$I$89,3,0)*0.475*44/12</f>
        <v>23.704479337236286</v>
      </c>
      <c r="CM126" s="21">
        <f>EXP(-LN(2)/2)*CM125+(1-EXP(-LN(2)/2))/(LN(2)/2)*CG126*CJ126*VLOOKUP('Données projet'!$B$12,Paramètres!$A$1:$I$89,3,0)*0.475*44/12</f>
        <v>3.0813286652143419</v>
      </c>
      <c r="CN126" s="22">
        <f t="shared" si="66"/>
        <v>50.667910304801389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-1.1368683772161603E-13</v>
      </c>
      <c r="CU126" s="17">
        <f>CT126*VLOOKUP('Données projet'!$B$13,Paramètres!$A$1:$I$89,3,0)*VLOOKUP('Données projet'!$B$13,Paramètres!$A$1:$I$89,5,0)</f>
        <v>-8.8675733422860506E-14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100.54865094989304</v>
      </c>
      <c r="CZ126" s="59">
        <f t="shared" si="96"/>
        <v>99.95654161405389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9.4598279386344899</v>
      </c>
      <c r="DG126" s="21">
        <f>EXP(-LN(2)/25)*DG125+(1-EXP(-LN(2)/25))/(LN(2)/25)*Calculateur!DB126*Calculateur!DD126*VLOOKUP('Données projet'!$B$13,Paramètres!$A$1:$I$89,3,0)*0.475*44/12</f>
        <v>6.0722835257612093</v>
      </c>
      <c r="DH126" s="21">
        <f>EXP(-LN(2)/2)*DH125+(1-EXP(-LN(2)/2))/(LN(2)/2)*DB126*DE126*VLOOKUP('Données projet'!$B$13,Paramètres!$A$1:$I$89,3,0)*0.475*44/12</f>
        <v>2.9017156158733165E-7</v>
      </c>
      <c r="DI126" s="22">
        <f t="shared" si="69"/>
        <v>15.532111754567261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4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108.32639999999992</v>
      </c>
      <c r="D127" s="11">
        <f t="shared" si="86"/>
        <v>28.936320206966858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1059.5718752818489</v>
      </c>
      <c r="H127" s="67">
        <f t="shared" si="56"/>
        <v>532.39923769380039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3.4106051316484809E-13</v>
      </c>
      <c r="O127" s="13">
        <f>N127*VLOOKUP('Données projet'!$B$9,Paramètres!$A$1:$I$89,3,0)*VLOOKUP('Données projet'!$B$9,Paramètres!$A$1:$I$89,5,0)</f>
        <v>1.9065282685915009E-13</v>
      </c>
      <c r="P127" s="13">
        <f t="shared" si="87"/>
        <v>2.6568987209435707E-12</v>
      </c>
      <c r="Q127" s="20">
        <f t="shared" si="107"/>
        <v>4.959485612423072E-12</v>
      </c>
      <c r="R127" s="59">
        <f t="shared" si="55"/>
        <v>293.33333333333826</v>
      </c>
      <c r="S127" s="59">
        <f ca="1">AVERAGE(OFFSET($R$3,0,0,'Données projet'!$E$9+1,1))-AVERAGE(OFFSET($H$3,0,0,'Données projet'!$E$9+1,1))</f>
        <v>324.69474275039357</v>
      </c>
      <c r="T127" s="59">
        <f t="shared" si="88"/>
        <v>437.68177084535927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61.684820538949282</v>
      </c>
      <c r="AA127" s="21">
        <f>EXP(-LN(2)/25)*AA126+(1-EXP(-LN(2)/25))/(LN(2)/25)*Calculateur!V127*Calculateur!X127*VLOOKUP('Données projet'!$B$9,Paramètres!$A$1:$I$89,3,0)*0.475*44/12</f>
        <v>12.205024102322067</v>
      </c>
      <c r="AB127" s="21">
        <f>EXP(-LN(2)/2)*AB126+(1-EXP(-LN(2)/2))/(LN(2)/2)*V127*Y127*VLOOKUP('Données projet'!$B$9,Paramètres!$A$1:$I$89,3,0)*0.475*44/12</f>
        <v>2.6632366123392713E-9</v>
      </c>
      <c r="AC127" s="22">
        <f t="shared" si="57"/>
        <v>73.889844643934595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1.1368683772161603E-13</v>
      </c>
      <c r="AJ127" s="13">
        <f>AI127*VLOOKUP('Données projet'!$B$10,Paramètres!$A$1:$I$89,3,0)*VLOOKUP('Données projet'!$B$10,Paramètres!$A$1:$I$89,5,0)</f>
        <v>6.7984728957526396E-14</v>
      </c>
      <c r="AK127" s="13">
        <f t="shared" si="89"/>
        <v>1.0682447123141398E-12</v>
      </c>
      <c r="AL127" s="20">
        <f t="shared" si="58"/>
        <v>1.978932943548152E-12</v>
      </c>
      <c r="AM127" s="59">
        <f t="shared" si="59"/>
        <v>293.3333333333353</v>
      </c>
      <c r="AN127" s="59">
        <f ca="1">AVERAGE(OFFSET($AM$3,0,0,'Données projet'!$E$10+1,1))-AVERAGE(OFFSET($H$3,0,0,'Données projet'!$E$10+1,1))</f>
        <v>214.93913810439858</v>
      </c>
      <c r="AO127" s="59">
        <f t="shared" si="90"/>
        <v>210.65603079265924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39.09766305815242</v>
      </c>
      <c r="AV127" s="21">
        <f>EXP(-LN(2)/25)*AV126+(1-EXP(-LN(2)/25))/(LN(2)/25)*Calculateur!AQ127*Calculateur!AS127*VLOOKUP('Données projet'!$B$10,Paramètres!$A$1:$I$89,3,0)*0.475*44/12</f>
        <v>8.2143270027809674</v>
      </c>
      <c r="AW127" s="21">
        <f>EXP(-LN(2)/2)*AW126+(1-EXP(-LN(2)/2))/(LN(2)/2)*AQ127*AT127*VLOOKUP('Données projet'!$B$10,Paramètres!$A$1:$I$89,3,0)*0.475*44/12</f>
        <v>1.3960861326976096E-8</v>
      </c>
      <c r="AX127" s="21">
        <f t="shared" si="60"/>
        <v>47.311990074894254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10.745999999999999</v>
      </c>
      <c r="BD127" s="12">
        <f>IF('Données projet'!$A$88&gt;35,BD126+BC127-BL126,IF(A127&lt;'Données projet'!$A$88,$BA$205^A127,IF(A127='Données projet'!$A$88,'Données projet'!$B$88,BD126+BC127-BL126)))</f>
        <v>541.93400000000008</v>
      </c>
      <c r="BE127" s="13">
        <f>BD127*VLOOKUP('Données projet'!$B$11,Paramètres!$A$1:$I$89,3,0)*VLOOKUP('Données projet'!$B$11,Paramètres!$A$1:$I$89,5,0)</f>
        <v>490.34188320000004</v>
      </c>
      <c r="BF127" s="13">
        <f t="shared" si="91"/>
        <v>109.86945570602957</v>
      </c>
      <c r="BG127" s="20">
        <f t="shared" si="61"/>
        <v>1045.3680819280014</v>
      </c>
      <c r="BH127" s="59">
        <f t="shared" si="62"/>
        <v>1338.7014152613347</v>
      </c>
      <c r="BI127" s="59">
        <f ca="1">AVERAGE(OFFSET($BH$3,0,0,'Données projet'!$E$11+1,1))-AVERAGE(OFFSET($H$3,0,0,'Données projet'!$E$11+1,1))</f>
        <v>507.69556381324213</v>
      </c>
      <c r="BJ127" s="59">
        <f t="shared" si="92"/>
        <v>129.52638237044044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57.121127859220238</v>
      </c>
      <c r="BQ127" s="21">
        <f>EXP(-LN(2)/25)*BQ126+(1-EXP(-LN(2)/25))/(LN(2)/25)*Calculateur!BL127*Calculateur!BN127*VLOOKUP('Données projet'!$B$11,Paramètres!$A$1:$I$89,3,0)*0.475*44/12</f>
        <v>27.297388795634518</v>
      </c>
      <c r="BR127" s="21">
        <f>EXP(-LN(2)/2)*BR126+(1-EXP(-LN(2)/2))/(LN(2)/2)*BL127*BO127*VLOOKUP('Données projet'!$B$11,Paramètres!$A$1:$I$89,3,0)*0.475*44/12</f>
        <v>4.7212945769886826E-5</v>
      </c>
      <c r="BS127" s="22">
        <f t="shared" si="63"/>
        <v>84.418563867800529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7.1129999999999995</v>
      </c>
      <c r="BY127" s="12">
        <f>IF('Données projet'!$A$114&gt;35,BY126+BX127-CG126,IF(A127&lt;'Données projet'!$A$114,$BV$205^A127,IF(A127='Données projet'!$A$114,'Données projet'!$B$114,BY126+BX127-CG126)))</f>
        <v>283.66600000000005</v>
      </c>
      <c r="BZ127" s="13">
        <f>BY127*VLOOKUP('Données projet'!$B$12,Paramètres!$A$1:$I$89,3,0)*VLOOKUP('Données projet'!$B$12,Paramètres!$A$1:$I$89,5,0)</f>
        <v>274.36175520000006</v>
      </c>
      <c r="CA127" s="13">
        <f t="shared" si="93"/>
        <v>65.7740786926813</v>
      </c>
      <c r="CB127" s="20">
        <f t="shared" si="64"/>
        <v>592.4032440297533</v>
      </c>
      <c r="CC127" s="59">
        <f t="shared" si="65"/>
        <v>885.73657736308655</v>
      </c>
      <c r="CD127" s="59">
        <f ca="1">AVERAGE(OFFSET($CC$3,0,0,'Données projet'!$E$12+1,1))-AVERAGE(OFFSET($H$3,0,0,'Données projet'!$E$12+1,1))</f>
        <v>292.52253679467469</v>
      </c>
      <c r="CE127" s="59">
        <f t="shared" si="94"/>
        <v>155.7114133976541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23.413788842845729</v>
      </c>
      <c r="CL127" s="21">
        <f>EXP(-LN(2)/25)*CL126+(1-EXP(-LN(2)/25))/(LN(2)/25)*Calculateur!CG127*Calculateur!CI127*VLOOKUP('Données projet'!$B$12,Paramètres!$A$1:$I$89,3,0)*0.475*44/12</f>
        <v>23.05627910319517</v>
      </c>
      <c r="CM127" s="21">
        <f>EXP(-LN(2)/2)*CM126+(1-EXP(-LN(2)/2))/(LN(2)/2)*CG127*CJ127*VLOOKUP('Données projet'!$B$12,Paramètres!$A$1:$I$89,3,0)*0.475*44/12</f>
        <v>2.1788283942375544</v>
      </c>
      <c r="CN127" s="22">
        <f t="shared" si="66"/>
        <v>48.648896340278455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-1.1368683772161603E-13</v>
      </c>
      <c r="CU127" s="17">
        <f>CT127*VLOOKUP('Données projet'!$B$13,Paramètres!$A$1:$I$89,3,0)*VLOOKUP('Données projet'!$B$13,Paramètres!$A$1:$I$89,5,0)</f>
        <v>-8.8675733422860506E-14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100.54865094989304</v>
      </c>
      <c r="CZ127" s="59">
        <f t="shared" si="96"/>
        <v>99.95654161405389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9.2743264826831773</v>
      </c>
      <c r="DG127" s="21">
        <f>EXP(-LN(2)/25)*DG126+(1-EXP(-LN(2)/25))/(LN(2)/25)*Calculateur!DB127*Calculateur!DD127*VLOOKUP('Données projet'!$B$13,Paramètres!$A$1:$I$89,3,0)*0.475*44/12</f>
        <v>5.9062366134217568</v>
      </c>
      <c r="DH127" s="21">
        <f>EXP(-LN(2)/2)*DH126+(1-EXP(-LN(2)/2))/(LN(2)/2)*DB127*DE127*VLOOKUP('Données projet'!$B$13,Paramètres!$A$1:$I$89,3,0)*0.475*44/12</f>
        <v>2.0518227890589212E-7</v>
      </c>
      <c r="DI127" s="22">
        <f t="shared" si="69"/>
        <v>15.180563301287211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4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109.19999999999992</v>
      </c>
      <c r="D128" s="11">
        <f t="shared" si="86"/>
        <v>29.142418334948587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1067.9063871469709</v>
      </c>
      <c r="H128" s="67">
        <f t="shared" si="56"/>
        <v>534.27971193336862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3.4106051316484809E-13</v>
      </c>
      <c r="O128" s="13">
        <f>N128*VLOOKUP('Données projet'!$B$9,Paramètres!$A$1:$I$89,3,0)*VLOOKUP('Données projet'!$B$9,Paramètres!$A$1:$I$89,5,0)</f>
        <v>1.9065282685915009E-13</v>
      </c>
      <c r="P128" s="13">
        <f t="shared" si="87"/>
        <v>2.6568987209435707E-12</v>
      </c>
      <c r="Q128" s="20">
        <f t="shared" si="107"/>
        <v>4.959485612423072E-12</v>
      </c>
      <c r="R128" s="59">
        <f t="shared" si="55"/>
        <v>293.33333333333826</v>
      </c>
      <c r="S128" s="59">
        <f ca="1">AVERAGE(OFFSET($R$3,0,0,'Données projet'!$E$9+1,1))-AVERAGE(OFFSET($H$3,0,0,'Données projet'!$E$9+1,1))</f>
        <v>324.69474275039357</v>
      </c>
      <c r="T128" s="59">
        <f t="shared" si="88"/>
        <v>437.68177084535927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60.475218832205954</v>
      </c>
      <c r="AA128" s="21">
        <f>EXP(-LN(2)/25)*AA127+(1-EXP(-LN(2)/25))/(LN(2)/25)*Calculateur!V128*Calculateur!X128*VLOOKUP('Données projet'!$B$9,Paramètres!$A$1:$I$89,3,0)*0.475*44/12</f>
        <v>11.871277076409747</v>
      </c>
      <c r="AB128" s="21">
        <f>EXP(-LN(2)/2)*AB127+(1-EXP(-LN(2)/2))/(LN(2)/2)*V128*Y128*VLOOKUP('Données projet'!$B$9,Paramètres!$A$1:$I$89,3,0)*0.475*44/12</f>
        <v>1.8831926684893871E-9</v>
      </c>
      <c r="AC128" s="22">
        <f t="shared" si="57"/>
        <v>72.346495910498902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1.1368683772161603E-13</v>
      </c>
      <c r="AJ128" s="13">
        <f>AI128*VLOOKUP('Données projet'!$B$10,Paramètres!$A$1:$I$89,3,0)*VLOOKUP('Données projet'!$B$10,Paramètres!$A$1:$I$89,5,0)</f>
        <v>6.7984728957526396E-14</v>
      </c>
      <c r="AK128" s="13">
        <f t="shared" si="89"/>
        <v>1.0682447123141398E-12</v>
      </c>
      <c r="AL128" s="20">
        <f t="shared" si="58"/>
        <v>1.978932943548152E-12</v>
      </c>
      <c r="AM128" s="59">
        <f t="shared" si="59"/>
        <v>293.3333333333353</v>
      </c>
      <c r="AN128" s="59">
        <f ca="1">AVERAGE(OFFSET($AM$3,0,0,'Données projet'!$E$10+1,1))-AVERAGE(OFFSET($H$3,0,0,'Données projet'!$E$10+1,1))</f>
        <v>214.93913810439858</v>
      </c>
      <c r="AO128" s="59">
        <f t="shared" si="90"/>
        <v>210.65603079265924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38.330981732801803</v>
      </c>
      <c r="AV128" s="21">
        <f>EXP(-LN(2)/25)*AV127+(1-EXP(-LN(2)/25))/(LN(2)/25)*Calculateur!AQ128*Calculateur!AS128*VLOOKUP('Données projet'!$B$10,Paramètres!$A$1:$I$89,3,0)*0.475*44/12</f>
        <v>7.9897057989172389</v>
      </c>
      <c r="AW128" s="21">
        <f>EXP(-LN(2)/2)*AW127+(1-EXP(-LN(2)/2))/(LN(2)/2)*AQ128*AT128*VLOOKUP('Données projet'!$B$10,Paramètres!$A$1:$I$89,3,0)*0.475*44/12</f>
        <v>9.8718197155098195E-9</v>
      </c>
      <c r="AX128" s="21">
        <f t="shared" si="60"/>
        <v>46.320687541590864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10.745999999999999</v>
      </c>
      <c r="BD128" s="12">
        <f>IF('Données projet'!$A$88&gt;35,BD127+BC128-BL127,IF(A128&lt;'Données projet'!$A$88,$BA$205^A128,IF(A128='Données projet'!$A$88,'Données projet'!$B$88,BD127+BC128-BL127)))</f>
        <v>552.68000000000006</v>
      </c>
      <c r="BE128" s="13">
        <f>BD128*VLOOKUP('Données projet'!$B$11,Paramètres!$A$1:$I$89,3,0)*VLOOKUP('Données projet'!$B$11,Paramètres!$A$1:$I$89,5,0)</f>
        <v>500.064864</v>
      </c>
      <c r="BF128" s="13">
        <f t="shared" si="91"/>
        <v>111.7922609431773</v>
      </c>
      <c r="BG128" s="20">
        <f t="shared" si="61"/>
        <v>1065.6511592760337</v>
      </c>
      <c r="BH128" s="59">
        <f t="shared" si="62"/>
        <v>1358.984492609367</v>
      </c>
      <c r="BI128" s="59">
        <f ca="1">AVERAGE(OFFSET($BH$3,0,0,'Données projet'!$E$11+1,1))-AVERAGE(OFFSET($H$3,0,0,'Données projet'!$E$11+1,1))</f>
        <v>507.69556381324213</v>
      </c>
      <c r="BJ128" s="59">
        <f t="shared" si="92"/>
        <v>129.52638237044044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56.001017382348714</v>
      </c>
      <c r="BQ128" s="21">
        <f>EXP(-LN(2)/25)*BQ127+(1-EXP(-LN(2)/25))/(LN(2)/25)*Calculateur!BL128*Calculateur!BN128*VLOOKUP('Données projet'!$B$11,Paramètres!$A$1:$I$89,3,0)*0.475*44/12</f>
        <v>26.550940263510604</v>
      </c>
      <c r="BR128" s="21">
        <f>EXP(-LN(2)/2)*BR127+(1-EXP(-LN(2)/2))/(LN(2)/2)*BL128*BO128*VLOOKUP('Données projet'!$B$11,Paramètres!$A$1:$I$89,3,0)*0.475*44/12</f>
        <v>3.3384594113679698E-5</v>
      </c>
      <c r="BS128" s="22">
        <f t="shared" si="63"/>
        <v>82.551991030453436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7.1129999999999995</v>
      </c>
      <c r="BY128" s="12">
        <f>IF('Données projet'!$A$114&gt;35,BY127+BX128-CG127,IF(A128&lt;'Données projet'!$A$114,$BV$205^A128,IF(A128='Données projet'!$A$114,'Données projet'!$B$114,BY127+BX128-CG127)))</f>
        <v>290.77900000000005</v>
      </c>
      <c r="BZ128" s="13">
        <f>BY128*VLOOKUP('Données projet'!$B$12,Paramètres!$A$1:$I$89,3,0)*VLOOKUP('Données projet'!$B$12,Paramètres!$A$1:$I$89,5,0)</f>
        <v>281.24144880000006</v>
      </c>
      <c r="CA128" s="13">
        <f t="shared" si="93"/>
        <v>67.2292951125862</v>
      </c>
      <c r="CB128" s="20">
        <f t="shared" si="64"/>
        <v>606.91987898108778</v>
      </c>
      <c r="CC128" s="59">
        <f t="shared" si="65"/>
        <v>900.25321231442103</v>
      </c>
      <c r="CD128" s="59">
        <f ca="1">AVERAGE(OFFSET($CC$3,0,0,'Données projet'!$E$12+1,1))-AVERAGE(OFFSET($H$3,0,0,'Données projet'!$E$12+1,1))</f>
        <v>292.52253679467469</v>
      </c>
      <c r="CE128" s="59">
        <f t="shared" si="94"/>
        <v>155.7114133976541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22.954658724638588</v>
      </c>
      <c r="CL128" s="21">
        <f>EXP(-LN(2)/25)*CL127+(1-EXP(-LN(2)/25))/(LN(2)/25)*Calculateur!CG128*Calculateur!CI128*VLOOKUP('Données projet'!$B$12,Paramètres!$A$1:$I$89,3,0)*0.475*44/12</f>
        <v>22.425803938641277</v>
      </c>
      <c r="CM128" s="21">
        <f>EXP(-LN(2)/2)*CM127+(1-EXP(-LN(2)/2))/(LN(2)/2)*CG128*CJ128*VLOOKUP('Données projet'!$B$12,Paramètres!$A$1:$I$89,3,0)*0.475*44/12</f>
        <v>1.5406643326071712</v>
      </c>
      <c r="CN128" s="22">
        <f t="shared" si="66"/>
        <v>46.921126995887036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-1.1368683772161603E-13</v>
      </c>
      <c r="CU128" s="17">
        <f>CT128*VLOOKUP('Données projet'!$B$13,Paramètres!$A$1:$I$89,3,0)*VLOOKUP('Données projet'!$B$13,Paramètres!$A$1:$I$89,5,0)</f>
        <v>-8.8675733422860506E-14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100.54865094989304</v>
      </c>
      <c r="CZ128" s="59">
        <f t="shared" si="96"/>
        <v>99.95654161405389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9.0924625971383541</v>
      </c>
      <c r="DG128" s="21">
        <f>EXP(-LN(2)/25)*DG127+(1-EXP(-LN(2)/25))/(LN(2)/25)*Calculateur!DB128*Calculateur!DD128*VLOOKUP('Données projet'!$B$13,Paramètres!$A$1:$I$89,3,0)*0.475*44/12</f>
        <v>5.7447302626322543</v>
      </c>
      <c r="DH128" s="21">
        <f>EXP(-LN(2)/2)*DH127+(1-EXP(-LN(2)/2))/(LN(2)/2)*DB128*DE128*VLOOKUP('Données projet'!$B$13,Paramètres!$A$1:$I$89,3,0)*0.475*44/12</f>
        <v>1.4508578079366582E-7</v>
      </c>
      <c r="DI128" s="22">
        <f t="shared" si="69"/>
        <v>14.83719300485639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4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110.07359999999991</v>
      </c>
      <c r="D129" s="11">
        <f t="shared" si="86"/>
        <v>29.348324631518803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1076.2394182082146</v>
      </c>
      <c r="H129" s="67">
        <f t="shared" si="56"/>
        <v>536.15985206656171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3.4106051316484809E-13</v>
      </c>
      <c r="O129" s="13">
        <f>N129*VLOOKUP('Données projet'!$B$9,Paramètres!$A$1:$I$89,3,0)*VLOOKUP('Données projet'!$B$9,Paramètres!$A$1:$I$89,5,0)</f>
        <v>1.9065282685915009E-13</v>
      </c>
      <c r="P129" s="13">
        <f t="shared" si="87"/>
        <v>2.6568987209435707E-12</v>
      </c>
      <c r="Q129" s="20">
        <f t="shared" si="107"/>
        <v>4.959485612423072E-12</v>
      </c>
      <c r="R129" s="59">
        <f t="shared" si="55"/>
        <v>293.33333333333826</v>
      </c>
      <c r="S129" s="59">
        <f ca="1">AVERAGE(OFFSET($R$3,0,0,'Données projet'!$E$9+1,1))-AVERAGE(OFFSET($H$3,0,0,'Données projet'!$E$9+1,1))</f>
        <v>324.69474275039357</v>
      </c>
      <c r="T129" s="59">
        <f t="shared" si="88"/>
        <v>437.68177084535927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59.289336677147666</v>
      </c>
      <c r="AA129" s="21">
        <f>EXP(-LN(2)/25)*AA128+(1-EXP(-LN(2)/25))/(LN(2)/25)*Calculateur!V129*Calculateur!X129*VLOOKUP('Données projet'!$B$9,Paramètres!$A$1:$I$89,3,0)*0.475*44/12</f>
        <v>11.546656380471994</v>
      </c>
      <c r="AB129" s="21">
        <f>EXP(-LN(2)/2)*AB128+(1-EXP(-LN(2)/2))/(LN(2)/2)*V129*Y129*VLOOKUP('Données projet'!$B$9,Paramètres!$A$1:$I$89,3,0)*0.475*44/12</f>
        <v>1.3316183061696357E-9</v>
      </c>
      <c r="AC129" s="22">
        <f t="shared" si="57"/>
        <v>70.835993058951274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1.1368683772161603E-13</v>
      </c>
      <c r="AJ129" s="13">
        <f>AI129*VLOOKUP('Données projet'!$B$10,Paramètres!$A$1:$I$89,3,0)*VLOOKUP('Données projet'!$B$10,Paramètres!$A$1:$I$89,5,0)</f>
        <v>6.7984728957526396E-14</v>
      </c>
      <c r="AK129" s="13">
        <f t="shared" si="89"/>
        <v>1.0682447123141398E-12</v>
      </c>
      <c r="AL129" s="20">
        <f t="shared" si="58"/>
        <v>1.978932943548152E-12</v>
      </c>
      <c r="AM129" s="59">
        <f t="shared" si="59"/>
        <v>293.3333333333353</v>
      </c>
      <c r="AN129" s="59">
        <f ca="1">AVERAGE(OFFSET($AM$3,0,0,'Données projet'!$E$10+1,1))-AVERAGE(OFFSET($H$3,0,0,'Données projet'!$E$10+1,1))</f>
        <v>214.93913810439858</v>
      </c>
      <c r="AO129" s="59">
        <f t="shared" si="90"/>
        <v>210.65603079265924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37.579334560611876</v>
      </c>
      <c r="AV129" s="21">
        <f>EXP(-LN(2)/25)*AV128+(1-EXP(-LN(2)/25))/(LN(2)/25)*Calculateur!AQ129*Calculateur!AS129*VLOOKUP('Données projet'!$B$10,Paramètres!$A$1:$I$89,3,0)*0.475*44/12</f>
        <v>7.7712268736854799</v>
      </c>
      <c r="AW129" s="21">
        <f>EXP(-LN(2)/2)*AW128+(1-EXP(-LN(2)/2))/(LN(2)/2)*AQ129*AT129*VLOOKUP('Données projet'!$B$10,Paramètres!$A$1:$I$89,3,0)*0.475*44/12</f>
        <v>6.9804306634880479E-9</v>
      </c>
      <c r="AX129" s="21">
        <f t="shared" si="60"/>
        <v>45.350561441277783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10.745999999999999</v>
      </c>
      <c r="BD129" s="12">
        <f>IF('Données projet'!$A$88&gt;35,BD128+BC129-BL128,IF(A129&lt;'Données projet'!$A$88,$BA$205^A129,IF(A129='Données projet'!$A$88,'Données projet'!$B$88,BD128+BC129-BL128)))</f>
        <v>563.42600000000004</v>
      </c>
      <c r="BE129" s="13">
        <f>BD129*VLOOKUP('Données projet'!$B$11,Paramètres!$A$1:$I$89,3,0)*VLOOKUP('Données projet'!$B$11,Paramètres!$A$1:$I$89,5,0)</f>
        <v>509.78784480000002</v>
      </c>
      <c r="BF129" s="13">
        <f t="shared" si="91"/>
        <v>113.71071908731024</v>
      </c>
      <c r="BG129" s="20">
        <f t="shared" si="61"/>
        <v>1085.9266654370654</v>
      </c>
      <c r="BH129" s="59">
        <f t="shared" si="62"/>
        <v>1379.2599987703986</v>
      </c>
      <c r="BI129" s="59">
        <f ca="1">AVERAGE(OFFSET($BH$3,0,0,'Données projet'!$E$11+1,1))-AVERAGE(OFFSET($H$3,0,0,'Données projet'!$E$11+1,1))</f>
        <v>507.69556381324213</v>
      </c>
      <c r="BJ129" s="59">
        <f t="shared" si="92"/>
        <v>129.52638237044044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54.902871588728708</v>
      </c>
      <c r="BQ129" s="21">
        <f>EXP(-LN(2)/25)*BQ128+(1-EXP(-LN(2)/25))/(LN(2)/25)*Calculateur!BL129*Calculateur!BN129*VLOOKUP('Données projet'!$B$11,Paramètres!$A$1:$I$89,3,0)*0.475*44/12</f>
        <v>25.824903405751641</v>
      </c>
      <c r="BR129" s="21">
        <f>EXP(-LN(2)/2)*BR128+(1-EXP(-LN(2)/2))/(LN(2)/2)*BL129*BO129*VLOOKUP('Données projet'!$B$11,Paramètres!$A$1:$I$89,3,0)*0.475*44/12</f>
        <v>2.3606472884943413E-5</v>
      </c>
      <c r="BS129" s="22">
        <f t="shared" si="63"/>
        <v>80.727798600953221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7.1129999999999995</v>
      </c>
      <c r="BY129" s="12">
        <f>IF('Données projet'!$A$114&gt;35,BY128+BX129-CG128,IF(A129&lt;'Données projet'!$A$114,$BV$205^A129,IF(A129='Données projet'!$A$114,'Données projet'!$B$114,BY128+BX129-CG128)))</f>
        <v>297.89200000000005</v>
      </c>
      <c r="BZ129" s="13">
        <f>BY129*VLOOKUP('Données projet'!$B$12,Paramètres!$A$1:$I$89,3,0)*VLOOKUP('Données projet'!$B$12,Paramètres!$A$1:$I$89,5,0)</f>
        <v>288.12114240000005</v>
      </c>
      <c r="CA129" s="13">
        <f t="shared" si="93"/>
        <v>68.680373461245836</v>
      </c>
      <c r="CB129" s="20">
        <f t="shared" si="64"/>
        <v>621.42930679167</v>
      </c>
      <c r="CC129" s="59">
        <f t="shared" si="65"/>
        <v>914.76264012500337</v>
      </c>
      <c r="CD129" s="59">
        <f ca="1">AVERAGE(OFFSET($CC$3,0,0,'Données projet'!$E$12+1,1))-AVERAGE(OFFSET($H$3,0,0,'Données projet'!$E$12+1,1))</f>
        <v>292.52253679467469</v>
      </c>
      <c r="CE129" s="59">
        <f t="shared" si="94"/>
        <v>155.7114133976541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22.504531868007767</v>
      </c>
      <c r="CL129" s="21">
        <f>EXP(-LN(2)/25)*CL128+(1-EXP(-LN(2)/25))/(LN(2)/25)*Calculateur!CG129*Calculateur!CI129*VLOOKUP('Données projet'!$B$12,Paramètres!$A$1:$I$89,3,0)*0.475*44/12</f>
        <v>21.812569150617357</v>
      </c>
      <c r="CM129" s="21">
        <f>EXP(-LN(2)/2)*CM128+(1-EXP(-LN(2)/2))/(LN(2)/2)*CG129*CJ129*VLOOKUP('Données projet'!$B$12,Paramètres!$A$1:$I$89,3,0)*0.475*44/12</f>
        <v>1.0894141971187774</v>
      </c>
      <c r="CN129" s="22">
        <f t="shared" si="66"/>
        <v>45.406515215743902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-1.1368683772161603E-13</v>
      </c>
      <c r="CU129" s="17">
        <f>CT129*VLOOKUP('Données projet'!$B$13,Paramètres!$A$1:$I$89,3,0)*VLOOKUP('Données projet'!$B$13,Paramètres!$A$1:$I$89,5,0)</f>
        <v>-8.8675733422860506E-14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100.54865094989304</v>
      </c>
      <c r="CZ129" s="59">
        <f t="shared" si="96"/>
        <v>99.95654161405389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8.9141649514630483</v>
      </c>
      <c r="DG129" s="21">
        <f>EXP(-LN(2)/25)*DG128+(1-EXP(-LN(2)/25))/(LN(2)/25)*Calculateur!DB129*Calculateur!DD129*VLOOKUP('Données projet'!$B$13,Paramètres!$A$1:$I$89,3,0)*0.475*44/12</f>
        <v>5.5876403114983404</v>
      </c>
      <c r="DH129" s="21">
        <f>EXP(-LN(2)/2)*DH128+(1-EXP(-LN(2)/2))/(LN(2)/2)*DB129*DE129*VLOOKUP('Données projet'!$B$13,Paramètres!$A$1:$I$89,3,0)*0.475*44/12</f>
        <v>1.0259113945294606E-7</v>
      </c>
      <c r="DI129" s="22">
        <f t="shared" si="69"/>
        <v>14.501805365552528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4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110.94719999999991</v>
      </c>
      <c r="D130" s="11">
        <f t="shared" si="86"/>
        <v>29.554040795615606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1084.5709815801899</v>
      </c>
      <c r="H130" s="67">
        <f t="shared" si="56"/>
        <v>538.03966105236361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3.4106051316484809E-13</v>
      </c>
      <c r="O130" s="13">
        <f>N130*VLOOKUP('Données projet'!$B$9,Paramètres!$A$1:$I$89,3,0)*VLOOKUP('Données projet'!$B$9,Paramètres!$A$1:$I$89,5,0)</f>
        <v>1.9065282685915009E-13</v>
      </c>
      <c r="P130" s="13">
        <f t="shared" si="87"/>
        <v>2.6568987209435707E-12</v>
      </c>
      <c r="Q130" s="20">
        <f t="shared" si="107"/>
        <v>4.959485612423072E-12</v>
      </c>
      <c r="R130" s="59">
        <f t="shared" si="55"/>
        <v>293.33333333333826</v>
      </c>
      <c r="S130" s="59">
        <f ca="1">AVERAGE(OFFSET($R$3,0,0,'Données projet'!$E$9+1,1))-AVERAGE(OFFSET($H$3,0,0,'Données projet'!$E$9+1,1))</f>
        <v>324.69474275039357</v>
      </c>
      <c r="T130" s="59">
        <f t="shared" si="88"/>
        <v>437.68177084535927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58.126708947833379</v>
      </c>
      <c r="AA130" s="21">
        <f>EXP(-LN(2)/25)*AA129+(1-EXP(-LN(2)/25))/(LN(2)/25)*Calculateur!V130*Calculateur!X130*VLOOKUP('Données projet'!$B$9,Paramètres!$A$1:$I$89,3,0)*0.475*44/12</f>
        <v>11.230912454535719</v>
      </c>
      <c r="AB130" s="21">
        <f>EXP(-LN(2)/2)*AB129+(1-EXP(-LN(2)/2))/(LN(2)/2)*V130*Y130*VLOOKUP('Données projet'!$B$9,Paramètres!$A$1:$I$89,3,0)*0.475*44/12</f>
        <v>9.4159633424469357E-10</v>
      </c>
      <c r="AC130" s="22">
        <f t="shared" si="57"/>
        <v>69.357621403310688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1.1368683772161603E-13</v>
      </c>
      <c r="AJ130" s="13">
        <f>AI130*VLOOKUP('Données projet'!$B$10,Paramètres!$A$1:$I$89,3,0)*VLOOKUP('Données projet'!$B$10,Paramètres!$A$1:$I$89,5,0)</f>
        <v>6.7984728957526396E-14</v>
      </c>
      <c r="AK130" s="13">
        <f t="shared" si="89"/>
        <v>1.0682447123141398E-12</v>
      </c>
      <c r="AL130" s="20">
        <f t="shared" si="58"/>
        <v>1.978932943548152E-12</v>
      </c>
      <c r="AM130" s="59">
        <f t="shared" si="59"/>
        <v>293.3333333333353</v>
      </c>
      <c r="AN130" s="59">
        <f ca="1">AVERAGE(OFFSET($AM$3,0,0,'Données projet'!$E$10+1,1))-AVERAGE(OFFSET($H$3,0,0,'Données projet'!$E$10+1,1))</f>
        <v>214.93913810439858</v>
      </c>
      <c r="AO130" s="59">
        <f t="shared" si="90"/>
        <v>210.65603079265924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36.842426731009084</v>
      </c>
      <c r="AV130" s="21">
        <f>EXP(-LN(2)/25)*AV129+(1-EXP(-LN(2)/25))/(LN(2)/25)*Calculateur!AQ130*Calculateur!AS130*VLOOKUP('Données projet'!$B$10,Paramètres!$A$1:$I$89,3,0)*0.475*44/12</f>
        <v>7.5587222661534907</v>
      </c>
      <c r="AW130" s="21">
        <f>EXP(-LN(2)/2)*AW129+(1-EXP(-LN(2)/2))/(LN(2)/2)*AQ130*AT130*VLOOKUP('Données projet'!$B$10,Paramètres!$A$1:$I$89,3,0)*0.475*44/12</f>
        <v>4.9359098577549098E-9</v>
      </c>
      <c r="AX130" s="21">
        <f t="shared" si="60"/>
        <v>44.401149002098485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10.745999999999999</v>
      </c>
      <c r="BD130" s="12">
        <f>IF('Données projet'!$A$88&gt;35,BD129+BC130-BL129,IF(A130&lt;'Données projet'!$A$88,$BA$205^A130,IF(A130='Données projet'!$A$88,'Données projet'!$B$88,BD129+BC130-BL129)))</f>
        <v>574.17200000000003</v>
      </c>
      <c r="BE130" s="13">
        <f>BD130*VLOOKUP('Données projet'!$B$11,Paramètres!$A$1:$I$89,3,0)*VLOOKUP('Données projet'!$B$11,Paramètres!$A$1:$I$89,5,0)</f>
        <v>519.51082560000009</v>
      </c>
      <c r="BF130" s="13">
        <f t="shared" si="91"/>
        <v>115.62492260821269</v>
      </c>
      <c r="BG130" s="20">
        <f t="shared" si="61"/>
        <v>1106.1947614626372</v>
      </c>
      <c r="BH130" s="59">
        <f t="shared" si="62"/>
        <v>1399.5280947959704</v>
      </c>
      <c r="BI130" s="59">
        <f ca="1">AVERAGE(OFFSET($BH$3,0,0,'Données projet'!$E$11+1,1))-AVERAGE(OFFSET($H$3,0,0,'Données projet'!$E$11+1,1))</f>
        <v>507.69556381324213</v>
      </c>
      <c r="BJ130" s="59">
        <f t="shared" si="92"/>
        <v>129.52638237044044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53.826259764318799</v>
      </c>
      <c r="BQ130" s="21">
        <f>EXP(-LN(2)/25)*BQ129+(1-EXP(-LN(2)/25))/(LN(2)/25)*Calculateur!BL130*Calculateur!BN130*VLOOKUP('Données projet'!$B$11,Paramètres!$A$1:$I$89,3,0)*0.475*44/12</f>
        <v>25.118720064048716</v>
      </c>
      <c r="BR130" s="21">
        <f>EXP(-LN(2)/2)*BR129+(1-EXP(-LN(2)/2))/(LN(2)/2)*BL130*BO130*VLOOKUP('Données projet'!$B$11,Paramètres!$A$1:$I$89,3,0)*0.475*44/12</f>
        <v>1.6692297056839849E-5</v>
      </c>
      <c r="BS130" s="22">
        <f t="shared" si="63"/>
        <v>78.94499652066456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7.1129999999999995</v>
      </c>
      <c r="BY130" s="12">
        <f>IF('Données projet'!$A$114&gt;35,BY129+BX130-CG129,IF(A130&lt;'Données projet'!$A$114,$BV$205^A130,IF(A130='Données projet'!$A$114,'Données projet'!$B$114,BY129+BX130-CG129)))</f>
        <v>305.00500000000005</v>
      </c>
      <c r="BZ130" s="13">
        <f>BY130*VLOOKUP('Données projet'!$B$12,Paramètres!$A$1:$I$89,3,0)*VLOOKUP('Données projet'!$B$12,Paramètres!$A$1:$I$89,5,0)</f>
        <v>295.00083600000005</v>
      </c>
      <c r="CA130" s="13">
        <f t="shared" si="93"/>
        <v>70.127423915882019</v>
      </c>
      <c r="CB130" s="20">
        <f t="shared" si="64"/>
        <v>635.93171935349449</v>
      </c>
      <c r="CC130" s="59">
        <f t="shared" si="65"/>
        <v>929.26505268682786</v>
      </c>
      <c r="CD130" s="59">
        <f ca="1">AVERAGE(OFFSET($CC$3,0,0,'Données projet'!$E$12+1,1))-AVERAGE(OFFSET($H$3,0,0,'Données projet'!$E$12+1,1))</f>
        <v>292.52253679467469</v>
      </c>
      <c r="CE130" s="59">
        <f t="shared" si="94"/>
        <v>155.7114133976541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22.063231724485203</v>
      </c>
      <c r="CL130" s="21">
        <f>EXP(-LN(2)/25)*CL129+(1-EXP(-LN(2)/25))/(LN(2)/25)*Calculateur!CG130*Calculateur!CI130*VLOOKUP('Données projet'!$B$12,Paramètres!$A$1:$I$89,3,0)*0.475*44/12</f>
        <v>21.216103300120565</v>
      </c>
      <c r="CM130" s="21">
        <f>EXP(-LN(2)/2)*CM129+(1-EXP(-LN(2)/2))/(LN(2)/2)*CG130*CJ130*VLOOKUP('Données projet'!$B$12,Paramètres!$A$1:$I$89,3,0)*0.475*44/12</f>
        <v>0.7703321663035857</v>
      </c>
      <c r="CN130" s="22">
        <f t="shared" si="66"/>
        <v>44.049667190909354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-1.1368683772161603E-13</v>
      </c>
      <c r="CU130" s="17">
        <f>CT130*VLOOKUP('Données projet'!$B$13,Paramètres!$A$1:$I$89,3,0)*VLOOKUP('Données projet'!$B$13,Paramètres!$A$1:$I$89,5,0)</f>
        <v>-8.8675733422860506E-14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100.54865094989304</v>
      </c>
      <c r="CZ130" s="59">
        <f t="shared" si="96"/>
        <v>99.95654161405389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8.7393636138686084</v>
      </c>
      <c r="DG130" s="21">
        <f>EXP(-LN(2)/25)*DG129+(1-EXP(-LN(2)/25))/(LN(2)/25)*Calculateur!DB130*Calculateur!DD130*VLOOKUP('Données projet'!$B$13,Paramètres!$A$1:$I$89,3,0)*0.475*44/12</f>
        <v>5.4348459933391853</v>
      </c>
      <c r="DH130" s="21">
        <f>EXP(-LN(2)/2)*DH129+(1-EXP(-LN(2)/2))/(LN(2)/2)*DB130*DE130*VLOOKUP('Données projet'!$B$13,Paramètres!$A$1:$I$89,3,0)*0.475*44/12</f>
        <v>7.2542890396832912E-8</v>
      </c>
      <c r="DI130" s="22">
        <f t="shared" si="69"/>
        <v>14.174209679750684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4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111.82079999999991</v>
      </c>
      <c r="D131" s="11">
        <f t="shared" si="86"/>
        <v>29.759568497877233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1092.9010901590516</v>
      </c>
      <c r="H131" s="67">
        <f t="shared" si="56"/>
        <v>539.91914180046933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3.4106051316484809E-13</v>
      </c>
      <c r="O131" s="13">
        <f>N131*VLOOKUP('Données projet'!$B$9,Paramètres!$A$1:$I$89,3,0)*VLOOKUP('Données projet'!$B$9,Paramètres!$A$1:$I$89,5,0)</f>
        <v>1.9065282685915009E-13</v>
      </c>
      <c r="P131" s="13">
        <f t="shared" si="87"/>
        <v>2.6568987209435707E-12</v>
      </c>
      <c r="Q131" s="20">
        <f t="shared" ref="Q131:Q153" si="108">(O131+P131)*0.475*44/12</f>
        <v>4.959485612423072E-12</v>
      </c>
      <c r="R131" s="59">
        <f t="shared" ref="R131:R194" si="109">Q131+(I131+J131)*44/12</f>
        <v>293.33333333333826</v>
      </c>
      <c r="S131" s="59">
        <f ca="1">AVERAGE(OFFSET($R$3,0,0,'Données projet'!$E$9+1,1))-AVERAGE(OFFSET($H$3,0,0,'Données projet'!$E$9+1,1))</f>
        <v>324.69474275039357</v>
      </c>
      <c r="T131" s="59">
        <f t="shared" si="88"/>
        <v>437.68177084535927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56.986879639158055</v>
      </c>
      <c r="AA131" s="21">
        <f>EXP(-LN(2)/25)*AA130+(1-EXP(-LN(2)/25))/(LN(2)/25)*Calculateur!V131*Calculateur!X131*VLOOKUP('Données projet'!$B$9,Paramètres!$A$1:$I$89,3,0)*0.475*44/12</f>
        <v>10.923802562858423</v>
      </c>
      <c r="AB131" s="21">
        <f>EXP(-LN(2)/2)*AB130+(1-EXP(-LN(2)/2))/(LN(2)/2)*V131*Y131*VLOOKUP('Données projet'!$B$9,Paramètres!$A$1:$I$89,3,0)*0.475*44/12</f>
        <v>6.6580915308481783E-10</v>
      </c>
      <c r="AC131" s="22">
        <f t="shared" si="57"/>
        <v>67.910682202682281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1.1368683772161603E-13</v>
      </c>
      <c r="AJ131" s="13">
        <f>AI131*VLOOKUP('Données projet'!$B$10,Paramètres!$A$1:$I$89,3,0)*VLOOKUP('Données projet'!$B$10,Paramètres!$A$1:$I$89,5,0)</f>
        <v>6.7984728957526396E-14</v>
      </c>
      <c r="AK131" s="13">
        <f t="shared" si="89"/>
        <v>1.0682447123141398E-12</v>
      </c>
      <c r="AL131" s="20">
        <f t="shared" si="58"/>
        <v>1.978932943548152E-12</v>
      </c>
      <c r="AM131" s="59">
        <f t="shared" si="59"/>
        <v>293.3333333333353</v>
      </c>
      <c r="AN131" s="59">
        <f ca="1">AVERAGE(OFFSET($AM$3,0,0,'Données projet'!$E$10+1,1))-AVERAGE(OFFSET($H$3,0,0,'Données projet'!$E$10+1,1))</f>
        <v>214.93913810439858</v>
      </c>
      <c r="AO131" s="59">
        <f t="shared" si="90"/>
        <v>210.65603079265924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36.119969214475411</v>
      </c>
      <c r="AV131" s="21">
        <f>EXP(-LN(2)/25)*AV130+(1-EXP(-LN(2)/25))/(LN(2)/25)*Calculateur!AQ131*Calculateur!AS131*VLOOKUP('Données projet'!$B$10,Paramètres!$A$1:$I$89,3,0)*0.475*44/12</f>
        <v>7.3520286082895954</v>
      </c>
      <c r="AW131" s="21">
        <f>EXP(-LN(2)/2)*AW130+(1-EXP(-LN(2)/2))/(LN(2)/2)*AQ131*AT131*VLOOKUP('Données projet'!$B$10,Paramètres!$A$1:$I$89,3,0)*0.475*44/12</f>
        <v>3.4902153317440239E-9</v>
      </c>
      <c r="AX131" s="21">
        <f t="shared" si="60"/>
        <v>43.471997826255219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10.745999999999999</v>
      </c>
      <c r="BD131" s="12">
        <f>IF('Données projet'!$A$88&gt;35,BD130+BC131-BL130,IF(A131&lt;'Données projet'!$A$88,$BA$205^A131,IF(A131='Données projet'!$A$88,'Données projet'!$B$88,BD130+BC131-BL130)))</f>
        <v>584.91800000000001</v>
      </c>
      <c r="BE131" s="13">
        <f>BD131*VLOOKUP('Données projet'!$B$11,Paramètres!$A$1:$I$89,3,0)*VLOOKUP('Données projet'!$B$11,Paramètres!$A$1:$I$89,5,0)</f>
        <v>529.23380639999993</v>
      </c>
      <c r="BF131" s="13">
        <f t="shared" si="91"/>
        <v>117.53496031630661</v>
      </c>
      <c r="BG131" s="20">
        <f t="shared" si="61"/>
        <v>1126.4556020309005</v>
      </c>
      <c r="BH131" s="59">
        <f t="shared" si="62"/>
        <v>1419.7889353642338</v>
      </c>
      <c r="BI131" s="59">
        <f ca="1">AVERAGE(OFFSET($BH$3,0,0,'Données projet'!$E$11+1,1))-AVERAGE(OFFSET($H$3,0,0,'Données projet'!$E$11+1,1))</f>
        <v>507.69556381324213</v>
      </c>
      <c r="BJ131" s="59">
        <f t="shared" si="92"/>
        <v>129.52638237044044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52.770759641117195</v>
      </c>
      <c r="BQ131" s="21">
        <f>EXP(-LN(2)/25)*BQ130+(1-EXP(-LN(2)/25))/(LN(2)/25)*Calculateur!BL131*Calculateur!BN131*VLOOKUP('Données projet'!$B$11,Paramètres!$A$1:$I$89,3,0)*0.475*44/12</f>
        <v>24.431847342961227</v>
      </c>
      <c r="BR131" s="21">
        <f>EXP(-LN(2)/2)*BR130+(1-EXP(-LN(2)/2))/(LN(2)/2)*BL131*BO131*VLOOKUP('Données projet'!$B$11,Paramètres!$A$1:$I$89,3,0)*0.475*44/12</f>
        <v>1.1803236442471706E-5</v>
      </c>
      <c r="BS131" s="22">
        <f t="shared" si="63"/>
        <v>77.202618787314861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7.1129999999999995</v>
      </c>
      <c r="BY131" s="12">
        <f>IF('Données projet'!$A$114&gt;35,BY130+BX131-CG130,IF(A131&lt;'Données projet'!$A$114,$BV$205^A131,IF(A131='Données projet'!$A$114,'Données projet'!$B$114,BY130+BX131-CG130)))</f>
        <v>312.11800000000005</v>
      </c>
      <c r="BZ131" s="13">
        <f>BY131*VLOOKUP('Données projet'!$B$12,Paramètres!$A$1:$I$89,3,0)*VLOOKUP('Données projet'!$B$12,Paramètres!$A$1:$I$89,5,0)</f>
        <v>301.88052960000005</v>
      </c>
      <c r="CA131" s="13">
        <f t="shared" si="93"/>
        <v>71.570551221656345</v>
      </c>
      <c r="CB131" s="20">
        <f t="shared" si="64"/>
        <v>650.42729909771822</v>
      </c>
      <c r="CC131" s="59">
        <f t="shared" si="65"/>
        <v>943.76063243105159</v>
      </c>
      <c r="CD131" s="59">
        <f ca="1">AVERAGE(OFFSET($CC$3,0,0,'Données projet'!$E$12+1,1))-AVERAGE(OFFSET($H$3,0,0,'Données projet'!$E$12+1,1))</f>
        <v>292.52253679467469</v>
      </c>
      <c r="CE131" s="59">
        <f t="shared" si="94"/>
        <v>155.7114133976541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21.630585207610608</v>
      </c>
      <c r="CL131" s="21">
        <f>EXP(-LN(2)/25)*CL130+(1-EXP(-LN(2)/25))/(LN(2)/25)*Calculateur!CG131*Calculateur!CI131*VLOOKUP('Données projet'!$B$12,Paramètres!$A$1:$I$89,3,0)*0.475*44/12</f>
        <v>20.635947839672387</v>
      </c>
      <c r="CM131" s="21">
        <f>EXP(-LN(2)/2)*CM130+(1-EXP(-LN(2)/2))/(LN(2)/2)*CG131*CJ131*VLOOKUP('Données projet'!$B$12,Paramètres!$A$1:$I$89,3,0)*0.475*44/12</f>
        <v>0.5447070985593887</v>
      </c>
      <c r="CN131" s="22">
        <f t="shared" si="66"/>
        <v>42.811240145842376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-1.1368683772161603E-13</v>
      </c>
      <c r="CU131" s="17">
        <f>CT131*VLOOKUP('Données projet'!$B$13,Paramètres!$A$1:$I$89,3,0)*VLOOKUP('Données projet'!$B$13,Paramètres!$A$1:$I$89,5,0)</f>
        <v>-8.8675733422860506E-14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100.54865094989304</v>
      </c>
      <c r="CZ131" s="59">
        <f t="shared" si="96"/>
        <v>99.95654161405389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8.5679900238861073</v>
      </c>
      <c r="DG131" s="21">
        <f>EXP(-LN(2)/25)*DG130+(1-EXP(-LN(2)/25))/(LN(2)/25)*Calculateur!DB131*Calculateur!DD131*VLOOKUP('Données projet'!$B$13,Paramètres!$A$1:$I$89,3,0)*0.475*44/12</f>
        <v>5.286229843845196</v>
      </c>
      <c r="DH131" s="21">
        <f>EXP(-LN(2)/2)*DH130+(1-EXP(-LN(2)/2))/(LN(2)/2)*DB131*DE131*VLOOKUP('Données projet'!$B$13,Paramètres!$A$1:$I$89,3,0)*0.475*44/12</f>
        <v>5.129556972647303E-8</v>
      </c>
      <c r="DI131" s="22">
        <f t="shared" si="69"/>
        <v>13.854219919026873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4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112.6943999999999</v>
      </c>
      <c r="D132" s="11">
        <f t="shared" si="86"/>
        <v>29.964909381330607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1101.2297566278146</v>
      </c>
      <c r="H132" s="67">
        <f t="shared" ref="H132:H195" si="110">(B132+E132+F132)*44/12+(C132+D132)*0.475*44/12</f>
        <v>541.7982971724839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3.4106051316484809E-13</v>
      </c>
      <c r="O132" s="13">
        <f>N132*VLOOKUP('Données projet'!$B$9,Paramètres!$A$1:$I$89,3,0)*VLOOKUP('Données projet'!$B$9,Paramètres!$A$1:$I$89,5,0)</f>
        <v>1.9065282685915009E-13</v>
      </c>
      <c r="P132" s="13">
        <f t="shared" si="87"/>
        <v>2.6568987209435707E-12</v>
      </c>
      <c r="Q132" s="20">
        <f t="shared" si="108"/>
        <v>4.959485612423072E-12</v>
      </c>
      <c r="R132" s="59">
        <f t="shared" si="109"/>
        <v>293.33333333333826</v>
      </c>
      <c r="S132" s="59">
        <f ca="1">AVERAGE(OFFSET($R$3,0,0,'Données projet'!$E$9+1,1))-AVERAGE(OFFSET($H$3,0,0,'Données projet'!$E$9+1,1))</f>
        <v>324.69474275039357</v>
      </c>
      <c r="T132" s="59">
        <f t="shared" si="88"/>
        <v>437.68177084535927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55.869401687998625</v>
      </c>
      <c r="AA132" s="21">
        <f>EXP(-LN(2)/25)*AA131+(1-EXP(-LN(2)/25))/(LN(2)/25)*Calculateur!V132*Calculateur!X132*VLOOKUP('Données projet'!$B$9,Paramètres!$A$1:$I$89,3,0)*0.475*44/12</f>
        <v>10.625090607319249</v>
      </c>
      <c r="AB132" s="21">
        <f>EXP(-LN(2)/2)*AB131+(1-EXP(-LN(2)/2))/(LN(2)/2)*V132*Y132*VLOOKUP('Données projet'!$B$9,Paramètres!$A$1:$I$89,3,0)*0.475*44/12</f>
        <v>4.7079816712234679E-10</v>
      </c>
      <c r="AC132" s="22">
        <f t="shared" ref="AC132:AC153" si="111">SUM(Z132:AB132)</f>
        <v>66.49449229578866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1.1368683772161603E-13</v>
      </c>
      <c r="AJ132" s="13">
        <f>AI132*VLOOKUP('Données projet'!$B$10,Paramètres!$A$1:$I$89,3,0)*VLOOKUP('Données projet'!$B$10,Paramètres!$A$1:$I$89,5,0)</f>
        <v>6.7984728957526396E-14</v>
      </c>
      <c r="AK132" s="13">
        <f t="shared" si="89"/>
        <v>1.0682447123141398E-12</v>
      </c>
      <c r="AL132" s="20">
        <f t="shared" ref="AL132:AL153" si="112">(AJ132+AK132)*0.475*44/12</f>
        <v>1.978932943548152E-12</v>
      </c>
      <c r="AM132" s="59">
        <f t="shared" ref="AM132:AM195" si="113">AL132+(AD132+AE132)*44/12</f>
        <v>293.3333333333353</v>
      </c>
      <c r="AN132" s="59">
        <f ca="1">AVERAGE(OFFSET($AM$3,0,0,'Données projet'!$E$10+1,1))-AVERAGE(OFFSET($H$3,0,0,'Données projet'!$E$10+1,1))</f>
        <v>214.93913810439858</v>
      </c>
      <c r="AO132" s="59">
        <f t="shared" si="90"/>
        <v>210.65603079265924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35.41167864918539</v>
      </c>
      <c r="AV132" s="21">
        <f>EXP(-LN(2)/25)*AV131+(1-EXP(-LN(2)/25))/(LN(2)/25)*Calculateur!AQ132*Calculateur!AS132*VLOOKUP('Données projet'!$B$10,Paramètres!$A$1:$I$89,3,0)*0.475*44/12</f>
        <v>7.1509869993695352</v>
      </c>
      <c r="AW132" s="21">
        <f>EXP(-LN(2)/2)*AW131+(1-EXP(-LN(2)/2))/(LN(2)/2)*AQ132*AT132*VLOOKUP('Données projet'!$B$10,Paramètres!$A$1:$I$89,3,0)*0.475*44/12</f>
        <v>2.4679549288774549E-9</v>
      </c>
      <c r="AX132" s="21">
        <f t="shared" ref="AX132:AX153" si="114">SUM(AU132:AW132)</f>
        <v>42.562665651022883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10.745999999999999</v>
      </c>
      <c r="BD132" s="12">
        <f>IF('Données projet'!$A$88&gt;35,BD131+BC132-BL131,IF(A132&lt;'Données projet'!$A$88,$BA$205^A132,IF(A132='Données projet'!$A$88,'Données projet'!$B$88,BD131+BC132-BL131)))</f>
        <v>595.66399999999999</v>
      </c>
      <c r="BE132" s="13">
        <f>BD132*VLOOKUP('Données projet'!$B$11,Paramètres!$A$1:$I$89,3,0)*VLOOKUP('Données projet'!$B$11,Paramètres!$A$1:$I$89,5,0)</f>
        <v>538.95678720000001</v>
      </c>
      <c r="BF132" s="13">
        <f t="shared" si="91"/>
        <v>119.44091757198787</v>
      </c>
      <c r="BG132" s="20">
        <f t="shared" ref="BG132:BG153" si="115">(BE132+BF132)*0.475*44/12</f>
        <v>1146.709335811212</v>
      </c>
      <c r="BH132" s="59">
        <f t="shared" ref="BH132:BH195" si="116">BG132+(AY132+AZ132)*44/12</f>
        <v>1440.0426691445452</v>
      </c>
      <c r="BI132" s="59">
        <f ca="1">AVERAGE(OFFSET($BH$3,0,0,'Données projet'!$E$11+1,1))-AVERAGE(OFFSET($H$3,0,0,'Données projet'!$E$11+1,1))</f>
        <v>507.69556381324213</v>
      </c>
      <c r="BJ132" s="59">
        <f t="shared" si="92"/>
        <v>129.52638237044044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51.73595723154007</v>
      </c>
      <c r="BQ132" s="21">
        <f>EXP(-LN(2)/25)*BQ131+(1-EXP(-LN(2)/25))/(LN(2)/25)*Calculateur!BL132*Calculateur!BN132*VLOOKUP('Données projet'!$B$11,Paramètres!$A$1:$I$89,3,0)*0.475*44/12</f>
        <v>23.763757192552941</v>
      </c>
      <c r="BR132" s="21">
        <f>EXP(-LN(2)/2)*BR131+(1-EXP(-LN(2)/2))/(LN(2)/2)*BL132*BO132*VLOOKUP('Données projet'!$B$11,Paramètres!$A$1:$I$89,3,0)*0.475*44/12</f>
        <v>8.3461485284199245E-6</v>
      </c>
      <c r="BS132" s="22">
        <f t="shared" ref="BS132:BS153" si="117">SUM(BP132:BR132)</f>
        <v>75.499722770241547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7.1129999999999995</v>
      </c>
      <c r="BY132" s="12">
        <f>IF('Données projet'!$A$114&gt;35,BY131+BX132-CG131,IF(A132&lt;'Données projet'!$A$114,$BV$205^A132,IF(A132='Données projet'!$A$114,'Données projet'!$B$114,BY131+BX132-CG131)))</f>
        <v>319.23100000000005</v>
      </c>
      <c r="BZ132" s="13">
        <f>BY132*VLOOKUP('Données projet'!$B$12,Paramètres!$A$1:$I$89,3,0)*VLOOKUP('Données projet'!$B$12,Paramètres!$A$1:$I$89,5,0)</f>
        <v>308.7602232000001</v>
      </c>
      <c r="CA132" s="13">
        <f t="shared" si="93"/>
        <v>73.009855077083458</v>
      </c>
      <c r="CB132" s="20">
        <f t="shared" ref="CB132:CB153" si="118">(BZ132+CA132)*0.475*44/12</f>
        <v>664.91621966592049</v>
      </c>
      <c r="CC132" s="59">
        <f t="shared" ref="CC132:CC195" si="119">CB132+(BT132+BU132)*44/12</f>
        <v>958.24955299925386</v>
      </c>
      <c r="CD132" s="59">
        <f ca="1">AVERAGE(OFFSET($CC$3,0,0,'Données projet'!$E$12+1,1))-AVERAGE(OFFSET($H$3,0,0,'Données projet'!$E$12+1,1))</f>
        <v>292.52253679467469</v>
      </c>
      <c r="CE132" s="59">
        <f t="shared" si="94"/>
        <v>155.7114133976541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21.206422625043604</v>
      </c>
      <c r="CL132" s="21">
        <f>EXP(-LN(2)/25)*CL131+(1-EXP(-LN(2)/25))/(LN(2)/25)*Calculateur!CG132*Calculateur!CI132*VLOOKUP('Données projet'!$B$12,Paramètres!$A$1:$I$89,3,0)*0.475*44/12</f>
        <v>20.071656760799211</v>
      </c>
      <c r="CM132" s="21">
        <f>EXP(-LN(2)/2)*CM131+(1-EXP(-LN(2)/2))/(LN(2)/2)*CG132*CJ132*VLOOKUP('Données projet'!$B$12,Paramètres!$A$1:$I$89,3,0)*0.475*44/12</f>
        <v>0.38516608315179285</v>
      </c>
      <c r="CN132" s="22">
        <f t="shared" ref="CN132:CN153" si="120">SUM(CK132:CM132)</f>
        <v>41.66324546899461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-1.1368683772161603E-13</v>
      </c>
      <c r="CU132" s="17">
        <f>CT132*VLOOKUP('Données projet'!$B$13,Paramètres!$A$1:$I$89,3,0)*VLOOKUP('Données projet'!$B$13,Paramètres!$A$1:$I$89,5,0)</f>
        <v>-8.8675733422860506E-14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100.54865094989304</v>
      </c>
      <c r="CZ132" s="59">
        <f t="shared" si="96"/>
        <v>99.95654161405389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8.3999769654755951</v>
      </c>
      <c r="DG132" s="21">
        <f>EXP(-LN(2)/25)*DG131+(1-EXP(-LN(2)/25))/(LN(2)/25)*Calculateur!DB132*Calculateur!DD132*VLOOKUP('Données projet'!$B$13,Paramètres!$A$1:$I$89,3,0)*0.475*44/12</f>
        <v>5.1416776107745035</v>
      </c>
      <c r="DH132" s="21">
        <f>EXP(-LN(2)/2)*DH131+(1-EXP(-LN(2)/2))/(LN(2)/2)*DB132*DE132*VLOOKUP('Données projet'!$B$13,Paramètres!$A$1:$I$89,3,0)*0.475*44/12</f>
        <v>3.6271445198416456E-8</v>
      </c>
      <c r="DI132" s="22">
        <f t="shared" ref="DI132:DI153" si="123">SUM(DF132:DH132)</f>
        <v>13.541654612521544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4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113.5679999999999</v>
      </c>
      <c r="D133" s="11">
        <f t="shared" ref="D133:D196" si="140">IFERROR(EXP(-1.0587+0.8836*LN(C133)+0.284),0)</f>
        <v>30.170065062058185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1109.556993461501</v>
      </c>
      <c r="H133" s="67">
        <f t="shared" si="110"/>
        <v>543.67712998308446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3.4106051316484809E-13</v>
      </c>
      <c r="O133" s="13">
        <f>N133*VLOOKUP('Données projet'!$B$9,Paramètres!$A$1:$I$89,3,0)*VLOOKUP('Données projet'!$B$9,Paramètres!$A$1:$I$89,5,0)</f>
        <v>1.9065282685915009E-13</v>
      </c>
      <c r="P133" s="13">
        <f t="shared" ref="P133:P196" si="141">EXP(-1.0587+0.8836*LN(O133)+0.284)</f>
        <v>2.6568987209435707E-12</v>
      </c>
      <c r="Q133" s="20">
        <f t="shared" si="108"/>
        <v>4.959485612423072E-12</v>
      </c>
      <c r="R133" s="59">
        <f t="shared" si="109"/>
        <v>293.33333333333826</v>
      </c>
      <c r="S133" s="59">
        <f ca="1">AVERAGE(OFFSET($R$3,0,0,'Données projet'!$E$9+1,1))-AVERAGE(OFFSET($H$3,0,0,'Données projet'!$E$9+1,1))</f>
        <v>324.69474275039357</v>
      </c>
      <c r="T133" s="59">
        <f t="shared" ref="T133:T196" si="142">$T$3</f>
        <v>437.68177084535927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54.773836797867183</v>
      </c>
      <c r="AA133" s="21">
        <f>EXP(-LN(2)/25)*AA132+(1-EXP(-LN(2)/25))/(LN(2)/25)*Calculateur!V133*Calculateur!X133*VLOOKUP('Données projet'!$B$9,Paramètres!$A$1:$I$89,3,0)*0.475*44/12</f>
        <v>10.334546945912873</v>
      </c>
      <c r="AB133" s="21">
        <f>EXP(-LN(2)/2)*AB132+(1-EXP(-LN(2)/2))/(LN(2)/2)*V133*Y133*VLOOKUP('Données projet'!$B$9,Paramètres!$A$1:$I$89,3,0)*0.475*44/12</f>
        <v>3.3290457654240891E-10</v>
      </c>
      <c r="AC133" s="22">
        <f t="shared" si="111"/>
        <v>65.108383744112956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1.1368683772161603E-13</v>
      </c>
      <c r="AJ133" s="13">
        <f>AI133*VLOOKUP('Données projet'!$B$10,Paramètres!$A$1:$I$89,3,0)*VLOOKUP('Données projet'!$B$10,Paramètres!$A$1:$I$89,5,0)</f>
        <v>6.7984728957526396E-14</v>
      </c>
      <c r="AK133" s="13">
        <f t="shared" ref="AK133:AK153" si="143">EXP(-1.0587+0.8836*LN(AJ133)+0.284)</f>
        <v>1.0682447123141398E-12</v>
      </c>
      <c r="AL133" s="20">
        <f t="shared" si="112"/>
        <v>1.978932943548152E-12</v>
      </c>
      <c r="AM133" s="59">
        <f t="shared" si="113"/>
        <v>293.3333333333353</v>
      </c>
      <c r="AN133" s="59">
        <f ca="1">AVERAGE(OFFSET($AM$3,0,0,'Données projet'!$E$10+1,1))-AVERAGE(OFFSET($H$3,0,0,'Données projet'!$E$10+1,1))</f>
        <v>214.93913810439858</v>
      </c>
      <c r="AO133" s="59">
        <f t="shared" ref="AO133:AO196" si="144">$AO$3</f>
        <v>210.65603079265924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34.71727722986612</v>
      </c>
      <c r="AV133" s="21">
        <f>EXP(-LN(2)/25)*AV132+(1-EXP(-LN(2)/25))/(LN(2)/25)*Calculateur!AQ133*Calculateur!AS133*VLOOKUP('Données projet'!$B$10,Paramètres!$A$1:$I$89,3,0)*0.475*44/12</f>
        <v>6.9554428838177129</v>
      </c>
      <c r="AW133" s="21">
        <f>EXP(-LN(2)/2)*AW132+(1-EXP(-LN(2)/2))/(LN(2)/2)*AQ133*AT133*VLOOKUP('Données projet'!$B$10,Paramètres!$A$1:$I$89,3,0)*0.475*44/12</f>
        <v>1.745107665872012E-9</v>
      </c>
      <c r="AX133" s="21">
        <f t="shared" si="114"/>
        <v>41.672720115428938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>
        <f>VLOOKUP(A133,'Données projet'!$A$87:$I$107,2,0)</f>
        <v>606.41</v>
      </c>
      <c r="BB133" s="12">
        <f>VLOOKUP(A133,'Données projet'!$A$87:$I$107,9,0)</f>
        <v>10.745999999999999</v>
      </c>
      <c r="BC133" s="12">
        <f t="array" ref="BC133">INDEX(BB:BB,MIN(IF(ISNUMBER(BB133:BB329),ROW(BB133:BB329),"")))</f>
        <v>10.745999999999999</v>
      </c>
      <c r="BD133" s="12">
        <f>IF('Données projet'!$A$88&gt;35,BD132+BC133-BL132,IF(A133&lt;'Données projet'!$A$88,$BA$205^A133,IF(A133='Données projet'!$A$88,'Données projet'!$B$88,BD132+BC133-BL132)))</f>
        <v>606.41</v>
      </c>
      <c r="BE133" s="13">
        <f>BD133*VLOOKUP('Données projet'!$B$11,Paramètres!$A$1:$I$89,3,0)*VLOOKUP('Données projet'!$B$11,Paramètres!$A$1:$I$89,5,0)</f>
        <v>548.67976799999997</v>
      </c>
      <c r="BF133" s="13">
        <f t="shared" ref="BF133:BF153" si="145">EXP(-1.0587+0.8836*LN(BE133)+0.284)</f>
        <v>121.34287647942783</v>
      </c>
      <c r="BG133" s="20">
        <f t="shared" si="115"/>
        <v>1166.95610580167</v>
      </c>
      <c r="BH133" s="59">
        <f t="shared" si="116"/>
        <v>1460.2894391350032</v>
      </c>
      <c r="BI133" s="59">
        <f ca="1">AVERAGE(OFFSET($BH$3,0,0,'Données projet'!$E$11+1,1))-AVERAGE(OFFSET($H$3,0,0,'Données projet'!$E$11+1,1))</f>
        <v>507.69556381324213</v>
      </c>
      <c r="BJ133" s="59">
        <f t="shared" ref="BJ133:BJ196" si="146">$BJ$3</f>
        <v>129.52638237044044</v>
      </c>
      <c r="BK133" s="15">
        <f>IF(ISNA(VLOOKUP(A133,'Données projet'!$A$87:$I$107,3,0)),0,VLOOKUP(A133,'Données projet'!$A$87:$I$107,3,0))</f>
        <v>12</v>
      </c>
      <c r="BL133" s="15">
        <f>IF(ISNA(VLOOKUP(A133,'Données projet'!$A$87:$I$107,4,0)),0,VLOOKUP(A133,'Données projet'!$A$87:$I$107,4,0))</f>
        <v>75.799999999999955</v>
      </c>
      <c r="BM133" s="16">
        <f>IF(ISNA(VLOOKUP(A133,'Données projet'!$A$87:$I$107,5,0)),0%,VLOOKUP(A133,'Données projet'!$A$87:$I$107,5,0)*VLOOKUP('Données projet'!$B$11,Paramètres!$A$1:$I$89,7,0))</f>
        <v>0.215</v>
      </c>
      <c r="BN133" s="16">
        <f>IF(ISNA(VLOOKUP(A133,'Données projet'!$A$87:$I$107,6,0)),0%,VLOOKUP(A133,'Données projet'!$A$87:$I$107,6,0)*VLOOKUP('Données projet'!$B$11,Paramètres!$A$1:$I$89,7,0))</f>
        <v>8.6000000000000007E-2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67.022188447492425</v>
      </c>
      <c r="BQ133" s="21">
        <f>EXP(-LN(2)/25)*BQ132+(1-EXP(-LN(2)/25))/(LN(2)/25)*Calculateur!BL133*Calculateur!BN133*VLOOKUP('Données projet'!$B$11,Paramètres!$A$1:$I$89,3,0)*0.475*44/12</f>
        <v>29.608559822433588</v>
      </c>
      <c r="BR133" s="21">
        <f>EXP(-LN(2)/2)*BR132+(1-EXP(-LN(2)/2))/(LN(2)/2)*BL133*BO133*VLOOKUP('Données projet'!$B$11,Paramètres!$A$1:$I$89,3,0)*0.475*44/12</f>
        <v>5.9016182212358532E-6</v>
      </c>
      <c r="BS133" s="22">
        <f t="shared" si="117"/>
        <v>96.63075417154424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7.1129999999999995</v>
      </c>
      <c r="BY133" s="12">
        <f>IF('Données projet'!$A$114&gt;35,BY132+BX133-CG132,IF(A133&lt;'Données projet'!$A$114,$BV$205^A133,IF(A133='Données projet'!$A$114,'Données projet'!$B$114,BY132+BX133-CG132)))</f>
        <v>326.34400000000005</v>
      </c>
      <c r="BZ133" s="13">
        <f>BY133*VLOOKUP('Données projet'!$B$12,Paramètres!$A$1:$I$89,3,0)*VLOOKUP('Données projet'!$B$12,Paramètres!$A$1:$I$89,5,0)</f>
        <v>315.63991680000004</v>
      </c>
      <c r="CA133" s="13">
        <f t="shared" ref="CA133:CA153" si="147">EXP(-1.0587+0.8836*LN(BZ133)+0.284)</f>
        <v>74.445430484125623</v>
      </c>
      <c r="CB133" s="20">
        <f t="shared" si="118"/>
        <v>679.39864651985215</v>
      </c>
      <c r="CC133" s="59">
        <f t="shared" si="119"/>
        <v>972.73197985318552</v>
      </c>
      <c r="CD133" s="59">
        <f ca="1">AVERAGE(OFFSET($CC$3,0,0,'Données projet'!$E$12+1,1))-AVERAGE(OFFSET($H$3,0,0,'Données projet'!$E$12+1,1))</f>
        <v>292.52253679467469</v>
      </c>
      <c r="CE133" s="59">
        <f t="shared" ref="CE133:CE196" si="148">$CE$3</f>
        <v>155.7114133976541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20.790577612007112</v>
      </c>
      <c r="CL133" s="21">
        <f>EXP(-LN(2)/25)*CL132+(1-EXP(-LN(2)/25))/(LN(2)/25)*Calculateur!CG133*Calculateur!CI133*VLOOKUP('Données projet'!$B$12,Paramètres!$A$1:$I$89,3,0)*0.475*44/12</f>
        <v>19.522796251152602</v>
      </c>
      <c r="CM133" s="21">
        <f>EXP(-LN(2)/2)*CM132+(1-EXP(-LN(2)/2))/(LN(2)/2)*CG133*CJ133*VLOOKUP('Données projet'!$B$12,Paramètres!$A$1:$I$89,3,0)*0.475*44/12</f>
        <v>0.27235354927969435</v>
      </c>
      <c r="CN133" s="22">
        <f t="shared" si="120"/>
        <v>40.585727412439404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-1.1368683772161603E-13</v>
      </c>
      <c r="CU133" s="17">
        <f>CT133*VLOOKUP('Données projet'!$B$13,Paramètres!$A$1:$I$89,3,0)*VLOOKUP('Données projet'!$B$13,Paramètres!$A$1:$I$89,5,0)</f>
        <v>-8.8675733422860506E-14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100.54865094989304</v>
      </c>
      <c r="CZ133" s="59">
        <f t="shared" ref="CZ133:CZ196" si="150">$CZ$3</f>
        <v>99.95654161405389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8.2352585406626666</v>
      </c>
      <c r="DG133" s="21">
        <f>EXP(-LN(2)/25)*DG132+(1-EXP(-LN(2)/25))/(LN(2)/25)*Calculateur!DB133*Calculateur!DD133*VLOOKUP('Données projet'!$B$13,Paramètres!$A$1:$I$89,3,0)*0.475*44/12</f>
        <v>5.0010781661188002</v>
      </c>
      <c r="DH133" s="21">
        <f>EXP(-LN(2)/2)*DH132+(1-EXP(-LN(2)/2))/(LN(2)/2)*DB133*DE133*VLOOKUP('Données projet'!$B$13,Paramètres!$A$1:$I$89,3,0)*0.475*44/12</f>
        <v>2.5647784863236515E-8</v>
      </c>
      <c r="DI133" s="22">
        <f t="shared" si="123"/>
        <v>13.236336732429251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4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114.44159999999989</v>
      </c>
      <c r="D134" s="11">
        <f t="shared" si="140"/>
        <v>30.37503712984369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1117.8828129321257</v>
      </c>
      <c r="H134" s="67">
        <f t="shared" si="110"/>
        <v>545.55564300114418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3.4106051316484809E-13</v>
      </c>
      <c r="O134" s="13">
        <f>N134*VLOOKUP('Données projet'!$B$9,Paramètres!$A$1:$I$89,3,0)*VLOOKUP('Données projet'!$B$9,Paramètres!$A$1:$I$89,5,0)</f>
        <v>1.9065282685915009E-13</v>
      </c>
      <c r="P134" s="13">
        <f t="shared" si="141"/>
        <v>2.6568987209435707E-12</v>
      </c>
      <c r="Q134" s="20">
        <f t="shared" si="108"/>
        <v>4.959485612423072E-12</v>
      </c>
      <c r="R134" s="59">
        <f t="shared" si="109"/>
        <v>293.33333333333826</v>
      </c>
      <c r="S134" s="59">
        <f ca="1">AVERAGE(OFFSET($R$3,0,0,'Données projet'!$E$9+1,1))-AVERAGE(OFFSET($H$3,0,0,'Données projet'!$E$9+1,1))</f>
        <v>324.69474275039357</v>
      </c>
      <c r="T134" s="59">
        <f t="shared" si="142"/>
        <v>437.68177084535927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53.699755267002615</v>
      </c>
      <c r="AA134" s="21">
        <f>EXP(-LN(2)/25)*AA133+(1-EXP(-LN(2)/25))/(LN(2)/25)*Calculateur!V134*Calculateur!X134*VLOOKUP('Données projet'!$B$9,Paramètres!$A$1:$I$89,3,0)*0.475*44/12</f>
        <v>10.051948216206682</v>
      </c>
      <c r="AB134" s="21">
        <f>EXP(-LN(2)/2)*AB133+(1-EXP(-LN(2)/2))/(LN(2)/2)*V134*Y134*VLOOKUP('Données projet'!$B$9,Paramètres!$A$1:$I$89,3,0)*0.475*44/12</f>
        <v>2.3539908356117339E-10</v>
      </c>
      <c r="AC134" s="22">
        <f t="shared" si="111"/>
        <v>63.751703483444693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1.1368683772161603E-13</v>
      </c>
      <c r="AJ134" s="13">
        <f>AI134*VLOOKUP('Données projet'!$B$10,Paramètres!$A$1:$I$89,3,0)*VLOOKUP('Données projet'!$B$10,Paramètres!$A$1:$I$89,5,0)</f>
        <v>6.7984728957526396E-14</v>
      </c>
      <c r="AK134" s="13">
        <f t="shared" si="143"/>
        <v>1.0682447123141398E-12</v>
      </c>
      <c r="AL134" s="20">
        <f t="shared" si="112"/>
        <v>1.978932943548152E-12</v>
      </c>
      <c r="AM134" s="59">
        <f t="shared" si="113"/>
        <v>293.3333333333353</v>
      </c>
      <c r="AN134" s="59">
        <f ca="1">AVERAGE(OFFSET($AM$3,0,0,'Données projet'!$E$10+1,1))-AVERAGE(OFFSET($H$3,0,0,'Données projet'!$E$10+1,1))</f>
        <v>214.93913810439858</v>
      </c>
      <c r="AO134" s="59">
        <f t="shared" si="144"/>
        <v>210.65603079265924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34.036492598836652</v>
      </c>
      <c r="AV134" s="21">
        <f>EXP(-LN(2)/25)*AV133+(1-EXP(-LN(2)/25))/(LN(2)/25)*Calculateur!AQ134*Calculateur!AS134*VLOOKUP('Données projet'!$B$10,Paramètres!$A$1:$I$89,3,0)*0.475*44/12</f>
        <v>6.765245932388873</v>
      </c>
      <c r="AW134" s="21">
        <f>EXP(-LN(2)/2)*AW133+(1-EXP(-LN(2)/2))/(LN(2)/2)*AQ134*AT134*VLOOKUP('Données projet'!$B$10,Paramètres!$A$1:$I$89,3,0)*0.475*44/12</f>
        <v>1.2339774644387274E-9</v>
      </c>
      <c r="AX134" s="21">
        <f t="shared" si="114"/>
        <v>40.801738532459503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10.843999999999994</v>
      </c>
      <c r="BD134" s="12">
        <f>IF('Données projet'!$A$88&gt;35,BD133+BC134-BL133,IF(A134&lt;'Données projet'!$A$88,$BA$205^A134,IF(A134='Données projet'!$A$88,'Données projet'!$B$88,BD133+BC134-BL133)))</f>
        <v>541.45399999999995</v>
      </c>
      <c r="BE134" s="13">
        <f>BD134*VLOOKUP('Données projet'!$B$11,Paramètres!$A$1:$I$89,3,0)*VLOOKUP('Données projet'!$B$11,Paramètres!$A$1:$I$89,5,0)</f>
        <v>489.90757919999993</v>
      </c>
      <c r="BF134" s="13">
        <f t="shared" si="145"/>
        <v>109.78346531715303</v>
      </c>
      <c r="BG134" s="20">
        <f t="shared" si="115"/>
        <v>1044.4619025340414</v>
      </c>
      <c r="BH134" s="59">
        <f t="shared" si="116"/>
        <v>1337.7952358673747</v>
      </c>
      <c r="BI134" s="59">
        <f ca="1">AVERAGE(OFFSET($BH$3,0,0,'Données projet'!$E$11+1,1))-AVERAGE(OFFSET($H$3,0,0,'Données projet'!$E$11+1,1))</f>
        <v>507.69556381324213</v>
      </c>
      <c r="BJ134" s="59">
        <f t="shared" si="146"/>
        <v>129.52638237044044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65.707924211535541</v>
      </c>
      <c r="BQ134" s="21">
        <f>EXP(-LN(2)/25)*BQ133+(1-EXP(-LN(2)/25))/(LN(2)/25)*Calculateur!BL134*Calculateur!BN134*VLOOKUP('Données projet'!$B$11,Paramètres!$A$1:$I$89,3,0)*0.475*44/12</f>
        <v>28.79891219704265</v>
      </c>
      <c r="BR134" s="21">
        <f>EXP(-LN(2)/2)*BR133+(1-EXP(-LN(2)/2))/(LN(2)/2)*BL134*BO134*VLOOKUP('Données projet'!$B$11,Paramètres!$A$1:$I$89,3,0)*0.475*44/12</f>
        <v>4.1730742642099622E-6</v>
      </c>
      <c r="BS134" s="22">
        <f t="shared" si="117"/>
        <v>94.506840581652455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7.1129999999999995</v>
      </c>
      <c r="BY134" s="12">
        <f>IF('Données projet'!$A$114&gt;35,BY133+BX134-CG133,IF(A134&lt;'Données projet'!$A$114,$BV$205^A134,IF(A134='Données projet'!$A$114,'Données projet'!$B$114,BY133+BX134-CG133)))</f>
        <v>333.45700000000005</v>
      </c>
      <c r="BZ134" s="13">
        <f>BY134*VLOOKUP('Données projet'!$B$12,Paramètres!$A$1:$I$89,3,0)*VLOOKUP('Données projet'!$B$12,Paramètres!$A$1:$I$89,5,0)</f>
        <v>322.51961040000003</v>
      </c>
      <c r="CA134" s="13">
        <f t="shared" si="147"/>
        <v>75.877368066903443</v>
      </c>
      <c r="CB134" s="20">
        <f t="shared" si="118"/>
        <v>693.87473749652361</v>
      </c>
      <c r="CC134" s="59">
        <f t="shared" si="119"/>
        <v>987.20807082985698</v>
      </c>
      <c r="CD134" s="59">
        <f ca="1">AVERAGE(OFFSET($CC$3,0,0,'Données projet'!$E$12+1,1))-AVERAGE(OFFSET($H$3,0,0,'Données projet'!$E$12+1,1))</f>
        <v>292.52253679467469</v>
      </c>
      <c r="CE134" s="59">
        <f t="shared" si="148"/>
        <v>155.7114133976541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20.382887066035853</v>
      </c>
      <c r="CL134" s="21">
        <f>EXP(-LN(2)/25)*CL133+(1-EXP(-LN(2)/25))/(LN(2)/25)*Calculateur!CG134*Calculateur!CI134*VLOOKUP('Données projet'!$B$12,Paramètres!$A$1:$I$89,3,0)*0.475*44/12</f>
        <v>18.988944361005601</v>
      </c>
      <c r="CM134" s="21">
        <f>EXP(-LN(2)/2)*CM133+(1-EXP(-LN(2)/2))/(LN(2)/2)*CG134*CJ134*VLOOKUP('Données projet'!$B$12,Paramètres!$A$1:$I$89,3,0)*0.475*44/12</f>
        <v>0.19258304157589642</v>
      </c>
      <c r="CN134" s="22">
        <f t="shared" si="120"/>
        <v>39.56441446861735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-1.1368683772161603E-13</v>
      </c>
      <c r="CU134" s="17">
        <f>CT134*VLOOKUP('Données projet'!$B$13,Paramètres!$A$1:$I$89,3,0)*VLOOKUP('Données projet'!$B$13,Paramètres!$A$1:$I$89,5,0)</f>
        <v>-8.8675733422860506E-14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100.54865094989304</v>
      </c>
      <c r="CZ134" s="59">
        <f t="shared" si="150"/>
        <v>99.95654161405389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8.0737701436920002</v>
      </c>
      <c r="DG134" s="21">
        <f>EXP(-LN(2)/25)*DG133+(1-EXP(-LN(2)/25))/(LN(2)/25)*Calculateur!DB134*Calculateur!DD134*VLOOKUP('Données projet'!$B$13,Paramètres!$A$1:$I$89,3,0)*0.475*44/12</f>
        <v>4.8643234206710106</v>
      </c>
      <c r="DH134" s="21">
        <f>EXP(-LN(2)/2)*DH133+(1-EXP(-LN(2)/2))/(LN(2)/2)*DB134*DE134*VLOOKUP('Données projet'!$B$13,Paramètres!$A$1:$I$89,3,0)*0.475*44/12</f>
        <v>1.8135722599208228E-8</v>
      </c>
      <c r="DI134" s="22">
        <f t="shared" si="123"/>
        <v>12.938093582498734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4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115.31519999999989</v>
      </c>
      <c r="D135" s="11">
        <f t="shared" si="140"/>
        <v>30.579827148797293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1126.2072271135221</v>
      </c>
      <c r="H135" s="67">
        <f t="shared" si="110"/>
        <v>547.43383895082161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3.4106051316484809E-13</v>
      </c>
      <c r="O135" s="13">
        <f>N135*VLOOKUP('Données projet'!$B$9,Paramètres!$A$1:$I$89,3,0)*VLOOKUP('Données projet'!$B$9,Paramètres!$A$1:$I$89,5,0)</f>
        <v>1.9065282685915009E-13</v>
      </c>
      <c r="P135" s="13">
        <f t="shared" si="141"/>
        <v>2.6568987209435707E-12</v>
      </c>
      <c r="Q135" s="20">
        <f t="shared" si="108"/>
        <v>4.959485612423072E-12</v>
      </c>
      <c r="R135" s="59">
        <f t="shared" si="109"/>
        <v>293.33333333333826</v>
      </c>
      <c r="S135" s="59">
        <f ca="1">AVERAGE(OFFSET($R$3,0,0,'Données projet'!$E$9+1,1))-AVERAGE(OFFSET($H$3,0,0,'Données projet'!$E$9+1,1))</f>
        <v>324.69474275039357</v>
      </c>
      <c r="T135" s="59">
        <f t="shared" si="142"/>
        <v>437.68177084535927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52.646735819833253</v>
      </c>
      <c r="AA135" s="21">
        <f>EXP(-LN(2)/25)*AA134+(1-EXP(-LN(2)/25))/(LN(2)/25)*Calculateur!V135*Calculateur!X135*VLOOKUP('Données projet'!$B$9,Paramètres!$A$1:$I$89,3,0)*0.475*44/12</f>
        <v>9.7770771636255276</v>
      </c>
      <c r="AB135" s="21">
        <f>EXP(-LN(2)/2)*AB134+(1-EXP(-LN(2)/2))/(LN(2)/2)*V135*Y135*VLOOKUP('Données projet'!$B$9,Paramètres!$A$1:$I$89,3,0)*0.475*44/12</f>
        <v>1.6645228827120446E-10</v>
      </c>
      <c r="AC135" s="22">
        <f t="shared" si="111"/>
        <v>62.423812983625233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1.1368683772161603E-13</v>
      </c>
      <c r="AJ135" s="13">
        <f>AI135*VLOOKUP('Données projet'!$B$10,Paramètres!$A$1:$I$89,3,0)*VLOOKUP('Données projet'!$B$10,Paramètres!$A$1:$I$89,5,0)</f>
        <v>6.7984728957526396E-14</v>
      </c>
      <c r="AK135" s="13">
        <f t="shared" si="143"/>
        <v>1.0682447123141398E-12</v>
      </c>
      <c r="AL135" s="20">
        <f t="shared" si="112"/>
        <v>1.978932943548152E-12</v>
      </c>
      <c r="AM135" s="59">
        <f t="shared" si="113"/>
        <v>293.3333333333353</v>
      </c>
      <c r="AN135" s="59">
        <f ca="1">AVERAGE(OFFSET($AM$3,0,0,'Données projet'!$E$10+1,1))-AVERAGE(OFFSET($H$3,0,0,'Données projet'!$E$10+1,1))</f>
        <v>214.93913810439858</v>
      </c>
      <c r="AO135" s="59">
        <f t="shared" si="144"/>
        <v>210.65603079265924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33.369057739184051</v>
      </c>
      <c r="AV135" s="21">
        <f>EXP(-LN(2)/25)*AV134+(1-EXP(-LN(2)/25))/(LN(2)/25)*Calculateur!AQ135*Calculateur!AS135*VLOOKUP('Données projet'!$B$10,Paramètres!$A$1:$I$89,3,0)*0.475*44/12</f>
        <v>6.5802499265988779</v>
      </c>
      <c r="AW135" s="21">
        <f>EXP(-LN(2)/2)*AW134+(1-EXP(-LN(2)/2))/(LN(2)/2)*AQ135*AT135*VLOOKUP('Données projet'!$B$10,Paramètres!$A$1:$I$89,3,0)*0.475*44/12</f>
        <v>8.7255383293600598E-10</v>
      </c>
      <c r="AX135" s="21">
        <f t="shared" si="114"/>
        <v>39.949307666655478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10.843999999999994</v>
      </c>
      <c r="BD135" s="12">
        <f>IF('Données projet'!$A$88&gt;35,BD134+BC135-BL134,IF(A135&lt;'Données projet'!$A$88,$BA$205^A135,IF(A135='Données projet'!$A$88,'Données projet'!$B$88,BD134+BC135-BL134)))</f>
        <v>552.298</v>
      </c>
      <c r="BE135" s="13">
        <f>BD135*VLOOKUP('Données projet'!$B$11,Paramètres!$A$1:$I$89,3,0)*VLOOKUP('Données projet'!$B$11,Paramètres!$A$1:$I$89,5,0)</f>
        <v>499.71923039999996</v>
      </c>
      <c r="BF135" s="13">
        <f t="shared" si="145"/>
        <v>111.72398392673504</v>
      </c>
      <c r="BG135" s="20">
        <f t="shared" si="115"/>
        <v>1064.9302649523968</v>
      </c>
      <c r="BH135" s="59">
        <f t="shared" si="116"/>
        <v>1358.26359828573</v>
      </c>
      <c r="BI135" s="59">
        <f ca="1">AVERAGE(OFFSET($BH$3,0,0,'Données projet'!$E$11+1,1))-AVERAGE(OFFSET($H$3,0,0,'Données projet'!$E$11+1,1))</f>
        <v>507.69556381324213</v>
      </c>
      <c r="BJ135" s="59">
        <f t="shared" si="146"/>
        <v>129.52638237044044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64.419431895623731</v>
      </c>
      <c r="BQ135" s="21">
        <f>EXP(-LN(2)/25)*BQ134+(1-EXP(-LN(2)/25))/(LN(2)/25)*Calculateur!BL135*Calculateur!BN135*VLOOKUP('Données projet'!$B$11,Paramètres!$A$1:$I$89,3,0)*0.475*44/12</f>
        <v>28.011404428545546</v>
      </c>
      <c r="BR135" s="21">
        <f>EXP(-LN(2)/2)*BR134+(1-EXP(-LN(2)/2))/(LN(2)/2)*BL135*BO135*VLOOKUP('Données projet'!$B$11,Paramètres!$A$1:$I$89,3,0)*0.475*44/12</f>
        <v>2.9508091106179266E-6</v>
      </c>
      <c r="BS135" s="22">
        <f t="shared" si="117"/>
        <v>92.430839274978382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>
        <f>VLOOKUP(A135,'Données projet'!$A$113:$I$133,2,0)</f>
        <v>340.57</v>
      </c>
      <c r="BW135" s="12">
        <f>VLOOKUP(A135,'Données projet'!$A$113:$I$133,9,0)</f>
        <v>7.1129999999999995</v>
      </c>
      <c r="BX135" s="12">
        <f t="array" ref="BX135">INDEX(BW:BW,MIN(IF(ISNUMBER(BW135:BW331),ROW(BW135:BW331),"")))</f>
        <v>7.1129999999999995</v>
      </c>
      <c r="BY135" s="12">
        <f>IF('Données projet'!$A$114&gt;35,BY134+BX135-CG134,IF(A135&lt;'Données projet'!$A$114,$BV$205^A135,IF(A135='Données projet'!$A$114,'Données projet'!$B$114,BY134+BX135-CG134)))</f>
        <v>340.57000000000005</v>
      </c>
      <c r="BZ135" s="13">
        <f>BY135*VLOOKUP('Données projet'!$B$12,Paramètres!$A$1:$I$89,3,0)*VLOOKUP('Données projet'!$B$12,Paramètres!$A$1:$I$89,5,0)</f>
        <v>329.39930400000009</v>
      </c>
      <c r="CA135" s="13">
        <f t="shared" si="147"/>
        <v>77.305754362445725</v>
      </c>
      <c r="CB135" s="20">
        <f t="shared" si="118"/>
        <v>708.3446433145931</v>
      </c>
      <c r="CC135" s="59">
        <f t="shared" si="119"/>
        <v>1001.6779766479265</v>
      </c>
      <c r="CD135" s="59">
        <f ca="1">AVERAGE(OFFSET($CC$3,0,0,'Données projet'!$E$12+1,1))-AVERAGE(OFFSET($H$3,0,0,'Données projet'!$E$12+1,1))</f>
        <v>292.52253679467469</v>
      </c>
      <c r="CE135" s="59">
        <f t="shared" si="148"/>
        <v>155.7114133976541</v>
      </c>
      <c r="CF135" s="15">
        <f>IF(ISNA(VLOOKUP(A135,'Données projet'!$A$113:$I$133,3,0)),0,VLOOKUP(A135,'Données projet'!$A$113:$I$133,3,0))</f>
        <v>9</v>
      </c>
      <c r="CG135" s="15">
        <f>IF(ISNA(VLOOKUP(A135,'Données projet'!$A$113:$I$133,4,0)),0,VLOOKUP(A135,'Données projet'!$A$113:$I$133,4,0))</f>
        <v>48.699999999999989</v>
      </c>
      <c r="CH135" s="16">
        <f>IF(ISNA(VLOOKUP(A135,'Données projet'!$A$113:$I$133,5,0)),0%,VLOOKUP(A135,'Données projet'!$A$113:$I$133,5,0)*VLOOKUP('Données projet'!$B$12,Paramètres!$A$1:$I$89,7,0))</f>
        <v>0.15049999999999999</v>
      </c>
      <c r="CI135" s="16">
        <f>IF(ISNA(VLOOKUP(A135,'Données projet'!$A$113:$I$133,6,0)),0%,VLOOKUP(A135,'Données projet'!$A$113:$I$133,6,0)*VLOOKUP('Données projet'!$B$12,Paramètres!$A$1:$I$89,7,0))</f>
        <v>8.6000000000000007E-2</v>
      </c>
      <c r="CJ135" s="16">
        <f>IF(ISNA(VLOOKUP(A135,'Données projet'!$A$113:$I$133,7,0)),0%,VLOOKUP(A135,'Données projet'!$A$113:$I$133,7,0))</f>
        <v>0.1</v>
      </c>
      <c r="CK135" s="21">
        <f>EXP(-LN(2)/35)*CK134+(1-EXP(-LN(2)/35))/(LN(2)/35)*CG135*CH135*VLOOKUP('Données projet'!$B$12,Paramètres!$A$1:$I$89,3,0)*0.475*44/12</f>
        <v>27.819812367333899</v>
      </c>
      <c r="CL135" s="21">
        <f>EXP(-LN(2)/25)*CL134+(1-EXP(-LN(2)/25))/(LN(2)/25)*Calculateur!CG135*Calculateur!CI135*VLOOKUP('Données projet'!$B$12,Paramètres!$A$1:$I$89,3,0)*0.475*44/12</f>
        <v>22.930128119066591</v>
      </c>
      <c r="CM135" s="21">
        <f>EXP(-LN(2)/2)*CM134+(1-EXP(-LN(2)/2))/(LN(2)/2)*CG135*CJ135*VLOOKUP('Données projet'!$B$12,Paramètres!$A$1:$I$89,3,0)*0.475*44/12</f>
        <v>4.5804376335366808</v>
      </c>
      <c r="CN135" s="22">
        <f t="shared" si="120"/>
        <v>55.330378119937173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-1.1368683772161603E-13</v>
      </c>
      <c r="CU135" s="17">
        <f>CT135*VLOOKUP('Données projet'!$B$13,Paramètres!$A$1:$I$89,3,0)*VLOOKUP('Données projet'!$B$13,Paramètres!$A$1:$I$89,5,0)</f>
        <v>-8.8675733422860506E-14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100.54865094989304</v>
      </c>
      <c r="CZ135" s="59">
        <f t="shared" si="150"/>
        <v>99.95654161405389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7.9154484356877326</v>
      </c>
      <c r="DG135" s="21">
        <f>EXP(-LN(2)/25)*DG134+(1-EXP(-LN(2)/25))/(LN(2)/25)*Calculateur!DB135*Calculateur!DD135*VLOOKUP('Données projet'!$B$13,Paramètres!$A$1:$I$89,3,0)*0.475*44/12</f>
        <v>4.7313082409291107</v>
      </c>
      <c r="DH135" s="21">
        <f>EXP(-LN(2)/2)*DH134+(1-EXP(-LN(2)/2))/(LN(2)/2)*DB135*DE135*VLOOKUP('Données projet'!$B$13,Paramètres!$A$1:$I$89,3,0)*0.475*44/12</f>
        <v>1.2823892431618258E-8</v>
      </c>
      <c r="DI135" s="22">
        <f t="shared" si="123"/>
        <v>12.646756689440735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4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116.18879999999989</v>
      </c>
      <c r="D136" s="11">
        <f t="shared" si="140"/>
        <v>30.784436657961677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1134.5302478860192</v>
      </c>
      <c r="H136" s="67">
        <f t="shared" si="110"/>
        <v>549.31172051261638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3.4106051316484809E-13</v>
      </c>
      <c r="O136" s="13">
        <f>N136*VLOOKUP('Données projet'!$B$9,Paramètres!$A$1:$I$89,3,0)*VLOOKUP('Données projet'!$B$9,Paramètres!$A$1:$I$89,5,0)</f>
        <v>1.9065282685915009E-13</v>
      </c>
      <c r="P136" s="13">
        <f t="shared" si="141"/>
        <v>2.6568987209435707E-12</v>
      </c>
      <c r="Q136" s="20">
        <f t="shared" si="108"/>
        <v>4.959485612423072E-12</v>
      </c>
      <c r="R136" s="59">
        <f t="shared" si="109"/>
        <v>293.33333333333826</v>
      </c>
      <c r="S136" s="59">
        <f ca="1">AVERAGE(OFFSET($R$3,0,0,'Données projet'!$E$9+1,1))-AVERAGE(OFFSET($H$3,0,0,'Données projet'!$E$9+1,1))</f>
        <v>324.69474275039357</v>
      </c>
      <c r="T136" s="59">
        <f t="shared" si="142"/>
        <v>437.68177084535927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51.61436544174444</v>
      </c>
      <c r="AA136" s="21">
        <f>EXP(-LN(2)/25)*AA135+(1-EXP(-LN(2)/25))/(LN(2)/25)*Calculateur!V136*Calculateur!X136*VLOOKUP('Données projet'!$B$9,Paramètres!$A$1:$I$89,3,0)*0.475*44/12</f>
        <v>9.5097224744320457</v>
      </c>
      <c r="AB136" s="21">
        <f>EXP(-LN(2)/2)*AB135+(1-EXP(-LN(2)/2))/(LN(2)/2)*V136*Y136*VLOOKUP('Données projet'!$B$9,Paramètres!$A$1:$I$89,3,0)*0.475*44/12</f>
        <v>1.176995417805867E-10</v>
      </c>
      <c r="AC136" s="22">
        <f t="shared" si="111"/>
        <v>61.124087916294187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1.1368683772161603E-13</v>
      </c>
      <c r="AJ136" s="13">
        <f>AI136*VLOOKUP('Données projet'!$B$10,Paramètres!$A$1:$I$89,3,0)*VLOOKUP('Données projet'!$B$10,Paramètres!$A$1:$I$89,5,0)</f>
        <v>6.7984728957526396E-14</v>
      </c>
      <c r="AK136" s="13">
        <f t="shared" si="143"/>
        <v>1.0682447123141398E-12</v>
      </c>
      <c r="AL136" s="20">
        <f t="shared" si="112"/>
        <v>1.978932943548152E-12</v>
      </c>
      <c r="AM136" s="59">
        <f t="shared" si="113"/>
        <v>293.3333333333353</v>
      </c>
      <c r="AN136" s="59">
        <f ca="1">AVERAGE(OFFSET($AM$3,0,0,'Données projet'!$E$10+1,1))-AVERAGE(OFFSET($H$3,0,0,'Données projet'!$E$10+1,1))</f>
        <v>214.93913810439858</v>
      </c>
      <c r="AO136" s="59">
        <f t="shared" si="144"/>
        <v>210.65603079265924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32.714710870034168</v>
      </c>
      <c r="AV136" s="21">
        <f>EXP(-LN(2)/25)*AV135+(1-EXP(-LN(2)/25))/(LN(2)/25)*Calculateur!AQ136*Calculateur!AS136*VLOOKUP('Données projet'!$B$10,Paramètres!$A$1:$I$89,3,0)*0.475*44/12</f>
        <v>6.4003126463157276</v>
      </c>
      <c r="AW136" s="21">
        <f>EXP(-LN(2)/2)*AW135+(1-EXP(-LN(2)/2))/(LN(2)/2)*AQ136*AT136*VLOOKUP('Données projet'!$B$10,Paramètres!$A$1:$I$89,3,0)*0.475*44/12</f>
        <v>6.1698873221936372E-10</v>
      </c>
      <c r="AX136" s="21">
        <f t="shared" si="114"/>
        <v>39.115023516966879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10.843999999999994</v>
      </c>
      <c r="BD136" s="12">
        <f>IF('Données projet'!$A$88&gt;35,BD135+BC136-BL135,IF(A136&lt;'Données projet'!$A$88,$BA$205^A136,IF(A136='Données projet'!$A$88,'Données projet'!$B$88,BD135+BC136-BL135)))</f>
        <v>563.14200000000005</v>
      </c>
      <c r="BE136" s="13">
        <f>BD136*VLOOKUP('Données projet'!$B$11,Paramètres!$A$1:$I$89,3,0)*VLOOKUP('Données projet'!$B$11,Paramètres!$A$1:$I$89,5,0)</f>
        <v>509.53088160000004</v>
      </c>
      <c r="BF136" s="13">
        <f t="shared" si="145"/>
        <v>113.66007236881403</v>
      </c>
      <c r="BG136" s="20">
        <f t="shared" si="115"/>
        <v>1085.3909114956843</v>
      </c>
      <c r="BH136" s="59">
        <f t="shared" si="116"/>
        <v>1378.7242448290176</v>
      </c>
      <c r="BI136" s="59">
        <f ca="1">AVERAGE(OFFSET($BH$3,0,0,'Données projet'!$E$11+1,1))-AVERAGE(OFFSET($H$3,0,0,'Données projet'!$E$11+1,1))</f>
        <v>507.69556381324213</v>
      </c>
      <c r="BJ136" s="59">
        <f t="shared" si="146"/>
        <v>129.52638237044044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63.156206128124246</v>
      </c>
      <c r="BQ136" s="21">
        <f>EXP(-LN(2)/25)*BQ135+(1-EXP(-LN(2)/25))/(LN(2)/25)*Calculateur!BL136*Calculateur!BN136*VLOOKUP('Données projet'!$B$11,Paramètres!$A$1:$I$89,3,0)*0.475*44/12</f>
        <v>27.24543110139123</v>
      </c>
      <c r="BR136" s="21">
        <f>EXP(-LN(2)/2)*BR135+(1-EXP(-LN(2)/2))/(LN(2)/2)*BL136*BO136*VLOOKUP('Données projet'!$B$11,Paramètres!$A$1:$I$89,3,0)*0.475*44/12</f>
        <v>2.0865371321049811E-6</v>
      </c>
      <c r="BS136" s="22">
        <f t="shared" si="117"/>
        <v>90.401639316052609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7.3375000000000012</v>
      </c>
      <c r="BY136" s="12">
        <f>IF('Données projet'!$A$114&gt;35,BY135+BX136-CG135,IF(A136&lt;'Données projet'!$A$114,$BV$205^A136,IF(A136='Données projet'!$A$114,'Données projet'!$B$114,BY135+BX136-CG135)))</f>
        <v>299.20750000000004</v>
      </c>
      <c r="BZ136" s="13">
        <f>BY136*VLOOKUP('Données projet'!$B$12,Paramètres!$A$1:$I$89,3,0)*VLOOKUP('Données projet'!$B$12,Paramètres!$A$1:$I$89,5,0)</f>
        <v>289.39349400000003</v>
      </c>
      <c r="CA136" s="13">
        <f t="shared" si="147"/>
        <v>68.948295794590706</v>
      </c>
      <c r="CB136" s="20">
        <f t="shared" si="118"/>
        <v>624.1119505589121</v>
      </c>
      <c r="CC136" s="59">
        <f t="shared" si="119"/>
        <v>917.44528389224547</v>
      </c>
      <c r="CD136" s="59">
        <f ca="1">AVERAGE(OFFSET($CC$3,0,0,'Données projet'!$E$12+1,1))-AVERAGE(OFFSET($H$3,0,0,'Données projet'!$E$12+1,1))</f>
        <v>292.52253679467469</v>
      </c>
      <c r="CE136" s="59">
        <f t="shared" si="148"/>
        <v>155.7114133976541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27.274282815220534</v>
      </c>
      <c r="CL136" s="21">
        <f>EXP(-LN(2)/25)*CL135+(1-EXP(-LN(2)/25))/(LN(2)/25)*Calculateur!CG136*Calculateur!CI136*VLOOKUP('Données projet'!$B$12,Paramètres!$A$1:$I$89,3,0)*0.475*44/12</f>
        <v>22.303102559807684</v>
      </c>
      <c r="CM136" s="21">
        <f>EXP(-LN(2)/2)*CM135+(1-EXP(-LN(2)/2))/(LN(2)/2)*CG136*CJ136*VLOOKUP('Données projet'!$B$12,Paramètres!$A$1:$I$89,3,0)*0.475*44/12</f>
        <v>3.2388585114758497</v>
      </c>
      <c r="CN136" s="22">
        <f t="shared" si="120"/>
        <v>52.816243886504061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-1.1368683772161603E-13</v>
      </c>
      <c r="CU136" s="17">
        <f>CT136*VLOOKUP('Données projet'!$B$13,Paramètres!$A$1:$I$89,3,0)*VLOOKUP('Données projet'!$B$13,Paramètres!$A$1:$I$89,5,0)</f>
        <v>-8.8675733422860506E-14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100.54865094989304</v>
      </c>
      <c r="CZ136" s="59">
        <f t="shared" si="150"/>
        <v>99.95654161405389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7.760231319810722</v>
      </c>
      <c r="DG136" s="21">
        <f>EXP(-LN(2)/25)*DG135+(1-EXP(-LN(2)/25))/(LN(2)/25)*Calculateur!DB136*Calculateur!DD136*VLOOKUP('Données projet'!$B$13,Paramètres!$A$1:$I$89,3,0)*0.475*44/12</f>
        <v>4.6019303682722175</v>
      </c>
      <c r="DH136" s="21">
        <f>EXP(-LN(2)/2)*DH135+(1-EXP(-LN(2)/2))/(LN(2)/2)*DB136*DE136*VLOOKUP('Données projet'!$B$13,Paramètres!$A$1:$I$89,3,0)*0.475*44/12</f>
        <v>9.067861299604114E-9</v>
      </c>
      <c r="DI136" s="22">
        <f t="shared" si="123"/>
        <v>12.3621616971508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4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117.06239999999988</v>
      </c>
      <c r="D137" s="11">
        <f t="shared" si="140"/>
        <v>30.988867171899123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1142.851886940975</v>
      </c>
      <c r="H137" s="67">
        <f t="shared" si="110"/>
        <v>551.18929032439075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3.4106051316484809E-13</v>
      </c>
      <c r="O137" s="13">
        <f>N137*VLOOKUP('Données projet'!$B$9,Paramètres!$A$1:$I$89,3,0)*VLOOKUP('Données projet'!$B$9,Paramètres!$A$1:$I$89,5,0)</f>
        <v>1.9065282685915009E-13</v>
      </c>
      <c r="P137" s="13">
        <f t="shared" si="141"/>
        <v>2.6568987209435707E-12</v>
      </c>
      <c r="Q137" s="20">
        <f t="shared" si="108"/>
        <v>4.959485612423072E-12</v>
      </c>
      <c r="R137" s="59">
        <f t="shared" si="109"/>
        <v>293.33333333333826</v>
      </c>
      <c r="S137" s="59">
        <f ca="1">AVERAGE(OFFSET($R$3,0,0,'Données projet'!$E$9+1,1))-AVERAGE(OFFSET($H$3,0,0,'Données projet'!$E$9+1,1))</f>
        <v>324.69474275039357</v>
      </c>
      <c r="T137" s="59">
        <f t="shared" si="142"/>
        <v>437.68177084535927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50.602239217086193</v>
      </c>
      <c r="AA137" s="21">
        <f>EXP(-LN(2)/25)*AA136+(1-EXP(-LN(2)/25))/(LN(2)/25)*Calculateur!V137*Calculateur!X137*VLOOKUP('Données projet'!$B$9,Paramètres!$A$1:$I$89,3,0)*0.475*44/12</f>
        <v>9.2496786132741313</v>
      </c>
      <c r="AB137" s="21">
        <f>EXP(-LN(2)/2)*AB136+(1-EXP(-LN(2)/2))/(LN(2)/2)*V137*Y137*VLOOKUP('Données projet'!$B$9,Paramètres!$A$1:$I$89,3,0)*0.475*44/12</f>
        <v>8.3226144135602229E-11</v>
      </c>
      <c r="AC137" s="22">
        <f t="shared" si="111"/>
        <v>59.851917830443547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1.1368683772161603E-13</v>
      </c>
      <c r="AJ137" s="13">
        <f>AI137*VLOOKUP('Données projet'!$B$10,Paramètres!$A$1:$I$89,3,0)*VLOOKUP('Données projet'!$B$10,Paramètres!$A$1:$I$89,5,0)</f>
        <v>6.7984728957526396E-14</v>
      </c>
      <c r="AK137" s="13">
        <f t="shared" si="143"/>
        <v>1.0682447123141398E-12</v>
      </c>
      <c r="AL137" s="20">
        <f t="shared" si="112"/>
        <v>1.978932943548152E-12</v>
      </c>
      <c r="AM137" s="59">
        <f t="shared" si="113"/>
        <v>293.3333333333353</v>
      </c>
      <c r="AN137" s="59">
        <f ca="1">AVERAGE(OFFSET($AM$3,0,0,'Données projet'!$E$10+1,1))-AVERAGE(OFFSET($H$3,0,0,'Données projet'!$E$10+1,1))</f>
        <v>214.93913810439858</v>
      </c>
      <c r="AO137" s="59">
        <f t="shared" si="144"/>
        <v>210.65603079265924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32.073195343876137</v>
      </c>
      <c r="AV137" s="21">
        <f>EXP(-LN(2)/25)*AV136+(1-EXP(-LN(2)/25))/(LN(2)/25)*Calculateur!AQ137*Calculateur!AS137*VLOOKUP('Données projet'!$B$10,Paramètres!$A$1:$I$89,3,0)*0.475*44/12</f>
        <v>6.2252957604244097</v>
      </c>
      <c r="AW137" s="21">
        <f>EXP(-LN(2)/2)*AW136+(1-EXP(-LN(2)/2))/(LN(2)/2)*AQ137*AT137*VLOOKUP('Données projet'!$B$10,Paramètres!$A$1:$I$89,3,0)*0.475*44/12</f>
        <v>4.3627691646800299E-10</v>
      </c>
      <c r="AX137" s="21">
        <f t="shared" si="114"/>
        <v>38.298491104736826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10.843999999999994</v>
      </c>
      <c r="BD137" s="12">
        <f>IF('Données projet'!$A$88&gt;35,BD136+BC137-BL136,IF(A137&lt;'Données projet'!$A$88,$BA$205^A137,IF(A137='Données projet'!$A$88,'Données projet'!$B$88,BD136+BC137-BL136)))</f>
        <v>573.9860000000001</v>
      </c>
      <c r="BE137" s="13">
        <f>BD137*VLOOKUP('Données projet'!$B$11,Paramètres!$A$1:$I$89,3,0)*VLOOKUP('Données projet'!$B$11,Paramètres!$A$1:$I$89,5,0)</f>
        <v>519.34253280000007</v>
      </c>
      <c r="BF137" s="13">
        <f t="shared" si="145"/>
        <v>115.5918257868824</v>
      </c>
      <c r="BG137" s="20">
        <f t="shared" si="115"/>
        <v>1105.8440078721535</v>
      </c>
      <c r="BH137" s="59">
        <f t="shared" si="116"/>
        <v>1399.1773412054868</v>
      </c>
      <c r="BI137" s="59">
        <f ca="1">AVERAGE(OFFSET($BH$3,0,0,'Données projet'!$E$11+1,1))-AVERAGE(OFFSET($H$3,0,0,'Données projet'!$E$11+1,1))</f>
        <v>507.69556381324213</v>
      </c>
      <c r="BJ137" s="59">
        <f t="shared" si="146"/>
        <v>129.52638237044044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61.917751447433787</v>
      </c>
      <c r="BQ137" s="21">
        <f>EXP(-LN(2)/25)*BQ136+(1-EXP(-LN(2)/25))/(LN(2)/25)*Calculateur!BL137*Calculateur!BN137*VLOOKUP('Données projet'!$B$11,Paramètres!$A$1:$I$89,3,0)*0.475*44/12</f>
        <v>26.500403355148734</v>
      </c>
      <c r="BR137" s="21">
        <f>EXP(-LN(2)/2)*BR136+(1-EXP(-LN(2)/2))/(LN(2)/2)*BL137*BO137*VLOOKUP('Données projet'!$B$11,Paramètres!$A$1:$I$89,3,0)*0.475*44/12</f>
        <v>1.4754045553089633E-6</v>
      </c>
      <c r="BS137" s="22">
        <f t="shared" si="117"/>
        <v>88.41815627798708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7.3375000000000012</v>
      </c>
      <c r="BY137" s="12">
        <f>IF('Données projet'!$A$114&gt;35,BY136+BX137-CG136,IF(A137&lt;'Données projet'!$A$114,$BV$205^A137,IF(A137='Données projet'!$A$114,'Données projet'!$B$114,BY136+BX137-CG136)))</f>
        <v>306.54500000000002</v>
      </c>
      <c r="BZ137" s="13">
        <f>BY137*VLOOKUP('Données projet'!$B$12,Paramètres!$A$1:$I$89,3,0)*VLOOKUP('Données projet'!$B$12,Paramètres!$A$1:$I$89,5,0)</f>
        <v>296.49032400000004</v>
      </c>
      <c r="CA137" s="13">
        <f t="shared" si="147"/>
        <v>70.44019741922979</v>
      </c>
      <c r="CB137" s="20">
        <f t="shared" si="118"/>
        <v>639.07065813849192</v>
      </c>
      <c r="CC137" s="59">
        <f t="shared" si="119"/>
        <v>932.40399147182529</v>
      </c>
      <c r="CD137" s="59">
        <f ca="1">AVERAGE(OFFSET($CC$3,0,0,'Données projet'!$E$12+1,1))-AVERAGE(OFFSET($H$3,0,0,'Données projet'!$E$12+1,1))</f>
        <v>292.52253679467469</v>
      </c>
      <c r="CE137" s="59">
        <f t="shared" si="148"/>
        <v>155.7114133976541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26.739450764883941</v>
      </c>
      <c r="CL137" s="21">
        <f>EXP(-LN(2)/25)*CL136+(1-EXP(-LN(2)/25))/(LN(2)/25)*Calculateur!CG137*Calculateur!CI137*VLOOKUP('Données projet'!$B$12,Paramètres!$A$1:$I$89,3,0)*0.475*44/12</f>
        <v>21.693223047440554</v>
      </c>
      <c r="CM137" s="21">
        <f>EXP(-LN(2)/2)*CM136+(1-EXP(-LN(2)/2))/(LN(2)/2)*CG137*CJ137*VLOOKUP('Données projet'!$B$12,Paramètres!$A$1:$I$89,3,0)*0.475*44/12</f>
        <v>2.2902188167683408</v>
      </c>
      <c r="CN137" s="22">
        <f t="shared" si="120"/>
        <v>50.722892629092833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-1.1368683772161603E-13</v>
      </c>
      <c r="CU137" s="17">
        <f>CT137*VLOOKUP('Données projet'!$B$13,Paramètres!$A$1:$I$89,3,0)*VLOOKUP('Données projet'!$B$13,Paramètres!$A$1:$I$89,5,0)</f>
        <v>-8.8675733422860506E-14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100.54865094989304</v>
      </c>
      <c r="CZ137" s="59">
        <f t="shared" si="150"/>
        <v>99.95654161405389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7.6080579169029665</v>
      </c>
      <c r="DG137" s="21">
        <f>EXP(-LN(2)/25)*DG136+(1-EXP(-LN(2)/25))/(LN(2)/25)*Calculateur!DB137*Calculateur!DD137*VLOOKUP('Données projet'!$B$13,Paramètres!$A$1:$I$89,3,0)*0.475*44/12</f>
        <v>4.4760903403468131</v>
      </c>
      <c r="DH137" s="21">
        <f>EXP(-LN(2)/2)*DH136+(1-EXP(-LN(2)/2))/(LN(2)/2)*DB137*DE137*VLOOKUP('Données projet'!$B$13,Paramètres!$A$1:$I$89,3,0)*0.475*44/12</f>
        <v>6.4119462158091288E-9</v>
      </c>
      <c r="DI137" s="22">
        <f t="shared" si="123"/>
        <v>12.084148263661726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4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117.93599999999988</v>
      </c>
      <c r="D138" s="11">
        <f t="shared" si="140"/>
        <v>31.193120181260472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1151.1721557851677</v>
      </c>
      <c r="H138" s="67">
        <f t="shared" si="110"/>
        <v>553.06655098236172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3.4106051316484809E-13</v>
      </c>
      <c r="O138" s="13">
        <f>N138*VLOOKUP('Données projet'!$B$9,Paramètres!$A$1:$I$89,3,0)*VLOOKUP('Données projet'!$B$9,Paramètres!$A$1:$I$89,5,0)</f>
        <v>1.9065282685915009E-13</v>
      </c>
      <c r="P138" s="13">
        <f t="shared" si="141"/>
        <v>2.6568987209435707E-12</v>
      </c>
      <c r="Q138" s="20">
        <f t="shared" si="108"/>
        <v>4.959485612423072E-12</v>
      </c>
      <c r="R138" s="59">
        <f t="shared" si="109"/>
        <v>293.33333333333826</v>
      </c>
      <c r="S138" s="59">
        <f ca="1">AVERAGE(OFFSET($R$3,0,0,'Données projet'!$E$9+1,1))-AVERAGE(OFFSET($H$3,0,0,'Données projet'!$E$9+1,1))</f>
        <v>324.69474275039357</v>
      </c>
      <c r="T138" s="59">
        <f t="shared" si="142"/>
        <v>437.68177084535927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49.609960170357461</v>
      </c>
      <c r="AA138" s="21">
        <f>EXP(-LN(2)/25)*AA137+(1-EXP(-LN(2)/25))/(LN(2)/25)*Calculateur!V138*Calculateur!X138*VLOOKUP('Données projet'!$B$9,Paramètres!$A$1:$I$89,3,0)*0.475*44/12</f>
        <v>8.9967456651746929</v>
      </c>
      <c r="AB138" s="21">
        <f>EXP(-LN(2)/2)*AB137+(1-EXP(-LN(2)/2))/(LN(2)/2)*V138*Y138*VLOOKUP('Données projet'!$B$9,Paramètres!$A$1:$I$89,3,0)*0.475*44/12</f>
        <v>5.8849770890293348E-11</v>
      </c>
      <c r="AC138" s="22">
        <f t="shared" si="111"/>
        <v>58.606705835591001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1.1368683772161603E-13</v>
      </c>
      <c r="AJ138" s="13">
        <f>AI138*VLOOKUP('Données projet'!$B$10,Paramètres!$A$1:$I$89,3,0)*VLOOKUP('Données projet'!$B$10,Paramètres!$A$1:$I$89,5,0)</f>
        <v>6.7984728957526396E-14</v>
      </c>
      <c r="AK138" s="13">
        <f t="shared" si="143"/>
        <v>1.0682447123141398E-12</v>
      </c>
      <c r="AL138" s="20">
        <f t="shared" si="112"/>
        <v>1.978932943548152E-12</v>
      </c>
      <c r="AM138" s="59">
        <f t="shared" si="113"/>
        <v>293.3333333333353</v>
      </c>
      <c r="AN138" s="59">
        <f ca="1">AVERAGE(OFFSET($AM$3,0,0,'Données projet'!$E$10+1,1))-AVERAGE(OFFSET($H$3,0,0,'Données projet'!$E$10+1,1))</f>
        <v>214.93913810439858</v>
      </c>
      <c r="AO138" s="59">
        <f t="shared" si="144"/>
        <v>210.65603079265924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31.444259545900227</v>
      </c>
      <c r="AV138" s="21">
        <f>EXP(-LN(2)/25)*AV137+(1-EXP(-LN(2)/25))/(LN(2)/25)*Calculateur!AQ138*Calculateur!AS138*VLOOKUP('Données projet'!$B$10,Paramètres!$A$1:$I$89,3,0)*0.475*44/12</f>
        <v>6.0550647204815284</v>
      </c>
      <c r="AW138" s="21">
        <f>EXP(-LN(2)/2)*AW137+(1-EXP(-LN(2)/2))/(LN(2)/2)*AQ138*AT138*VLOOKUP('Données projet'!$B$10,Paramètres!$A$1:$I$89,3,0)*0.475*44/12</f>
        <v>3.0849436610968186E-10</v>
      </c>
      <c r="AX138" s="21">
        <f t="shared" si="114"/>
        <v>37.499324266690252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10.843999999999994</v>
      </c>
      <c r="BD138" s="12">
        <f>IF('Données projet'!$A$88&gt;35,BD137+BC138-BL137,IF(A138&lt;'Données projet'!$A$88,$BA$205^A138,IF(A138='Données projet'!$A$88,'Données projet'!$B$88,BD137+BC138-BL137)))</f>
        <v>584.83000000000015</v>
      </c>
      <c r="BE138" s="13">
        <f>BD138*VLOOKUP('Données projet'!$B$11,Paramètres!$A$1:$I$89,3,0)*VLOOKUP('Données projet'!$B$11,Paramètres!$A$1:$I$89,5,0)</f>
        <v>529.15418400000021</v>
      </c>
      <c r="BF138" s="13">
        <f t="shared" si="145"/>
        <v>117.51933552372023</v>
      </c>
      <c r="BG138" s="20">
        <f t="shared" si="115"/>
        <v>1126.2897131704797</v>
      </c>
      <c r="BH138" s="59">
        <f t="shared" si="116"/>
        <v>1419.6230465038129</v>
      </c>
      <c r="BI138" s="59">
        <f ca="1">AVERAGE(OFFSET($BH$3,0,0,'Données projet'!$E$11+1,1))-AVERAGE(OFFSET($H$3,0,0,'Données projet'!$E$11+1,1))</f>
        <v>507.69556381324213</v>
      </c>
      <c r="BJ138" s="59">
        <f t="shared" si="146"/>
        <v>129.52638237044044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60.703582107648899</v>
      </c>
      <c r="BQ138" s="21">
        <f>EXP(-LN(2)/25)*BQ137+(1-EXP(-LN(2)/25))/(LN(2)/25)*Calculateur!BL138*Calculateur!BN138*VLOOKUP('Données projet'!$B$11,Paramètres!$A$1:$I$89,3,0)*0.475*44/12</f>
        <v>25.775748431806548</v>
      </c>
      <c r="BR138" s="21">
        <f>EXP(-LN(2)/2)*BR137+(1-EXP(-LN(2)/2))/(LN(2)/2)*BL138*BO138*VLOOKUP('Données projet'!$B$11,Paramètres!$A$1:$I$89,3,0)*0.475*44/12</f>
        <v>1.0432685660524906E-6</v>
      </c>
      <c r="BS138" s="22">
        <f t="shared" si="117"/>
        <v>86.479331582724015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7.3375000000000012</v>
      </c>
      <c r="BY138" s="12">
        <f>IF('Données projet'!$A$114&gt;35,BY137+BX138-CG137,IF(A138&lt;'Données projet'!$A$114,$BV$205^A138,IF(A138='Données projet'!$A$114,'Données projet'!$B$114,BY137+BX138-CG137)))</f>
        <v>313.88249999999999</v>
      </c>
      <c r="BZ138" s="13">
        <f>BY138*VLOOKUP('Données projet'!$B$12,Paramètres!$A$1:$I$89,3,0)*VLOOKUP('Données projet'!$B$12,Paramètres!$A$1:$I$89,5,0)</f>
        <v>303.587154</v>
      </c>
      <c r="CA138" s="13">
        <f t="shared" si="147"/>
        <v>71.927947725812388</v>
      </c>
      <c r="CB138" s="20">
        <f t="shared" si="118"/>
        <v>654.02213550578983</v>
      </c>
      <c r="CC138" s="59">
        <f t="shared" si="119"/>
        <v>947.3554688391232</v>
      </c>
      <c r="CD138" s="59">
        <f ca="1">AVERAGE(OFFSET($CC$3,0,0,'Données projet'!$E$12+1,1))-AVERAGE(OFFSET($H$3,0,0,'Données projet'!$E$12+1,1))</f>
        <v>292.52253679467469</v>
      </c>
      <c r="CE138" s="59">
        <f t="shared" si="148"/>
        <v>155.7114133976541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26.215106444839108</v>
      </c>
      <c r="CL138" s="21">
        <f>EXP(-LN(2)/25)*CL137+(1-EXP(-LN(2)/25))/(LN(2)/25)*Calculateur!CG138*Calculateur!CI138*VLOOKUP('Données projet'!$B$12,Paramètres!$A$1:$I$89,3,0)*0.475*44/12</f>
        <v>21.100020722411273</v>
      </c>
      <c r="CM138" s="21">
        <f>EXP(-LN(2)/2)*CM137+(1-EXP(-LN(2)/2))/(LN(2)/2)*CG138*CJ138*VLOOKUP('Données projet'!$B$12,Paramètres!$A$1:$I$89,3,0)*0.475*44/12</f>
        <v>1.6194292557379251</v>
      </c>
      <c r="CN138" s="22">
        <f t="shared" si="120"/>
        <v>48.934556422988308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-1.1368683772161603E-13</v>
      </c>
      <c r="CU138" s="17">
        <f>CT138*VLOOKUP('Données projet'!$B$13,Paramètres!$A$1:$I$89,3,0)*VLOOKUP('Données projet'!$B$13,Paramètres!$A$1:$I$89,5,0)</f>
        <v>-8.8675733422860506E-14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100.54865094989304</v>
      </c>
      <c r="CZ138" s="59">
        <f t="shared" si="150"/>
        <v>99.95654161405389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7.4588685416096219</v>
      </c>
      <c r="DG138" s="21">
        <f>EXP(-LN(2)/25)*DG137+(1-EXP(-LN(2)/25))/(LN(2)/25)*Calculateur!DB138*Calculateur!DD138*VLOOKUP('Données projet'!$B$13,Paramètres!$A$1:$I$89,3,0)*0.475*44/12</f>
        <v>4.3536914146026691</v>
      </c>
      <c r="DH138" s="21">
        <f>EXP(-LN(2)/2)*DH137+(1-EXP(-LN(2)/2))/(LN(2)/2)*DB138*DE138*VLOOKUP('Données projet'!$B$13,Paramètres!$A$1:$I$89,3,0)*0.475*44/12</f>
        <v>4.533930649802057E-9</v>
      </c>
      <c r="DI138" s="22">
        <f t="shared" si="123"/>
        <v>11.812559960746221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4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118.80959999999988</v>
      </c>
      <c r="D139" s="11">
        <f t="shared" si="140"/>
        <v>31.397197153337192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1159.4910657450582</v>
      </c>
      <c r="H139" s="67">
        <f t="shared" si="110"/>
        <v>554.94350504206204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3.4106051316484809E-13</v>
      </c>
      <c r="O139" s="13">
        <f>N139*VLOOKUP('Données projet'!$B$9,Paramètres!$A$1:$I$89,3,0)*VLOOKUP('Données projet'!$B$9,Paramètres!$A$1:$I$89,5,0)</f>
        <v>1.9065282685915009E-13</v>
      </c>
      <c r="P139" s="13">
        <f t="shared" si="141"/>
        <v>2.6568987209435707E-12</v>
      </c>
      <c r="Q139" s="20">
        <f t="shared" si="108"/>
        <v>4.959485612423072E-12</v>
      </c>
      <c r="R139" s="59">
        <f t="shared" si="109"/>
        <v>293.33333333333826</v>
      </c>
      <c r="S139" s="59">
        <f ca="1">AVERAGE(OFFSET($R$3,0,0,'Données projet'!$E$9+1,1))-AVERAGE(OFFSET($H$3,0,0,'Données projet'!$E$9+1,1))</f>
        <v>324.69474275039357</v>
      </c>
      <c r="T139" s="59">
        <f t="shared" si="142"/>
        <v>437.68177084535927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48.63713911050462</v>
      </c>
      <c r="AA139" s="21">
        <f>EXP(-LN(2)/25)*AA138+(1-EXP(-LN(2)/25))/(LN(2)/25)*Calculateur!V139*Calculateur!X139*VLOOKUP('Données projet'!$B$9,Paramètres!$A$1:$I$89,3,0)*0.475*44/12</f>
        <v>8.7507291818421979</v>
      </c>
      <c r="AB139" s="21">
        <f>EXP(-LN(2)/2)*AB138+(1-EXP(-LN(2)/2))/(LN(2)/2)*V139*Y139*VLOOKUP('Données projet'!$B$9,Paramètres!$A$1:$I$89,3,0)*0.475*44/12</f>
        <v>4.1613072067801114E-11</v>
      </c>
      <c r="AC139" s="22">
        <f t="shared" si="111"/>
        <v>57.387868292388433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1.1368683772161603E-13</v>
      </c>
      <c r="AJ139" s="13">
        <f>AI139*VLOOKUP('Données projet'!$B$10,Paramètres!$A$1:$I$89,3,0)*VLOOKUP('Données projet'!$B$10,Paramètres!$A$1:$I$89,5,0)</f>
        <v>6.7984728957526396E-14</v>
      </c>
      <c r="AK139" s="13">
        <f t="shared" si="143"/>
        <v>1.0682447123141398E-12</v>
      </c>
      <c r="AL139" s="20">
        <f t="shared" si="112"/>
        <v>1.978932943548152E-12</v>
      </c>
      <c r="AM139" s="59">
        <f t="shared" si="113"/>
        <v>293.3333333333353</v>
      </c>
      <c r="AN139" s="59">
        <f ca="1">AVERAGE(OFFSET($AM$3,0,0,'Données projet'!$E$10+1,1))-AVERAGE(OFFSET($H$3,0,0,'Données projet'!$E$10+1,1))</f>
        <v>214.93913810439858</v>
      </c>
      <c r="AO139" s="59">
        <f t="shared" si="144"/>
        <v>210.65603079265924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30.827656795309668</v>
      </c>
      <c r="AV139" s="21">
        <f>EXP(-LN(2)/25)*AV138+(1-EXP(-LN(2)/25))/(LN(2)/25)*Calculateur!AQ139*Calculateur!AS139*VLOOKUP('Données projet'!$B$10,Paramètres!$A$1:$I$89,3,0)*0.475*44/12</f>
        <v>5.8894886572779468</v>
      </c>
      <c r="AW139" s="21">
        <f>EXP(-LN(2)/2)*AW138+(1-EXP(-LN(2)/2))/(LN(2)/2)*AQ139*AT139*VLOOKUP('Données projet'!$B$10,Paramètres!$A$1:$I$89,3,0)*0.475*44/12</f>
        <v>2.181384582340015E-10</v>
      </c>
      <c r="AX139" s="21">
        <f t="shared" si="114"/>
        <v>36.717145452805752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10.843999999999994</v>
      </c>
      <c r="BD139" s="12">
        <f>IF('Données projet'!$A$88&gt;35,BD138+BC139-BL138,IF(A139&lt;'Données projet'!$A$88,$BA$205^A139,IF(A139='Données projet'!$A$88,'Données projet'!$B$88,BD138+BC139-BL138)))</f>
        <v>595.67400000000021</v>
      </c>
      <c r="BE139" s="13">
        <f>BD139*VLOOKUP('Données projet'!$B$11,Paramètres!$A$1:$I$89,3,0)*VLOOKUP('Données projet'!$B$11,Paramètres!$A$1:$I$89,5,0)</f>
        <v>538.96583520000013</v>
      </c>
      <c r="BF139" s="13">
        <f t="shared" si="145"/>
        <v>119.44268934083149</v>
      </c>
      <c r="BG139" s="20">
        <f t="shared" si="115"/>
        <v>1146.7281802419484</v>
      </c>
      <c r="BH139" s="59">
        <f t="shared" si="116"/>
        <v>1440.0615135752817</v>
      </c>
      <c r="BI139" s="59">
        <f ca="1">AVERAGE(OFFSET($BH$3,0,0,'Données projet'!$E$11+1,1))-AVERAGE(OFFSET($H$3,0,0,'Données projet'!$E$11+1,1))</f>
        <v>507.69556381324213</v>
      </c>
      <c r="BJ139" s="59">
        <f t="shared" si="146"/>
        <v>129.52638237044044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59.513221888047021</v>
      </c>
      <c r="BQ139" s="21">
        <f>EXP(-LN(2)/25)*BQ138+(1-EXP(-LN(2)/25))/(LN(2)/25)*Calculateur!BL139*Calculateur!BN139*VLOOKUP('Données projet'!$B$11,Paramètres!$A$1:$I$89,3,0)*0.475*44/12</f>
        <v>25.070909235451101</v>
      </c>
      <c r="BR139" s="21">
        <f>EXP(-LN(2)/2)*BR138+(1-EXP(-LN(2)/2))/(LN(2)/2)*BL139*BO139*VLOOKUP('Données projet'!$B$11,Paramètres!$A$1:$I$89,3,0)*0.475*44/12</f>
        <v>7.3770227765448166E-7</v>
      </c>
      <c r="BS139" s="22">
        <f t="shared" si="117"/>
        <v>84.584131861200405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7.3375000000000012</v>
      </c>
      <c r="BY139" s="12">
        <f>IF('Données projet'!$A$114&gt;35,BY138+BX139-CG138,IF(A139&lt;'Données projet'!$A$114,$BV$205^A139,IF(A139='Données projet'!$A$114,'Données projet'!$B$114,BY138+BX139-CG138)))</f>
        <v>321.21999999999997</v>
      </c>
      <c r="BZ139" s="13">
        <f>BY139*VLOOKUP('Données projet'!$B$12,Paramètres!$A$1:$I$89,3,0)*VLOOKUP('Données projet'!$B$12,Paramètres!$A$1:$I$89,5,0)</f>
        <v>310.68398400000001</v>
      </c>
      <c r="CA139" s="13">
        <f t="shared" si="147"/>
        <v>73.411654926502464</v>
      </c>
      <c r="CB139" s="20">
        <f t="shared" si="118"/>
        <v>668.96657113032506</v>
      </c>
      <c r="CC139" s="59">
        <f t="shared" si="119"/>
        <v>962.29990446365832</v>
      </c>
      <c r="CD139" s="59">
        <f ca="1">AVERAGE(OFFSET($CC$3,0,0,'Données projet'!$E$12+1,1))-AVERAGE(OFFSET($H$3,0,0,'Données projet'!$E$12+1,1))</f>
        <v>292.52253679467469</v>
      </c>
      <c r="CE139" s="59">
        <f t="shared" si="148"/>
        <v>155.7114133976541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25.7010441970919</v>
      </c>
      <c r="CL139" s="21">
        <f>EXP(-LN(2)/25)*CL138+(1-EXP(-LN(2)/25))/(LN(2)/25)*Calculateur!CG139*Calculateur!CI139*VLOOKUP('Données projet'!$B$12,Paramètres!$A$1:$I$89,3,0)*0.475*44/12</f>
        <v>20.523039546155072</v>
      </c>
      <c r="CM139" s="21">
        <f>EXP(-LN(2)/2)*CM138+(1-EXP(-LN(2)/2))/(LN(2)/2)*CG139*CJ139*VLOOKUP('Données projet'!$B$12,Paramètres!$A$1:$I$89,3,0)*0.475*44/12</f>
        <v>1.1451094083841706</v>
      </c>
      <c r="CN139" s="22">
        <f t="shared" si="120"/>
        <v>47.369193151631144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-1.1368683772161603E-13</v>
      </c>
      <c r="CU139" s="17">
        <f>CT139*VLOOKUP('Données projet'!$B$13,Paramètres!$A$1:$I$89,3,0)*VLOOKUP('Données projet'!$B$13,Paramètres!$A$1:$I$89,5,0)</f>
        <v>-8.8675733422860506E-14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100.54865094989304</v>
      </c>
      <c r="CZ139" s="59">
        <f t="shared" si="150"/>
        <v>99.95654161405389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7.3126046789692456</v>
      </c>
      <c r="DG139" s="21">
        <f>EXP(-LN(2)/25)*DG138+(1-EXP(-LN(2)/25))/(LN(2)/25)*Calculateur!DB139*Calculateur!DD139*VLOOKUP('Données projet'!$B$13,Paramètres!$A$1:$I$89,3,0)*0.475*44/12</f>
        <v>4.2346394939196781</v>
      </c>
      <c r="DH139" s="21">
        <f>EXP(-LN(2)/2)*DH138+(1-EXP(-LN(2)/2))/(LN(2)/2)*DB139*DE139*VLOOKUP('Données projet'!$B$13,Paramètres!$A$1:$I$89,3,0)*0.475*44/12</f>
        <v>3.2059731079045644E-9</v>
      </c>
      <c r="DI139" s="22">
        <f t="shared" si="123"/>
        <v>11.547244176094896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4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119.68319999999987</v>
      </c>
      <c r="D140" s="11">
        <f t="shared" si="140"/>
        <v>31.601099532596137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1167.8086279709166</v>
      </c>
      <c r="H140" s="67">
        <f t="shared" si="110"/>
        <v>556.8201550192714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3.4106051316484809E-13</v>
      </c>
      <c r="O140" s="13">
        <f>N140*VLOOKUP('Données projet'!$B$9,Paramètres!$A$1:$I$89,3,0)*VLOOKUP('Données projet'!$B$9,Paramètres!$A$1:$I$89,5,0)</f>
        <v>1.9065282685915009E-13</v>
      </c>
      <c r="P140" s="13">
        <f t="shared" si="141"/>
        <v>2.6568987209435707E-12</v>
      </c>
      <c r="Q140" s="20">
        <f t="shared" si="108"/>
        <v>4.959485612423072E-12</v>
      </c>
      <c r="R140" s="59">
        <f t="shared" si="109"/>
        <v>293.33333333333826</v>
      </c>
      <c r="S140" s="59">
        <f ca="1">AVERAGE(OFFSET($R$3,0,0,'Données projet'!$E$9+1,1))-AVERAGE(OFFSET($H$3,0,0,'Données projet'!$E$9+1,1))</f>
        <v>324.69474275039357</v>
      </c>
      <c r="T140" s="59">
        <f t="shared" si="142"/>
        <v>437.68177084535927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47.683394478273236</v>
      </c>
      <c r="AA140" s="21">
        <f>EXP(-LN(2)/25)*AA139+(1-EXP(-LN(2)/25))/(LN(2)/25)*Calculateur!V140*Calculateur!X140*VLOOKUP('Données projet'!$B$9,Paramètres!$A$1:$I$89,3,0)*0.475*44/12</f>
        <v>8.5114400321838755</v>
      </c>
      <c r="AB140" s="21">
        <f>EXP(-LN(2)/2)*AB139+(1-EXP(-LN(2)/2))/(LN(2)/2)*V140*Y140*VLOOKUP('Données projet'!$B$9,Paramètres!$A$1:$I$89,3,0)*0.475*44/12</f>
        <v>2.9424885445146674E-11</v>
      </c>
      <c r="AC140" s="22">
        <f t="shared" si="111"/>
        <v>56.194834510486537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1.1368683772161603E-13</v>
      </c>
      <c r="AJ140" s="13">
        <f>AI140*VLOOKUP('Données projet'!$B$10,Paramètres!$A$1:$I$89,3,0)*VLOOKUP('Données projet'!$B$10,Paramètres!$A$1:$I$89,5,0)</f>
        <v>6.7984728957526396E-14</v>
      </c>
      <c r="AK140" s="13">
        <f t="shared" si="143"/>
        <v>1.0682447123141398E-12</v>
      </c>
      <c r="AL140" s="20">
        <f t="shared" si="112"/>
        <v>1.978932943548152E-12</v>
      </c>
      <c r="AM140" s="59">
        <f t="shared" si="113"/>
        <v>293.3333333333353</v>
      </c>
      <c r="AN140" s="59">
        <f ca="1">AVERAGE(OFFSET($AM$3,0,0,'Données projet'!$E$10+1,1))-AVERAGE(OFFSET($H$3,0,0,'Données projet'!$E$10+1,1))</f>
        <v>214.93913810439858</v>
      </c>
      <c r="AO140" s="59">
        <f t="shared" si="144"/>
        <v>210.65603079265924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30.223145248567647</v>
      </c>
      <c r="AV140" s="21">
        <f>EXP(-LN(2)/25)*AV139+(1-EXP(-LN(2)/25))/(LN(2)/25)*Calculateur!AQ140*Calculateur!AS140*VLOOKUP('Données projet'!$B$10,Paramètres!$A$1:$I$89,3,0)*0.475*44/12</f>
        <v>5.7284402802299335</v>
      </c>
      <c r="AW140" s="21">
        <f>EXP(-LN(2)/2)*AW139+(1-EXP(-LN(2)/2))/(LN(2)/2)*AQ140*AT140*VLOOKUP('Données projet'!$B$10,Paramètres!$A$1:$I$89,3,0)*0.475*44/12</f>
        <v>1.5424718305484093E-10</v>
      </c>
      <c r="AX140" s="21">
        <f t="shared" si="114"/>
        <v>35.951585528951824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10.843999999999994</v>
      </c>
      <c r="BD140" s="12">
        <f>IF('Données projet'!$A$88&gt;35,BD139+BC140-BL139,IF(A140&lt;'Données projet'!$A$88,$BA$205^A140,IF(A140='Données projet'!$A$88,'Données projet'!$B$88,BD139+BC140-BL139)))</f>
        <v>606.51800000000026</v>
      </c>
      <c r="BE140" s="13">
        <f>BD140*VLOOKUP('Données projet'!$B$11,Paramètres!$A$1:$I$89,3,0)*VLOOKUP('Données projet'!$B$11,Paramètres!$A$1:$I$89,5,0)</f>
        <v>548.77748640000016</v>
      </c>
      <c r="BF140" s="13">
        <f t="shared" si="145"/>
        <v>121.36197162144936</v>
      </c>
      <c r="BG140" s="20">
        <f t="shared" si="115"/>
        <v>1167.1595560540247</v>
      </c>
      <c r="BH140" s="59">
        <f t="shared" si="116"/>
        <v>1460.492889387358</v>
      </c>
      <c r="BI140" s="59">
        <f ca="1">AVERAGE(OFFSET($BH$3,0,0,'Données projet'!$E$11+1,1))-AVERAGE(OFFSET($H$3,0,0,'Données projet'!$E$11+1,1))</f>
        <v>507.69556381324213</v>
      </c>
      <c r="BJ140" s="59">
        <f t="shared" si="146"/>
        <v>129.52638237044044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58.346203906303494</v>
      </c>
      <c r="BQ140" s="21">
        <f>EXP(-LN(2)/25)*BQ139+(1-EXP(-LN(2)/25))/(LN(2)/25)*Calculateur!BL140*Calculateur!BN140*VLOOKUP('Données projet'!$B$11,Paramètres!$A$1:$I$89,3,0)*0.475*44/12</f>
        <v>24.385343903985873</v>
      </c>
      <c r="BR140" s="21">
        <f>EXP(-LN(2)/2)*BR139+(1-EXP(-LN(2)/2))/(LN(2)/2)*BL140*BO140*VLOOKUP('Données projet'!$B$11,Paramètres!$A$1:$I$89,3,0)*0.475*44/12</f>
        <v>5.2163428302624528E-7</v>
      </c>
      <c r="BS140" s="22">
        <f t="shared" si="117"/>
        <v>82.731548331923648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7.3375000000000012</v>
      </c>
      <c r="BY140" s="12">
        <f>IF('Données projet'!$A$114&gt;35,BY139+BX140-CG139,IF(A140&lt;'Données projet'!$A$114,$BV$205^A140,IF(A140='Données projet'!$A$114,'Données projet'!$B$114,BY139+BX140-CG139)))</f>
        <v>328.55749999999995</v>
      </c>
      <c r="BZ140" s="13">
        <f>BY140*VLOOKUP('Données projet'!$B$12,Paramètres!$A$1:$I$89,3,0)*VLOOKUP('Données projet'!$B$12,Paramètres!$A$1:$I$89,5,0)</f>
        <v>317.78081399999996</v>
      </c>
      <c r="CA140" s="13">
        <f t="shared" si="147"/>
        <v>74.891422007628094</v>
      </c>
      <c r="CB140" s="20">
        <f t="shared" si="118"/>
        <v>683.90414437995207</v>
      </c>
      <c r="CC140" s="59">
        <f t="shared" si="119"/>
        <v>977.23747771328544</v>
      </c>
      <c r="CD140" s="59">
        <f ca="1">AVERAGE(OFFSET($CC$3,0,0,'Données projet'!$E$12+1,1))-AVERAGE(OFFSET($H$3,0,0,'Données projet'!$E$12+1,1))</f>
        <v>292.52253679467469</v>
      </c>
      <c r="CE140" s="59">
        <f t="shared" si="148"/>
        <v>155.7114133976541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25.197062396476003</v>
      </c>
      <c r="CL140" s="21">
        <f>EXP(-LN(2)/25)*CL139+(1-EXP(-LN(2)/25))/(LN(2)/25)*Calculateur!CG140*Calculateur!CI140*VLOOKUP('Données projet'!$B$12,Paramètres!$A$1:$I$89,3,0)*0.475*44/12</f>
        <v>19.961835950505719</v>
      </c>
      <c r="CM140" s="21">
        <f>EXP(-LN(2)/2)*CM139+(1-EXP(-LN(2)/2))/(LN(2)/2)*CG140*CJ140*VLOOKUP('Données projet'!$B$12,Paramètres!$A$1:$I$89,3,0)*0.475*44/12</f>
        <v>0.80971462786896264</v>
      </c>
      <c r="CN140" s="22">
        <f t="shared" si="120"/>
        <v>45.968612974850686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-1.1368683772161603E-13</v>
      </c>
      <c r="CU140" s="17">
        <f>CT140*VLOOKUP('Données projet'!$B$13,Paramètres!$A$1:$I$89,3,0)*VLOOKUP('Données projet'!$B$13,Paramètres!$A$1:$I$89,5,0)</f>
        <v>-8.8675733422860506E-14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100.54865094989304</v>
      </c>
      <c r="CZ140" s="59">
        <f t="shared" si="150"/>
        <v>99.95654161405389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7.1692089614630996</v>
      </c>
      <c r="DG140" s="21">
        <f>EXP(-LN(2)/25)*DG139+(1-EXP(-LN(2)/25))/(LN(2)/25)*Calculateur!DB140*Calculateur!DD140*VLOOKUP('Données projet'!$B$13,Paramètres!$A$1:$I$89,3,0)*0.475*44/12</f>
        <v>4.1188430542684316</v>
      </c>
      <c r="DH140" s="21">
        <f>EXP(-LN(2)/2)*DH139+(1-EXP(-LN(2)/2))/(LN(2)/2)*DB140*DE140*VLOOKUP('Données projet'!$B$13,Paramètres!$A$1:$I$89,3,0)*0.475*44/12</f>
        <v>2.2669653249010285E-9</v>
      </c>
      <c r="DI140" s="22">
        <f t="shared" si="123"/>
        <v>11.288052017998496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4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120.55679999999987</v>
      </c>
      <c r="D141" s="11">
        <f t="shared" si="140"/>
        <v>31.804828741198751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1176.1248534408314</v>
      </c>
      <c r="H141" s="67">
        <f t="shared" si="110"/>
        <v>558.69650339092095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3.4106051316484809E-13</v>
      </c>
      <c r="O141" s="13">
        <f>N141*VLOOKUP('Données projet'!$B$9,Paramètres!$A$1:$I$89,3,0)*VLOOKUP('Données projet'!$B$9,Paramètres!$A$1:$I$89,5,0)</f>
        <v>1.9065282685915009E-13</v>
      </c>
      <c r="P141" s="13">
        <f t="shared" si="141"/>
        <v>2.6568987209435707E-12</v>
      </c>
      <c r="Q141" s="20">
        <f t="shared" si="108"/>
        <v>4.959485612423072E-12</v>
      </c>
      <c r="R141" s="59">
        <f t="shared" si="109"/>
        <v>293.33333333333826</v>
      </c>
      <c r="S141" s="59">
        <f ca="1">AVERAGE(OFFSET($R$3,0,0,'Données projet'!$E$9+1,1))-AVERAGE(OFFSET($H$3,0,0,'Données projet'!$E$9+1,1))</f>
        <v>324.69474275039357</v>
      </c>
      <c r="T141" s="59">
        <f t="shared" si="142"/>
        <v>437.68177084535927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46.748352196553121</v>
      </c>
      <c r="AA141" s="21">
        <f>EXP(-LN(2)/25)*AA140+(1-EXP(-LN(2)/25))/(LN(2)/25)*Calculateur!V141*Calculateur!X141*VLOOKUP('Données projet'!$B$9,Paramètres!$A$1:$I$89,3,0)*0.475*44/12</f>
        <v>8.2786942569066291</v>
      </c>
      <c r="AB141" s="21">
        <f>EXP(-LN(2)/2)*AB140+(1-EXP(-LN(2)/2))/(LN(2)/2)*V141*Y141*VLOOKUP('Données projet'!$B$9,Paramètres!$A$1:$I$89,3,0)*0.475*44/12</f>
        <v>2.0806536033900557E-11</v>
      </c>
      <c r="AC141" s="22">
        <f t="shared" si="111"/>
        <v>55.027046453480551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1.1368683772161603E-13</v>
      </c>
      <c r="AJ141" s="13">
        <f>AI141*VLOOKUP('Données projet'!$B$10,Paramètres!$A$1:$I$89,3,0)*VLOOKUP('Données projet'!$B$10,Paramètres!$A$1:$I$89,5,0)</f>
        <v>6.7984728957526396E-14</v>
      </c>
      <c r="AK141" s="13">
        <f t="shared" si="143"/>
        <v>1.0682447123141398E-12</v>
      </c>
      <c r="AL141" s="20">
        <f t="shared" si="112"/>
        <v>1.978932943548152E-12</v>
      </c>
      <c r="AM141" s="59">
        <f t="shared" si="113"/>
        <v>293.3333333333353</v>
      </c>
      <c r="AN141" s="59">
        <f ca="1">AVERAGE(OFFSET($AM$3,0,0,'Données projet'!$E$10+1,1))-AVERAGE(OFFSET($H$3,0,0,'Données projet'!$E$10+1,1))</f>
        <v>214.93913810439858</v>
      </c>
      <c r="AO141" s="59">
        <f t="shared" si="144"/>
        <v>210.65603079265924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29.630487804541602</v>
      </c>
      <c r="AV141" s="21">
        <f>EXP(-LN(2)/25)*AV140+(1-EXP(-LN(2)/25))/(LN(2)/25)*Calculateur!AQ141*Calculateur!AS141*VLOOKUP('Données projet'!$B$10,Paramètres!$A$1:$I$89,3,0)*0.475*44/12</f>
        <v>5.5717957795214641</v>
      </c>
      <c r="AW141" s="21">
        <f>EXP(-LN(2)/2)*AW140+(1-EXP(-LN(2)/2))/(LN(2)/2)*AQ141*AT141*VLOOKUP('Données projet'!$B$10,Paramètres!$A$1:$I$89,3,0)*0.475*44/12</f>
        <v>1.0906922911700075E-10</v>
      </c>
      <c r="AX141" s="21">
        <f t="shared" si="114"/>
        <v>35.202283584172136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10.843999999999994</v>
      </c>
      <c r="BD141" s="12">
        <f>IF('Données projet'!$A$88&gt;35,BD140+BC141-BL140,IF(A141&lt;'Données projet'!$A$88,$BA$205^A141,IF(A141='Données projet'!$A$88,'Données projet'!$B$88,BD140+BC141-BL140)))</f>
        <v>617.36200000000031</v>
      </c>
      <c r="BE141" s="13">
        <f>BD141*VLOOKUP('Données projet'!$B$11,Paramètres!$A$1:$I$89,3,0)*VLOOKUP('Données projet'!$B$11,Paramètres!$A$1:$I$89,5,0)</f>
        <v>558.5891376000003</v>
      </c>
      <c r="BF141" s="13">
        <f t="shared" si="145"/>
        <v>123.27726355861266</v>
      </c>
      <c r="BG141" s="20">
        <f t="shared" si="115"/>
        <v>1187.5839820179174</v>
      </c>
      <c r="BH141" s="59">
        <f t="shared" si="116"/>
        <v>1480.9173153512506</v>
      </c>
      <c r="BI141" s="59">
        <f ca="1">AVERAGE(OFFSET($BH$3,0,0,'Données projet'!$E$11+1,1))-AVERAGE(OFFSET($H$3,0,0,'Données projet'!$E$11+1,1))</f>
        <v>507.69556381324213</v>
      </c>
      <c r="BJ141" s="59">
        <f t="shared" si="146"/>
        <v>129.52638237044044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57.202070435371276</v>
      </c>
      <c r="BQ141" s="21">
        <f>EXP(-LN(2)/25)*BQ140+(1-EXP(-LN(2)/25))/(LN(2)/25)*Calculateur!BL141*Calculateur!BN141*VLOOKUP('Données projet'!$B$11,Paramètres!$A$1:$I$89,3,0)*0.475*44/12</f>
        <v>23.718525392561876</v>
      </c>
      <c r="BR141" s="21">
        <f>EXP(-LN(2)/2)*BR140+(1-EXP(-LN(2)/2))/(LN(2)/2)*BL141*BO141*VLOOKUP('Données projet'!$B$11,Paramètres!$A$1:$I$89,3,0)*0.475*44/12</f>
        <v>3.6885113882724083E-7</v>
      </c>
      <c r="BS141" s="22">
        <f t="shared" si="117"/>
        <v>80.920596196784288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7.3375000000000012</v>
      </c>
      <c r="BY141" s="12">
        <f>IF('Données projet'!$A$114&gt;35,BY140+BX141-CG140,IF(A141&lt;'Données projet'!$A$114,$BV$205^A141,IF(A141='Données projet'!$A$114,'Données projet'!$B$114,BY140+BX141-CG140)))</f>
        <v>335.89499999999992</v>
      </c>
      <c r="BZ141" s="13">
        <f>BY141*VLOOKUP('Données projet'!$B$12,Paramètres!$A$1:$I$89,3,0)*VLOOKUP('Données projet'!$B$12,Paramètres!$A$1:$I$89,5,0)</f>
        <v>324.87764399999998</v>
      </c>
      <c r="CA141" s="13">
        <f t="shared" si="147"/>
        <v>76.367347093032635</v>
      </c>
      <c r="CB141" s="20">
        <f t="shared" si="118"/>
        <v>698.83502615369832</v>
      </c>
      <c r="CC141" s="59">
        <f t="shared" si="119"/>
        <v>992.16835948703169</v>
      </c>
      <c r="CD141" s="59">
        <f ca="1">AVERAGE(OFFSET($CC$3,0,0,'Données projet'!$E$12+1,1))-AVERAGE(OFFSET($H$3,0,0,'Données projet'!$E$12+1,1))</f>
        <v>292.52253679467469</v>
      </c>
      <c r="CE141" s="59">
        <f t="shared" si="148"/>
        <v>155.7114133976541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24.702963371571638</v>
      </c>
      <c r="CL141" s="21">
        <f>EXP(-LN(2)/25)*CL140+(1-EXP(-LN(2)/25))/(LN(2)/25)*Calculateur!CG141*Calculateur!CI141*VLOOKUP('Données projet'!$B$12,Paramètres!$A$1:$I$89,3,0)*0.475*44/12</f>
        <v>19.41597849669181</v>
      </c>
      <c r="CM141" s="21">
        <f>EXP(-LN(2)/2)*CM140+(1-EXP(-LN(2)/2))/(LN(2)/2)*CG141*CJ141*VLOOKUP('Données projet'!$B$12,Paramètres!$A$1:$I$89,3,0)*0.475*44/12</f>
        <v>0.57255470419208532</v>
      </c>
      <c r="CN141" s="22">
        <f t="shared" si="120"/>
        <v>44.691496572455534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-1.1368683772161603E-13</v>
      </c>
      <c r="CU141" s="17">
        <f>CT141*VLOOKUP('Données projet'!$B$13,Paramètres!$A$1:$I$89,3,0)*VLOOKUP('Données projet'!$B$13,Paramètres!$A$1:$I$89,5,0)</f>
        <v>-8.8675733422860506E-14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100.54865094989304</v>
      </c>
      <c r="CZ141" s="59">
        <f t="shared" si="150"/>
        <v>99.95654161405389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7.0286251465144982</v>
      </c>
      <c r="DG141" s="21">
        <f>EXP(-LN(2)/25)*DG140+(1-EXP(-LN(2)/25))/(LN(2)/25)*Calculateur!DB141*Calculateur!DD141*VLOOKUP('Données projet'!$B$13,Paramètres!$A$1:$I$89,3,0)*0.475*44/12</f>
        <v>4.0062130743489188</v>
      </c>
      <c r="DH141" s="21">
        <f>EXP(-LN(2)/2)*DH140+(1-EXP(-LN(2)/2))/(LN(2)/2)*DB141*DE141*VLOOKUP('Données projet'!$B$13,Paramètres!$A$1:$I$89,3,0)*0.475*44/12</f>
        <v>1.6029865539522822E-9</v>
      </c>
      <c r="DI141" s="22">
        <f t="shared" si="123"/>
        <v>11.034838222466403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4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121.43039999999986</v>
      </c>
      <c r="D142" s="11">
        <f t="shared" si="140"/>
        <v>32.008386179504427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1184.4397529645946</v>
      </c>
      <c r="H142" s="67">
        <f t="shared" si="110"/>
        <v>560.57255259596991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3.4106051316484809E-13</v>
      </c>
      <c r="O142" s="13">
        <f>N142*VLOOKUP('Données projet'!$B$9,Paramètres!$A$1:$I$89,3,0)*VLOOKUP('Données projet'!$B$9,Paramètres!$A$1:$I$89,5,0)</f>
        <v>1.9065282685915009E-13</v>
      </c>
      <c r="P142" s="13">
        <f t="shared" si="141"/>
        <v>2.6568987209435707E-12</v>
      </c>
      <c r="Q142" s="20">
        <f t="shared" si="108"/>
        <v>4.959485612423072E-12</v>
      </c>
      <c r="R142" s="59">
        <f t="shared" si="109"/>
        <v>293.33333333333826</v>
      </c>
      <c r="S142" s="59">
        <f ca="1">AVERAGE(OFFSET($R$3,0,0,'Données projet'!$E$9+1,1))-AVERAGE(OFFSET($H$3,0,0,'Données projet'!$E$9+1,1))</f>
        <v>324.69474275039357</v>
      </c>
      <c r="T142" s="59">
        <f t="shared" si="142"/>
        <v>437.68177084535927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45.831645523658061</v>
      </c>
      <c r="AA142" s="21">
        <f>EXP(-LN(2)/25)*AA141+(1-EXP(-LN(2)/25))/(LN(2)/25)*Calculateur!V142*Calculateur!X142*VLOOKUP('Données projet'!$B$9,Paramètres!$A$1:$I$89,3,0)*0.475*44/12</f>
        <v>8.052312927093908</v>
      </c>
      <c r="AB142" s="21">
        <f>EXP(-LN(2)/2)*AB141+(1-EXP(-LN(2)/2))/(LN(2)/2)*V142*Y142*VLOOKUP('Données projet'!$B$9,Paramètres!$A$1:$I$89,3,0)*0.475*44/12</f>
        <v>1.4712442722573337E-11</v>
      </c>
      <c r="AC142" s="22">
        <f t="shared" si="111"/>
        <v>53.883958450766684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1.1368683772161603E-13</v>
      </c>
      <c r="AJ142" s="13">
        <f>AI142*VLOOKUP('Données projet'!$B$10,Paramètres!$A$1:$I$89,3,0)*VLOOKUP('Données projet'!$B$10,Paramètres!$A$1:$I$89,5,0)</f>
        <v>6.7984728957526396E-14</v>
      </c>
      <c r="AK142" s="13">
        <f t="shared" si="143"/>
        <v>1.0682447123141398E-12</v>
      </c>
      <c r="AL142" s="20">
        <f t="shared" si="112"/>
        <v>1.978932943548152E-12</v>
      </c>
      <c r="AM142" s="59">
        <f t="shared" si="113"/>
        <v>293.3333333333353</v>
      </c>
      <c r="AN142" s="59">
        <f ca="1">AVERAGE(OFFSET($AM$3,0,0,'Données projet'!$E$10+1,1))-AVERAGE(OFFSET($H$3,0,0,'Données projet'!$E$10+1,1))</f>
        <v>214.93913810439858</v>
      </c>
      <c r="AO142" s="59">
        <f t="shared" si="144"/>
        <v>210.65603079265924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29.049452011507558</v>
      </c>
      <c r="AV142" s="21">
        <f>EXP(-LN(2)/25)*AV141+(1-EXP(-LN(2)/25))/(LN(2)/25)*Calculateur!AQ142*Calculateur!AS142*VLOOKUP('Données projet'!$B$10,Paramètres!$A$1:$I$89,3,0)*0.475*44/12</f>
        <v>5.4194347309224442</v>
      </c>
      <c r="AW142" s="21">
        <f>EXP(-LN(2)/2)*AW141+(1-EXP(-LN(2)/2))/(LN(2)/2)*AQ142*AT142*VLOOKUP('Données projet'!$B$10,Paramètres!$A$1:$I$89,3,0)*0.475*44/12</f>
        <v>7.7123591527420465E-11</v>
      </c>
      <c r="AX142" s="21">
        <f t="shared" si="114"/>
        <v>34.468886742507124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10.843999999999994</v>
      </c>
      <c r="BD142" s="12">
        <f>IF('Données projet'!$A$88&gt;35,BD141+BC142-BL141,IF(A142&lt;'Données projet'!$A$88,$BA$205^A142,IF(A142='Données projet'!$A$88,'Données projet'!$B$88,BD141+BC142-BL141)))</f>
        <v>628.20600000000036</v>
      </c>
      <c r="BE142" s="13">
        <f>BD142*VLOOKUP('Données projet'!$B$11,Paramètres!$A$1:$I$89,3,0)*VLOOKUP('Données projet'!$B$11,Paramètres!$A$1:$I$89,5,0)</f>
        <v>568.40078880000033</v>
      </c>
      <c r="BF142" s="13">
        <f t="shared" si="145"/>
        <v>125.1886433296535</v>
      </c>
      <c r="BG142" s="20">
        <f t="shared" si="115"/>
        <v>1208.0015942924804</v>
      </c>
      <c r="BH142" s="59">
        <f t="shared" si="116"/>
        <v>1501.3349276258136</v>
      </c>
      <c r="BI142" s="59">
        <f ca="1">AVERAGE(OFFSET($BH$3,0,0,'Données projet'!$E$11+1,1))-AVERAGE(OFFSET($H$3,0,0,'Données projet'!$E$11+1,1))</f>
        <v>507.69556381324213</v>
      </c>
      <c r="BJ142" s="59">
        <f t="shared" si="146"/>
        <v>129.52638237044044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56.080372723951527</v>
      </c>
      <c r="BQ142" s="21">
        <f>EXP(-LN(2)/25)*BQ141+(1-EXP(-LN(2)/25))/(LN(2)/25)*Calculateur!BL142*Calculateur!BN142*VLOOKUP('Données projet'!$B$11,Paramètres!$A$1:$I$89,3,0)*0.475*44/12</f>
        <v>23.069941068399231</v>
      </c>
      <c r="BR142" s="21">
        <f>EXP(-LN(2)/2)*BR141+(1-EXP(-LN(2)/2))/(LN(2)/2)*BL142*BO142*VLOOKUP('Données projet'!$B$11,Paramètres!$A$1:$I$89,3,0)*0.475*44/12</f>
        <v>2.6081714151312264E-7</v>
      </c>
      <c r="BS142" s="22">
        <f t="shared" si="117"/>
        <v>79.150314053167904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7.3375000000000012</v>
      </c>
      <c r="BY142" s="12">
        <f>IF('Données projet'!$A$114&gt;35,BY141+BX142-CG141,IF(A142&lt;'Données projet'!$A$114,$BV$205^A142,IF(A142='Données projet'!$A$114,'Données projet'!$B$114,BY141+BX142-CG141)))</f>
        <v>343.2324999999999</v>
      </c>
      <c r="BZ142" s="13">
        <f>BY142*VLOOKUP('Données projet'!$B$12,Paramètres!$A$1:$I$89,3,0)*VLOOKUP('Données projet'!$B$12,Paramètres!$A$1:$I$89,5,0)</f>
        <v>331.97447399999993</v>
      </c>
      <c r="CA142" s="13">
        <f t="shared" si="147"/>
        <v>77.839523774781142</v>
      </c>
      <c r="CB142" s="20">
        <f t="shared" si="118"/>
        <v>713.75937945774365</v>
      </c>
      <c r="CC142" s="59">
        <f t="shared" si="119"/>
        <v>1007.092712791077</v>
      </c>
      <c r="CD142" s="59">
        <f ca="1">AVERAGE(OFFSET($CC$3,0,0,'Données projet'!$E$12+1,1))-AVERAGE(OFFSET($H$3,0,0,'Données projet'!$E$12+1,1))</f>
        <v>292.52253679467469</v>
      </c>
      <c r="CE142" s="59">
        <f t="shared" si="148"/>
        <v>155.7114133976541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24.218553327175002</v>
      </c>
      <c r="CL142" s="21">
        <f>EXP(-LN(2)/25)*CL141+(1-EXP(-LN(2)/25))/(LN(2)/25)*Calculateur!CG142*Calculateur!CI142*VLOOKUP('Données projet'!$B$12,Paramètres!$A$1:$I$89,3,0)*0.475*44/12</f>
        <v>18.885047543657841</v>
      </c>
      <c r="CM142" s="21">
        <f>EXP(-LN(2)/2)*CM141+(1-EXP(-LN(2)/2))/(LN(2)/2)*CG142*CJ142*VLOOKUP('Données projet'!$B$12,Paramètres!$A$1:$I$89,3,0)*0.475*44/12</f>
        <v>0.40485731393448132</v>
      </c>
      <c r="CN142" s="22">
        <f t="shared" si="120"/>
        <v>43.508458184767321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-1.1368683772161603E-13</v>
      </c>
      <c r="CU142" s="17">
        <f>CT142*VLOOKUP('Données projet'!$B$13,Paramètres!$A$1:$I$89,3,0)*VLOOKUP('Données projet'!$B$13,Paramètres!$A$1:$I$89,5,0)</f>
        <v>-8.8675733422860506E-14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100.54865094989304</v>
      </c>
      <c r="CZ142" s="59">
        <f t="shared" si="150"/>
        <v>99.95654161405389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6.8907980944293783</v>
      </c>
      <c r="DG142" s="21">
        <f>EXP(-LN(2)/25)*DG141+(1-EXP(-LN(2)/25))/(LN(2)/25)*Calculateur!DB142*Calculateur!DD142*VLOOKUP('Données projet'!$B$13,Paramètres!$A$1:$I$89,3,0)*0.475*44/12</f>
        <v>3.8966629671532584</v>
      </c>
      <c r="DH142" s="21">
        <f>EXP(-LN(2)/2)*DH141+(1-EXP(-LN(2)/2))/(LN(2)/2)*DB142*DE142*VLOOKUP('Données projet'!$B$13,Paramètres!$A$1:$I$89,3,0)*0.475*44/12</f>
        <v>1.1334826624505142E-9</v>
      </c>
      <c r="DI142" s="22">
        <f t="shared" si="123"/>
        <v>10.787461062716119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4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122.30399999999986</v>
      </c>
      <c r="D143" s="11">
        <f t="shared" si="140"/>
        <v>32.211773226559345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1192.7533371874745</v>
      </c>
      <c r="H143" s="67">
        <f t="shared" si="110"/>
        <v>562.44830503625724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3.4106051316484809E-13</v>
      </c>
      <c r="O143" s="13">
        <f>N143*VLOOKUP('Données projet'!$B$9,Paramètres!$A$1:$I$89,3,0)*VLOOKUP('Données projet'!$B$9,Paramètres!$A$1:$I$89,5,0)</f>
        <v>1.9065282685915009E-13</v>
      </c>
      <c r="P143" s="13">
        <f t="shared" si="141"/>
        <v>2.6568987209435707E-12</v>
      </c>
      <c r="Q143" s="20">
        <f t="shared" si="108"/>
        <v>4.959485612423072E-12</v>
      </c>
      <c r="R143" s="59">
        <f t="shared" si="109"/>
        <v>293.33333333333826</v>
      </c>
      <c r="S143" s="59">
        <f ca="1">AVERAGE(OFFSET($R$3,0,0,'Données projet'!$E$9+1,1))-AVERAGE(OFFSET($H$3,0,0,'Données projet'!$E$9+1,1))</f>
        <v>324.69474275039357</v>
      </c>
      <c r="T143" s="59">
        <f t="shared" si="142"/>
        <v>437.68177084535927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44.932914909482612</v>
      </c>
      <c r="AA143" s="21">
        <f>EXP(-LN(2)/25)*AA142+(1-EXP(-LN(2)/25))/(LN(2)/25)*Calculateur!V143*Calculateur!X143*VLOOKUP('Données projet'!$B$9,Paramètres!$A$1:$I$89,3,0)*0.475*44/12</f>
        <v>7.8321220066497919</v>
      </c>
      <c r="AB143" s="21">
        <f>EXP(-LN(2)/2)*AB142+(1-EXP(-LN(2)/2))/(LN(2)/2)*V143*Y143*VLOOKUP('Données projet'!$B$9,Paramètres!$A$1:$I$89,3,0)*0.475*44/12</f>
        <v>1.0403268016950279E-11</v>
      </c>
      <c r="AC143" s="22">
        <f t="shared" si="111"/>
        <v>52.765036916142805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1.1368683772161603E-13</v>
      </c>
      <c r="AJ143" s="13">
        <f>AI143*VLOOKUP('Données projet'!$B$10,Paramètres!$A$1:$I$89,3,0)*VLOOKUP('Données projet'!$B$10,Paramètres!$A$1:$I$89,5,0)</f>
        <v>6.7984728957526396E-14</v>
      </c>
      <c r="AK143" s="13">
        <f t="shared" si="143"/>
        <v>1.0682447123141398E-12</v>
      </c>
      <c r="AL143" s="20">
        <f t="shared" si="112"/>
        <v>1.978932943548152E-12</v>
      </c>
      <c r="AM143" s="59">
        <f t="shared" si="113"/>
        <v>293.3333333333353</v>
      </c>
      <c r="AN143" s="59">
        <f ca="1">AVERAGE(OFFSET($AM$3,0,0,'Données projet'!$E$10+1,1))-AVERAGE(OFFSET($H$3,0,0,'Données projet'!$E$10+1,1))</f>
        <v>214.93913810439858</v>
      </c>
      <c r="AO143" s="59">
        <f t="shared" si="144"/>
        <v>210.65603079265924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28.479809975978075</v>
      </c>
      <c r="AV143" s="21">
        <f>EXP(-LN(2)/25)*AV142+(1-EXP(-LN(2)/25))/(LN(2)/25)*Calculateur!AQ143*Calculateur!AS143*VLOOKUP('Données projet'!$B$10,Paramètres!$A$1:$I$89,3,0)*0.475*44/12</f>
        <v>5.2712400032096838</v>
      </c>
      <c r="AW143" s="21">
        <f>EXP(-LN(2)/2)*AW142+(1-EXP(-LN(2)/2))/(LN(2)/2)*AQ143*AT143*VLOOKUP('Données projet'!$B$10,Paramètres!$A$1:$I$89,3,0)*0.475*44/12</f>
        <v>5.4534614558500374E-11</v>
      </c>
      <c r="AX143" s="21">
        <f t="shared" si="114"/>
        <v>33.751049979242289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>
        <f>VLOOKUP(A143,'Données projet'!$A$87:$I$107,2,0)</f>
        <v>639.04999999999995</v>
      </c>
      <c r="BB143" s="12">
        <f>VLOOKUP(A143,'Données projet'!$A$87:$I$107,9,0)</f>
        <v>10.843999999999994</v>
      </c>
      <c r="BC143" s="12">
        <f t="array" ref="BC143">INDEX(BB:BB,MIN(IF(ISNUMBER(BB143:BB339),ROW(BB143:BB339),"")))</f>
        <v>10.843999999999994</v>
      </c>
      <c r="BD143" s="12">
        <f>IF('Données projet'!$A$88&gt;35,BD142+BC143-BL142,IF(A143&lt;'Données projet'!$A$88,$BA$205^A143,IF(A143='Données projet'!$A$88,'Données projet'!$B$88,BD142+BC143-BL142)))</f>
        <v>639.05000000000041</v>
      </c>
      <c r="BE143" s="13">
        <f>BD143*VLOOKUP('Données projet'!$B$11,Paramètres!$A$1:$I$89,3,0)*VLOOKUP('Données projet'!$B$11,Paramètres!$A$1:$I$89,5,0)</f>
        <v>578.21244000000036</v>
      </c>
      <c r="BF143" s="13">
        <f t="shared" si="145"/>
        <v>127.0961862582958</v>
      </c>
      <c r="BG143" s="20">
        <f t="shared" si="115"/>
        <v>1228.4125240665323</v>
      </c>
      <c r="BH143" s="59">
        <f t="shared" si="116"/>
        <v>1521.7458573998656</v>
      </c>
      <c r="BI143" s="59">
        <f ca="1">AVERAGE(OFFSET($BH$3,0,0,'Données projet'!$E$11+1,1))-AVERAGE(OFFSET($H$3,0,0,'Données projet'!$E$11+1,1))</f>
        <v>507.69556381324213</v>
      </c>
      <c r="BJ143" s="59">
        <f t="shared" si="146"/>
        <v>129.52638237044044</v>
      </c>
      <c r="BK143" s="15">
        <f>IF(ISNA(VLOOKUP(A143,'Données projet'!$A$87:$I$107,3,0)),0,VLOOKUP(A143,'Données projet'!$A$87:$I$107,3,0))</f>
        <v>13</v>
      </c>
      <c r="BL143" s="15">
        <f>IF(ISNA(VLOOKUP(A143,'Données projet'!$A$87:$I$107,4,0)),0,VLOOKUP(A143,'Données projet'!$A$87:$I$107,4,0))</f>
        <v>74.669999999999959</v>
      </c>
      <c r="BM143" s="16">
        <f>IF(ISNA(VLOOKUP(A143,'Données projet'!$A$87:$I$107,5,0)),0%,VLOOKUP(A143,'Données projet'!$A$87:$I$107,5,0)*VLOOKUP('Données projet'!$B$11,Paramètres!$A$1:$I$89,7,0))</f>
        <v>0.215</v>
      </c>
      <c r="BN143" s="16">
        <f>IF(ISNA(VLOOKUP(A143,'Données projet'!$A$87:$I$107,6,0)),0%,VLOOKUP(A143,'Données projet'!$A$87:$I$107,6,0)*VLOOKUP('Données projet'!$B$11,Paramètres!$A$1:$I$89,7,0))</f>
        <v>8.6000000000000007E-2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71.038406820754915</v>
      </c>
      <c r="BQ143" s="21">
        <f>EXP(-LN(2)/25)*BQ142+(1-EXP(-LN(2)/25))/(LN(2)/25)*Calculateur!BL143*Calculateur!BN143*VLOOKUP('Données projet'!$B$11,Paramètres!$A$1:$I$89,3,0)*0.475*44/12</f>
        <v>28.836896546752417</v>
      </c>
      <c r="BR143" s="21">
        <f>EXP(-LN(2)/2)*BR142+(1-EXP(-LN(2)/2))/(LN(2)/2)*BL143*BO143*VLOOKUP('Données projet'!$B$11,Paramètres!$A$1:$I$89,3,0)*0.475*44/12</f>
        <v>1.8442556941362041E-7</v>
      </c>
      <c r="BS143" s="22">
        <f t="shared" si="117"/>
        <v>99.875303551932902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7.3375000000000012</v>
      </c>
      <c r="BY143" s="12">
        <f>IF('Données projet'!$A$114&gt;35,BY142+BX143-CG142,IF(A143&lt;'Données projet'!$A$114,$BV$205^A143,IF(A143='Données projet'!$A$114,'Données projet'!$B$114,BY142+BX143-CG142)))</f>
        <v>350.56999999999988</v>
      </c>
      <c r="BZ143" s="13">
        <f>BY143*VLOOKUP('Données projet'!$B$12,Paramètres!$A$1:$I$89,3,0)*VLOOKUP('Données projet'!$B$12,Paramètres!$A$1:$I$89,5,0)</f>
        <v>339.07130399999994</v>
      </c>
      <c r="CA143" s="13">
        <f t="shared" si="147"/>
        <v>79.308041414789827</v>
      </c>
      <c r="CB143" s="20">
        <f t="shared" si="118"/>
        <v>728.67735993075883</v>
      </c>
      <c r="CC143" s="59">
        <f t="shared" si="119"/>
        <v>1022.0106932640922</v>
      </c>
      <c r="CD143" s="59">
        <f ca="1">AVERAGE(OFFSET($CC$3,0,0,'Données projet'!$E$12+1,1))-AVERAGE(OFFSET($H$3,0,0,'Données projet'!$E$12+1,1))</f>
        <v>292.52253679467469</v>
      </c>
      <c r="CE143" s="59">
        <f t="shared" si="148"/>
        <v>155.7114133976541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23.743642268288031</v>
      </c>
      <c r="CL143" s="21">
        <f>EXP(-LN(2)/25)*CL142+(1-EXP(-LN(2)/25))/(LN(2)/25)*Calculateur!CG143*Calculateur!CI143*VLOOKUP('Données projet'!$B$12,Paramètres!$A$1:$I$89,3,0)*0.475*44/12</f>
        <v>18.36863492545503</v>
      </c>
      <c r="CM143" s="21">
        <f>EXP(-LN(2)/2)*CM142+(1-EXP(-LN(2)/2))/(LN(2)/2)*CG143*CJ143*VLOOKUP('Données projet'!$B$12,Paramètres!$A$1:$I$89,3,0)*0.475*44/12</f>
        <v>0.28627735209604266</v>
      </c>
      <c r="CN143" s="22">
        <f t="shared" si="120"/>
        <v>42.398554545839104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-1.1368683772161603E-13</v>
      </c>
      <c r="CU143" s="17">
        <f>CT143*VLOOKUP('Données projet'!$B$13,Paramètres!$A$1:$I$89,3,0)*VLOOKUP('Données projet'!$B$13,Paramètres!$A$1:$I$89,5,0)</f>
        <v>-8.8675733422860506E-14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100.54865094989304</v>
      </c>
      <c r="CZ143" s="59">
        <f t="shared" si="150"/>
        <v>99.95654161405389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6.755673746769447</v>
      </c>
      <c r="DG143" s="21">
        <f>EXP(-LN(2)/25)*DG142+(1-EXP(-LN(2)/25))/(LN(2)/25)*Calculateur!DB143*Calculateur!DD143*VLOOKUP('Données projet'!$B$13,Paramètres!$A$1:$I$89,3,0)*0.475*44/12</f>
        <v>3.7901085133998529</v>
      </c>
      <c r="DH143" s="21">
        <f>EXP(-LN(2)/2)*DH142+(1-EXP(-LN(2)/2))/(LN(2)/2)*DB143*DE143*VLOOKUP('Données projet'!$B$13,Paramètres!$A$1:$I$89,3,0)*0.475*44/12</f>
        <v>8.014932769761411E-10</v>
      </c>
      <c r="DI143" s="22">
        <f t="shared" si="123"/>
        <v>10.545782260970794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4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123.17759999999986</v>
      </c>
      <c r="D144" s="11">
        <f t="shared" si="140"/>
        <v>32.414991240570387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1201.0656165938756</v>
      </c>
      <c r="H144" s="67">
        <f t="shared" si="110"/>
        <v>564.32376307732648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3.4106051316484809E-13</v>
      </c>
      <c r="O144" s="13">
        <f>N144*VLOOKUP('Données projet'!$B$9,Paramètres!$A$1:$I$89,3,0)*VLOOKUP('Données projet'!$B$9,Paramètres!$A$1:$I$89,5,0)</f>
        <v>1.9065282685915009E-13</v>
      </c>
      <c r="P144" s="13">
        <f t="shared" si="141"/>
        <v>2.6568987209435707E-12</v>
      </c>
      <c r="Q144" s="20">
        <f t="shared" si="108"/>
        <v>4.959485612423072E-12</v>
      </c>
      <c r="R144" s="59">
        <f t="shared" si="109"/>
        <v>293.33333333333826</v>
      </c>
      <c r="S144" s="59">
        <f ca="1">AVERAGE(OFFSET($R$3,0,0,'Données projet'!$E$9+1,1))-AVERAGE(OFFSET($H$3,0,0,'Données projet'!$E$9+1,1))</f>
        <v>324.69474275039357</v>
      </c>
      <c r="T144" s="59">
        <f t="shared" si="142"/>
        <v>437.68177084535927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44.051807854479598</v>
      </c>
      <c r="AA144" s="21">
        <f>EXP(-LN(2)/25)*AA143+(1-EXP(-LN(2)/25))/(LN(2)/25)*Calculateur!V144*Calculateur!X144*VLOOKUP('Données projet'!$B$9,Paramètres!$A$1:$I$89,3,0)*0.475*44/12</f>
        <v>7.6179522185045574</v>
      </c>
      <c r="AB144" s="21">
        <f>EXP(-LN(2)/2)*AB143+(1-EXP(-LN(2)/2))/(LN(2)/2)*V144*Y144*VLOOKUP('Données projet'!$B$9,Paramètres!$A$1:$I$89,3,0)*0.475*44/12</f>
        <v>7.3562213612866685E-12</v>
      </c>
      <c r="AC144" s="22">
        <f t="shared" si="111"/>
        <v>51.669760072991508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1.1368683772161603E-13</v>
      </c>
      <c r="AJ144" s="13">
        <f>AI144*VLOOKUP('Données projet'!$B$10,Paramètres!$A$1:$I$89,3,0)*VLOOKUP('Données projet'!$B$10,Paramètres!$A$1:$I$89,5,0)</f>
        <v>6.7984728957526396E-14</v>
      </c>
      <c r="AK144" s="13">
        <f t="shared" si="143"/>
        <v>1.0682447123141398E-12</v>
      </c>
      <c r="AL144" s="20">
        <f t="shared" si="112"/>
        <v>1.978932943548152E-12</v>
      </c>
      <c r="AM144" s="59">
        <f t="shared" si="113"/>
        <v>293.3333333333353</v>
      </c>
      <c r="AN144" s="59">
        <f ca="1">AVERAGE(OFFSET($AM$3,0,0,'Données projet'!$E$10+1,1))-AVERAGE(OFFSET($H$3,0,0,'Données projet'!$E$10+1,1))</f>
        <v>214.93913810439858</v>
      </c>
      <c r="AO144" s="59">
        <f t="shared" si="144"/>
        <v>210.65603079265924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27.921338273317989</v>
      </c>
      <c r="AV144" s="21">
        <f>EXP(-LN(2)/25)*AV143+(1-EXP(-LN(2)/25))/(LN(2)/25)*Calculateur!AQ144*Calculateur!AS144*VLOOKUP('Données projet'!$B$10,Paramètres!$A$1:$I$89,3,0)*0.475*44/12</f>
        <v>5.1270976681194504</v>
      </c>
      <c r="AW144" s="21">
        <f>EXP(-LN(2)/2)*AW143+(1-EXP(-LN(2)/2))/(LN(2)/2)*AQ144*AT144*VLOOKUP('Données projet'!$B$10,Paramètres!$A$1:$I$89,3,0)*0.475*44/12</f>
        <v>3.8561795763710233E-11</v>
      </c>
      <c r="AX144" s="21">
        <f t="shared" si="114"/>
        <v>33.048435941476001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10.875</v>
      </c>
      <c r="BD144" s="12">
        <f>IF('Données projet'!$A$88&gt;35,BD143+BC144-BL143,IF(A144&lt;'Données projet'!$A$88,$BA$205^A144,IF(A144='Données projet'!$A$88,'Données projet'!$B$88,BD143+BC144-BL143)))</f>
        <v>575.25500000000045</v>
      </c>
      <c r="BE144" s="13">
        <f>BD144*VLOOKUP('Données projet'!$B$11,Paramètres!$A$1:$I$89,3,0)*VLOOKUP('Données projet'!$B$11,Paramètres!$A$1:$I$89,5,0)</f>
        <v>520.49072400000034</v>
      </c>
      <c r="BF144" s="13">
        <f t="shared" si="145"/>
        <v>115.81760674620399</v>
      </c>
      <c r="BG144" s="20">
        <f t="shared" si="115"/>
        <v>1108.2370093829725</v>
      </c>
      <c r="BH144" s="59">
        <f t="shared" si="116"/>
        <v>1401.5703427163057</v>
      </c>
      <c r="BI144" s="59">
        <f ca="1">AVERAGE(OFFSET($BH$3,0,0,'Données projet'!$E$11+1,1))-AVERAGE(OFFSET($H$3,0,0,'Données projet'!$E$11+1,1))</f>
        <v>507.69556381324213</v>
      </c>
      <c r="BJ144" s="59">
        <f t="shared" si="146"/>
        <v>129.52638237044044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69.645386992149668</v>
      </c>
      <c r="BQ144" s="21">
        <f>EXP(-LN(2)/25)*BQ143+(1-EXP(-LN(2)/25))/(LN(2)/25)*Calculateur!BL144*Calculateur!BN144*VLOOKUP('Données projet'!$B$11,Paramètres!$A$1:$I$89,3,0)*0.475*44/12</f>
        <v>28.048350094214989</v>
      </c>
      <c r="BR144" s="21">
        <f>EXP(-LN(2)/2)*BR143+(1-EXP(-LN(2)/2))/(LN(2)/2)*BL144*BO144*VLOOKUP('Données projet'!$B$11,Paramètres!$A$1:$I$89,3,0)*0.475*44/12</f>
        <v>1.3040857075656132E-7</v>
      </c>
      <c r="BS144" s="22">
        <f t="shared" si="117"/>
        <v>97.693737216773215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7.3375000000000012</v>
      </c>
      <c r="BY144" s="12">
        <f>IF('Données projet'!$A$114&gt;35,BY143+BX144-CG143,IF(A144&lt;'Données projet'!$A$114,$BV$205^A144,IF(A144='Données projet'!$A$114,'Données projet'!$B$114,BY143+BX144-CG143)))</f>
        <v>357.90749999999986</v>
      </c>
      <c r="BZ144" s="13">
        <f>BY144*VLOOKUP('Données projet'!$B$12,Paramètres!$A$1:$I$89,3,0)*VLOOKUP('Données projet'!$B$12,Paramètres!$A$1:$I$89,5,0)</f>
        <v>346.1681339999999</v>
      </c>
      <c r="CA144" s="13">
        <f t="shared" si="147"/>
        <v>80.772985420490727</v>
      </c>
      <c r="CB144" s="20">
        <f t="shared" si="118"/>
        <v>743.58911632402123</v>
      </c>
      <c r="CC144" s="59">
        <f t="shared" si="119"/>
        <v>1036.9224496573545</v>
      </c>
      <c r="CD144" s="59">
        <f ca="1">AVERAGE(OFFSET($CC$3,0,0,'Données projet'!$E$12+1,1))-AVERAGE(OFFSET($H$3,0,0,'Données projet'!$E$12+1,1))</f>
        <v>292.52253679467469</v>
      </c>
      <c r="CE144" s="59">
        <f t="shared" si="148"/>
        <v>155.7114133976541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23.278043925598688</v>
      </c>
      <c r="CL144" s="21">
        <f>EXP(-LN(2)/25)*CL143+(1-EXP(-LN(2)/25))/(LN(2)/25)*Calculateur!CG144*Calculateur!CI144*VLOOKUP('Données projet'!$B$12,Paramètres!$A$1:$I$89,3,0)*0.475*44/12</f>
        <v>17.866343637453934</v>
      </c>
      <c r="CM144" s="21">
        <f>EXP(-LN(2)/2)*CM143+(1-EXP(-LN(2)/2))/(LN(2)/2)*CG144*CJ144*VLOOKUP('Données projet'!$B$12,Paramètres!$A$1:$I$89,3,0)*0.475*44/12</f>
        <v>0.20242865696724066</v>
      </c>
      <c r="CN144" s="22">
        <f t="shared" si="120"/>
        <v>41.346816220019861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-1.1368683772161603E-13</v>
      </c>
      <c r="CU144" s="17">
        <f>CT144*VLOOKUP('Données projet'!$B$13,Paramètres!$A$1:$I$89,3,0)*VLOOKUP('Données projet'!$B$13,Paramètres!$A$1:$I$89,5,0)</f>
        <v>-8.8675733422860506E-14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100.54865094989304</v>
      </c>
      <c r="CZ144" s="59">
        <f t="shared" si="150"/>
        <v>99.95654161405389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6.6231991051494123</v>
      </c>
      <c r="DG144" s="21">
        <f>EXP(-LN(2)/25)*DG143+(1-EXP(-LN(2)/25))/(LN(2)/25)*Calculateur!DB144*Calculateur!DD144*VLOOKUP('Données projet'!$B$13,Paramètres!$A$1:$I$89,3,0)*0.475*44/12</f>
        <v>3.6864677967877895</v>
      </c>
      <c r="DH144" s="21">
        <f>EXP(-LN(2)/2)*DH143+(1-EXP(-LN(2)/2))/(LN(2)/2)*DB144*DE144*VLOOKUP('Données projet'!$B$13,Paramètres!$A$1:$I$89,3,0)*0.475*44/12</f>
        <v>5.6674133122525712E-10</v>
      </c>
      <c r="DI144" s="22">
        <f t="shared" si="123"/>
        <v>10.309666902503944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4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124.05119999999985</v>
      </c>
      <c r="D145" s="11">
        <f t="shared" si="140"/>
        <v>32.618041559365949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1209.3766015108938</v>
      </c>
      <c r="H145" s="67">
        <f t="shared" si="110"/>
        <v>566.1989290492287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3.4106051316484809E-13</v>
      </c>
      <c r="O145" s="13">
        <f>N145*VLOOKUP('Données projet'!$B$9,Paramètres!$A$1:$I$89,3,0)*VLOOKUP('Données projet'!$B$9,Paramètres!$A$1:$I$89,5,0)</f>
        <v>1.9065282685915009E-13</v>
      </c>
      <c r="P145" s="13">
        <f t="shared" si="141"/>
        <v>2.6568987209435707E-12</v>
      </c>
      <c r="Q145" s="20">
        <f t="shared" si="108"/>
        <v>4.959485612423072E-12</v>
      </c>
      <c r="R145" s="59">
        <f t="shared" si="109"/>
        <v>293.33333333333826</v>
      </c>
      <c r="S145" s="59">
        <f ca="1">AVERAGE(OFFSET($R$3,0,0,'Données projet'!$E$9+1,1))-AVERAGE(OFFSET($H$3,0,0,'Données projet'!$E$9+1,1))</f>
        <v>324.69474275039357</v>
      </c>
      <c r="T145" s="59">
        <f t="shared" si="142"/>
        <v>437.68177084535927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43.187978771402953</v>
      </c>
      <c r="AA145" s="21">
        <f>EXP(-LN(2)/25)*AA144+(1-EXP(-LN(2)/25))/(LN(2)/25)*Calculateur!V145*Calculateur!X145*VLOOKUP('Données projet'!$B$9,Paramètres!$A$1:$I$89,3,0)*0.475*44/12</f>
        <v>7.4096389144788546</v>
      </c>
      <c r="AB145" s="21">
        <f>EXP(-LN(2)/2)*AB144+(1-EXP(-LN(2)/2))/(LN(2)/2)*V145*Y145*VLOOKUP('Données projet'!$B$9,Paramètres!$A$1:$I$89,3,0)*0.475*44/12</f>
        <v>5.2016340084751393E-12</v>
      </c>
      <c r="AC145" s="22">
        <f t="shared" si="111"/>
        <v>50.597617685887009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1.1368683772161603E-13</v>
      </c>
      <c r="AJ145" s="13">
        <f>AI145*VLOOKUP('Données projet'!$B$10,Paramètres!$A$1:$I$89,3,0)*VLOOKUP('Données projet'!$B$10,Paramètres!$A$1:$I$89,5,0)</f>
        <v>6.7984728957526396E-14</v>
      </c>
      <c r="AK145" s="13">
        <f t="shared" si="143"/>
        <v>1.0682447123141398E-12</v>
      </c>
      <c r="AL145" s="20">
        <f t="shared" si="112"/>
        <v>1.978932943548152E-12</v>
      </c>
      <c r="AM145" s="59">
        <f t="shared" si="113"/>
        <v>293.3333333333353</v>
      </c>
      <c r="AN145" s="59">
        <f ca="1">AVERAGE(OFFSET($AM$3,0,0,'Données projet'!$E$10+1,1))-AVERAGE(OFFSET($H$3,0,0,'Données projet'!$E$10+1,1))</f>
        <v>214.93913810439858</v>
      </c>
      <c r="AO145" s="59">
        <f t="shared" si="144"/>
        <v>210.65603079265924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27.373817860112965</v>
      </c>
      <c r="AV145" s="21">
        <f>EXP(-LN(2)/25)*AV144+(1-EXP(-LN(2)/25))/(LN(2)/25)*Calculateur!AQ145*Calculateur!AS145*VLOOKUP('Données projet'!$B$10,Paramètres!$A$1:$I$89,3,0)*0.475*44/12</f>
        <v>4.9868969127623757</v>
      </c>
      <c r="AW145" s="21">
        <f>EXP(-LN(2)/2)*AW144+(1-EXP(-LN(2)/2))/(LN(2)/2)*AQ145*AT145*VLOOKUP('Données projet'!$B$10,Paramètres!$A$1:$I$89,3,0)*0.475*44/12</f>
        <v>2.7267307279250187E-11</v>
      </c>
      <c r="AX145" s="21">
        <f t="shared" si="114"/>
        <v>32.360714772902611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10.875</v>
      </c>
      <c r="BD145" s="12">
        <f>IF('Données projet'!$A$88&gt;35,BD144+BC145-BL144,IF(A145&lt;'Données projet'!$A$88,$BA$205^A145,IF(A145='Données projet'!$A$88,'Données projet'!$B$88,BD144+BC145-BL144)))</f>
        <v>586.13000000000045</v>
      </c>
      <c r="BE145" s="13">
        <f>BD145*VLOOKUP('Données projet'!$B$11,Paramètres!$A$1:$I$89,3,0)*VLOOKUP('Données projet'!$B$11,Paramètres!$A$1:$I$89,5,0)</f>
        <v>530.33042400000033</v>
      </c>
      <c r="BF145" s="13">
        <f t="shared" si="145"/>
        <v>117.75012850750038</v>
      </c>
      <c r="BG145" s="20">
        <f t="shared" si="115"/>
        <v>1128.7402956172302</v>
      </c>
      <c r="BH145" s="59">
        <f t="shared" si="116"/>
        <v>1422.0736289505635</v>
      </c>
      <c r="BI145" s="59">
        <f ca="1">AVERAGE(OFFSET($BH$3,0,0,'Données projet'!$E$11+1,1))-AVERAGE(OFFSET($H$3,0,0,'Données projet'!$E$11+1,1))</f>
        <v>507.69556381324213</v>
      </c>
      <c r="BJ145" s="59">
        <f t="shared" si="146"/>
        <v>129.52638237044044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68.279683432725179</v>
      </c>
      <c r="BQ145" s="21">
        <f>EXP(-LN(2)/25)*BQ144+(1-EXP(-LN(2)/25))/(LN(2)/25)*Calculateur!BL145*Calculateur!BN145*VLOOKUP('Données projet'!$B$11,Paramètres!$A$1:$I$89,3,0)*0.475*44/12</f>
        <v>27.281366485890054</v>
      </c>
      <c r="BR145" s="21">
        <f>EXP(-LN(2)/2)*BR144+(1-EXP(-LN(2)/2))/(LN(2)/2)*BL145*BO145*VLOOKUP('Données projet'!$B$11,Paramètres!$A$1:$I$89,3,0)*0.475*44/12</f>
        <v>9.2212784706810207E-8</v>
      </c>
      <c r="BS145" s="22">
        <f t="shared" si="117"/>
        <v>95.561050010828012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7.3375000000000012</v>
      </c>
      <c r="BY145" s="12">
        <f>IF('Données projet'!$A$114&gt;35,BY144+BX145-CG144,IF(A145&lt;'Données projet'!$A$114,$BV$205^A145,IF(A145='Données projet'!$A$114,'Données projet'!$B$114,BY144+BX145-CG144)))</f>
        <v>365.24499999999983</v>
      </c>
      <c r="BZ145" s="13">
        <f>BY145*VLOOKUP('Données projet'!$B$12,Paramètres!$A$1:$I$89,3,0)*VLOOKUP('Données projet'!$B$12,Paramètres!$A$1:$I$89,5,0)</f>
        <v>353.26496399999985</v>
      </c>
      <c r="CA145" s="13">
        <f t="shared" si="147"/>
        <v>82.234437497251108</v>
      </c>
      <c r="CB145" s="20">
        <f t="shared" si="118"/>
        <v>758.49479094104538</v>
      </c>
      <c r="CC145" s="59">
        <f t="shared" si="119"/>
        <v>1051.8281242743788</v>
      </c>
      <c r="CD145" s="59">
        <f ca="1">AVERAGE(OFFSET($CC$3,0,0,'Données projet'!$E$12+1,1))-AVERAGE(OFFSET($H$3,0,0,'Données projet'!$E$12+1,1))</f>
        <v>292.52253679467469</v>
      </c>
      <c r="CE145" s="59">
        <f t="shared" si="148"/>
        <v>155.7114133976541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22.821575682422537</v>
      </c>
      <c r="CL145" s="21">
        <f>EXP(-LN(2)/25)*CL144+(1-EXP(-LN(2)/25))/(LN(2)/25)*Calculateur!CG145*Calculateur!CI145*VLOOKUP('Données projet'!$B$12,Paramètres!$A$1:$I$89,3,0)*0.475*44/12</f>
        <v>17.377787531137578</v>
      </c>
      <c r="CM145" s="21">
        <f>EXP(-LN(2)/2)*CM144+(1-EXP(-LN(2)/2))/(LN(2)/2)*CG145*CJ145*VLOOKUP('Données projet'!$B$12,Paramètres!$A$1:$I$89,3,0)*0.475*44/12</f>
        <v>0.14313867604802133</v>
      </c>
      <c r="CN145" s="22">
        <f t="shared" si="120"/>
        <v>40.342501889608137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-1.1368683772161603E-13</v>
      </c>
      <c r="CU145" s="17">
        <f>CT145*VLOOKUP('Données projet'!$B$13,Paramètres!$A$1:$I$89,3,0)*VLOOKUP('Données projet'!$B$13,Paramètres!$A$1:$I$89,5,0)</f>
        <v>-8.8675733422860506E-14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100.54865094989304</v>
      </c>
      <c r="CZ145" s="59">
        <f t="shared" si="150"/>
        <v>99.95654161405389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6.4933222104499944</v>
      </c>
      <c r="DG145" s="21">
        <f>EXP(-LN(2)/25)*DG144+(1-EXP(-LN(2)/25))/(LN(2)/25)*Calculateur!DB145*Calculateur!DD145*VLOOKUP('Données projet'!$B$13,Paramètres!$A$1:$I$89,3,0)*0.475*44/12</f>
        <v>3.5856611410217116</v>
      </c>
      <c r="DH145" s="21">
        <f>EXP(-LN(2)/2)*DH144+(1-EXP(-LN(2)/2))/(LN(2)/2)*DB145*DE145*VLOOKUP('Données projet'!$B$13,Paramètres!$A$1:$I$89,3,0)*0.475*44/12</f>
        <v>4.0074663848807055E-10</v>
      </c>
      <c r="DI145" s="22">
        <f t="shared" si="123"/>
        <v>10.078983351872452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4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124.92479999999985</v>
      </c>
      <c r="D146" s="11">
        <f t="shared" si="140"/>
        <v>32.820925500842684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1217.686302111767</v>
      </c>
      <c r="H146" s="67">
        <f t="shared" si="110"/>
        <v>568.0738052473007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3.4106051316484809E-13</v>
      </c>
      <c r="O146" s="13">
        <f>N146*VLOOKUP('Données projet'!$B$9,Paramètres!$A$1:$I$89,3,0)*VLOOKUP('Données projet'!$B$9,Paramètres!$A$1:$I$89,5,0)</f>
        <v>1.9065282685915009E-13</v>
      </c>
      <c r="P146" s="13">
        <f t="shared" si="141"/>
        <v>2.6568987209435707E-12</v>
      </c>
      <c r="Q146" s="20">
        <f t="shared" si="108"/>
        <v>4.959485612423072E-12</v>
      </c>
      <c r="R146" s="59">
        <f t="shared" si="109"/>
        <v>293.33333333333826</v>
      </c>
      <c r="S146" s="59">
        <f ca="1">AVERAGE(OFFSET($R$3,0,0,'Données projet'!$E$9+1,1))-AVERAGE(OFFSET($H$3,0,0,'Données projet'!$E$9+1,1))</f>
        <v>324.69474275039357</v>
      </c>
      <c r="T146" s="59">
        <f t="shared" si="142"/>
        <v>437.68177084535927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42.341088849761732</v>
      </c>
      <c r="AA146" s="21">
        <f>EXP(-LN(2)/25)*AA145+(1-EXP(-LN(2)/25))/(LN(2)/25)*Calculateur!V146*Calculateur!X146*VLOOKUP('Données projet'!$B$9,Paramètres!$A$1:$I$89,3,0)*0.475*44/12</f>
        <v>7.2070219487064549</v>
      </c>
      <c r="AB146" s="21">
        <f>EXP(-LN(2)/2)*AB145+(1-EXP(-LN(2)/2))/(LN(2)/2)*V146*Y146*VLOOKUP('Données projet'!$B$9,Paramètres!$A$1:$I$89,3,0)*0.475*44/12</f>
        <v>3.6781106806433343E-12</v>
      </c>
      <c r="AC146" s="22">
        <f t="shared" si="111"/>
        <v>49.548110798471868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1.1368683772161603E-13</v>
      </c>
      <c r="AJ146" s="13">
        <f>AI146*VLOOKUP('Données projet'!$B$10,Paramètres!$A$1:$I$89,3,0)*VLOOKUP('Données projet'!$B$10,Paramètres!$A$1:$I$89,5,0)</f>
        <v>6.7984728957526396E-14</v>
      </c>
      <c r="AK146" s="13">
        <f t="shared" si="143"/>
        <v>1.0682447123141398E-12</v>
      </c>
      <c r="AL146" s="20">
        <f t="shared" si="112"/>
        <v>1.978932943548152E-12</v>
      </c>
      <c r="AM146" s="59">
        <f t="shared" si="113"/>
        <v>293.3333333333353</v>
      </c>
      <c r="AN146" s="59">
        <f ca="1">AVERAGE(OFFSET($AM$3,0,0,'Données projet'!$E$10+1,1))-AVERAGE(OFFSET($H$3,0,0,'Données projet'!$E$10+1,1))</f>
        <v>214.93913810439858</v>
      </c>
      <c r="AO146" s="59">
        <f t="shared" si="144"/>
        <v>210.65603079265924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26.837033988256415</v>
      </c>
      <c r="AV146" s="21">
        <f>EXP(-LN(2)/25)*AV145+(1-EXP(-LN(2)/25))/(LN(2)/25)*Calculateur!AQ146*Calculateur!AS146*VLOOKUP('Données projet'!$B$10,Paramètres!$A$1:$I$89,3,0)*0.475*44/12</f>
        <v>4.8505299544333775</v>
      </c>
      <c r="AW146" s="21">
        <f>EXP(-LN(2)/2)*AW145+(1-EXP(-LN(2)/2))/(LN(2)/2)*AQ146*AT146*VLOOKUP('Données projet'!$B$10,Paramètres!$A$1:$I$89,3,0)*0.475*44/12</f>
        <v>1.9280897881855116E-11</v>
      </c>
      <c r="AX146" s="21">
        <f t="shared" si="114"/>
        <v>31.687563942709073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10.875</v>
      </c>
      <c r="BD146" s="12">
        <f>IF('Données projet'!$A$88&gt;35,BD145+BC146-BL145,IF(A146&lt;'Données projet'!$A$88,$BA$205^A146,IF(A146='Données projet'!$A$88,'Données projet'!$B$88,BD145+BC146-BL145)))</f>
        <v>597.00500000000045</v>
      </c>
      <c r="BE146" s="13">
        <f>BD146*VLOOKUP('Données projet'!$B$11,Paramètres!$A$1:$I$89,3,0)*VLOOKUP('Données projet'!$B$11,Paramètres!$A$1:$I$89,5,0)</f>
        <v>540.17012400000033</v>
      </c>
      <c r="BF146" s="13">
        <f t="shared" si="145"/>
        <v>119.67848090157619</v>
      </c>
      <c r="BG146" s="20">
        <f t="shared" si="115"/>
        <v>1149.2363202035792</v>
      </c>
      <c r="BH146" s="59">
        <f t="shared" si="116"/>
        <v>1442.5696535369125</v>
      </c>
      <c r="BI146" s="59">
        <f ca="1">AVERAGE(OFFSET($BH$3,0,0,'Données projet'!$E$11+1,1))-AVERAGE(OFFSET($H$3,0,0,'Données projet'!$E$11+1,1))</f>
        <v>507.69556381324213</v>
      </c>
      <c r="BJ146" s="59">
        <f t="shared" si="146"/>
        <v>129.52638237044044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66.940760487104086</v>
      </c>
      <c r="BQ146" s="21">
        <f>EXP(-LN(2)/25)*BQ145+(1-EXP(-LN(2)/25))/(LN(2)/25)*Calculateur!BL146*Calculateur!BN146*VLOOKUP('Données projet'!$B$11,Paramètres!$A$1:$I$89,3,0)*0.475*44/12</f>
        <v>26.535356084668678</v>
      </c>
      <c r="BR146" s="21">
        <f>EXP(-LN(2)/2)*BR145+(1-EXP(-LN(2)/2))/(LN(2)/2)*BL146*BO146*VLOOKUP('Données projet'!$B$11,Paramètres!$A$1:$I$89,3,0)*0.475*44/12</f>
        <v>6.520428537828066E-8</v>
      </c>
      <c r="BS146" s="22">
        <f t="shared" si="117"/>
        <v>93.476116636977054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7.3375000000000012</v>
      </c>
      <c r="BY146" s="12">
        <f>IF('Données projet'!$A$114&gt;35,BY145+BX146-CG145,IF(A146&lt;'Données projet'!$A$114,$BV$205^A146,IF(A146='Données projet'!$A$114,'Données projet'!$B$114,BY145+BX146-CG145)))</f>
        <v>372.58249999999981</v>
      </c>
      <c r="BZ146" s="13">
        <f>BY146*VLOOKUP('Données projet'!$B$12,Paramètres!$A$1:$I$89,3,0)*VLOOKUP('Données projet'!$B$12,Paramètres!$A$1:$I$89,5,0)</f>
        <v>360.3617939999998</v>
      </c>
      <c r="CA146" s="13">
        <f t="shared" si="147"/>
        <v>83.69247587993793</v>
      </c>
      <c r="CB146" s="20">
        <f t="shared" si="118"/>
        <v>773.39452004089162</v>
      </c>
      <c r="CC146" s="59">
        <f t="shared" si="119"/>
        <v>1066.7278533742249</v>
      </c>
      <c r="CD146" s="59">
        <f ca="1">AVERAGE(OFFSET($CC$3,0,0,'Données projet'!$E$12+1,1))-AVERAGE(OFFSET($H$3,0,0,'Données projet'!$E$12+1,1))</f>
        <v>292.52253679467469</v>
      </c>
      <c r="CE146" s="59">
        <f t="shared" si="148"/>
        <v>155.7114133976541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22.374058503076935</v>
      </c>
      <c r="CL146" s="21">
        <f>EXP(-LN(2)/25)*CL145+(1-EXP(-LN(2)/25))/(LN(2)/25)*Calculateur!CG146*Calculateur!CI146*VLOOKUP('Données projet'!$B$12,Paramètres!$A$1:$I$89,3,0)*0.475*44/12</f>
        <v>16.902591017240493</v>
      </c>
      <c r="CM146" s="21">
        <f>EXP(-LN(2)/2)*CM145+(1-EXP(-LN(2)/2))/(LN(2)/2)*CG146*CJ146*VLOOKUP('Données projet'!$B$12,Paramètres!$A$1:$I$89,3,0)*0.475*44/12</f>
        <v>0.10121432848362033</v>
      </c>
      <c r="CN146" s="22">
        <f t="shared" si="120"/>
        <v>39.377863848801049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-1.1368683772161603E-13</v>
      </c>
      <c r="CU146" s="17">
        <f>CT146*VLOOKUP('Données projet'!$B$13,Paramètres!$A$1:$I$89,3,0)*VLOOKUP('Données projet'!$B$13,Paramètres!$A$1:$I$89,5,0)</f>
        <v>-8.8675733422860506E-14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100.54865094989304</v>
      </c>
      <c r="CZ146" s="59">
        <f t="shared" si="150"/>
        <v>99.95654161405389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6.3659921224385476</v>
      </c>
      <c r="DG146" s="21">
        <f>EXP(-LN(2)/25)*DG145+(1-EXP(-LN(2)/25))/(LN(2)/25)*Calculateur!DB146*Calculateur!DD146*VLOOKUP('Données projet'!$B$13,Paramètres!$A$1:$I$89,3,0)*0.475*44/12</f>
        <v>3.4876110485587488</v>
      </c>
      <c r="DH146" s="21">
        <f>EXP(-LN(2)/2)*DH145+(1-EXP(-LN(2)/2))/(LN(2)/2)*DB146*DE146*VLOOKUP('Données projet'!$B$13,Paramètres!$A$1:$I$89,3,0)*0.475*44/12</f>
        <v>2.8337066561262856E-10</v>
      </c>
      <c r="DI146" s="22">
        <f t="shared" si="123"/>
        <v>9.8536031712806675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4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125.79839999999984</v>
      </c>
      <c r="D147" s="11">
        <f t="shared" si="140"/>
        <v>33.023644363399924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1225.9947284192262</v>
      </c>
      <c r="H147" s="67">
        <f t="shared" si="110"/>
        <v>569.94839393292125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3.4106051316484809E-13</v>
      </c>
      <c r="O147" s="13">
        <f>N147*VLOOKUP('Données projet'!$B$9,Paramètres!$A$1:$I$89,3,0)*VLOOKUP('Données projet'!$B$9,Paramètres!$A$1:$I$89,5,0)</f>
        <v>1.9065282685915009E-13</v>
      </c>
      <c r="P147" s="13">
        <f t="shared" si="141"/>
        <v>2.6568987209435707E-12</v>
      </c>
      <c r="Q147" s="20">
        <f t="shared" si="108"/>
        <v>4.959485612423072E-12</v>
      </c>
      <c r="R147" s="59">
        <f t="shared" si="109"/>
        <v>293.33333333333826</v>
      </c>
      <c r="S147" s="59">
        <f ca="1">AVERAGE(OFFSET($R$3,0,0,'Données projet'!$E$9+1,1))-AVERAGE(OFFSET($H$3,0,0,'Données projet'!$E$9+1,1))</f>
        <v>324.69474275039357</v>
      </c>
      <c r="T147" s="59">
        <f t="shared" si="142"/>
        <v>437.68177084535927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41.510805922932043</v>
      </c>
      <c r="AA147" s="21">
        <f>EXP(-LN(2)/25)*AA146+(1-EXP(-LN(2)/25))/(LN(2)/25)*Calculateur!V147*Calculateur!X147*VLOOKUP('Données projet'!$B$9,Paramètres!$A$1:$I$89,3,0)*0.475*44/12</f>
        <v>7.0099455545182643</v>
      </c>
      <c r="AB147" s="21">
        <f>EXP(-LN(2)/2)*AB146+(1-EXP(-LN(2)/2))/(LN(2)/2)*V147*Y147*VLOOKUP('Données projet'!$B$9,Paramètres!$A$1:$I$89,3,0)*0.475*44/12</f>
        <v>2.6008170042375696E-12</v>
      </c>
      <c r="AC147" s="22">
        <f t="shared" si="111"/>
        <v>48.520751477452905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1.1368683772161603E-13</v>
      </c>
      <c r="AJ147" s="13">
        <f>AI147*VLOOKUP('Données projet'!$B$10,Paramètres!$A$1:$I$89,3,0)*VLOOKUP('Données projet'!$B$10,Paramètres!$A$1:$I$89,5,0)</f>
        <v>6.7984728957526396E-14</v>
      </c>
      <c r="AK147" s="13">
        <f t="shared" si="143"/>
        <v>1.0682447123141398E-12</v>
      </c>
      <c r="AL147" s="20">
        <f t="shared" si="112"/>
        <v>1.978932943548152E-12</v>
      </c>
      <c r="AM147" s="59">
        <f t="shared" si="113"/>
        <v>293.3333333333353</v>
      </c>
      <c r="AN147" s="59">
        <f ca="1">AVERAGE(OFFSET($AM$3,0,0,'Données projet'!$E$10+1,1))-AVERAGE(OFFSET($H$3,0,0,'Données projet'!$E$10+1,1))</f>
        <v>214.93913810439858</v>
      </c>
      <c r="AO147" s="59">
        <f t="shared" si="144"/>
        <v>210.65603079265924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26.310776120721137</v>
      </c>
      <c r="AV147" s="21">
        <f>EXP(-LN(2)/25)*AV146+(1-EXP(-LN(2)/25))/(LN(2)/25)*Calculateur!AQ147*Calculateur!AS147*VLOOKUP('Données projet'!$B$10,Paramètres!$A$1:$I$89,3,0)*0.475*44/12</f>
        <v>4.7178919577511129</v>
      </c>
      <c r="AW147" s="21">
        <f>EXP(-LN(2)/2)*AW146+(1-EXP(-LN(2)/2))/(LN(2)/2)*AQ147*AT147*VLOOKUP('Données projet'!$B$10,Paramètres!$A$1:$I$89,3,0)*0.475*44/12</f>
        <v>1.3633653639625093E-11</v>
      </c>
      <c r="AX147" s="21">
        <f t="shared" si="114"/>
        <v>31.028668078485886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10.875</v>
      </c>
      <c r="BD147" s="12">
        <f>IF('Données projet'!$A$88&gt;35,BD146+BC147-BL146,IF(A147&lt;'Données projet'!$A$88,$BA$205^A147,IF(A147='Données projet'!$A$88,'Données projet'!$B$88,BD146+BC147-BL146)))</f>
        <v>607.88000000000045</v>
      </c>
      <c r="BE147" s="13">
        <f>BD147*VLOOKUP('Données projet'!$B$11,Paramètres!$A$1:$I$89,3,0)*VLOOKUP('Données projet'!$B$11,Paramètres!$A$1:$I$89,5,0)</f>
        <v>550.00982400000044</v>
      </c>
      <c r="BF147" s="13">
        <f t="shared" si="145"/>
        <v>121.60274863739461</v>
      </c>
      <c r="BG147" s="20">
        <f t="shared" si="115"/>
        <v>1169.7252306767962</v>
      </c>
      <c r="BH147" s="59">
        <f t="shared" si="116"/>
        <v>1463.0585640101294</v>
      </c>
      <c r="BI147" s="59">
        <f ca="1">AVERAGE(OFFSET($BH$3,0,0,'Données projet'!$E$11+1,1))-AVERAGE(OFFSET($H$3,0,0,'Données projet'!$E$11+1,1))</f>
        <v>507.69556381324213</v>
      </c>
      <c r="BJ147" s="59">
        <f t="shared" si="146"/>
        <v>129.52638237044044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65.628093003784258</v>
      </c>
      <c r="BQ147" s="21">
        <f>EXP(-LN(2)/25)*BQ146+(1-EXP(-LN(2)/25))/(LN(2)/25)*Calculateur!BL147*Calculateur!BN147*VLOOKUP('Données projet'!$B$11,Paramètres!$A$1:$I$89,3,0)*0.475*44/12</f>
        <v>25.809745377099684</v>
      </c>
      <c r="BR147" s="21">
        <f>EXP(-LN(2)/2)*BR146+(1-EXP(-LN(2)/2))/(LN(2)/2)*BL147*BO147*VLOOKUP('Données projet'!$B$11,Paramètres!$A$1:$I$89,3,0)*0.475*44/12</f>
        <v>4.6106392353405103E-8</v>
      </c>
      <c r="BS147" s="22">
        <f t="shared" si="117"/>
        <v>91.437838426990339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>
        <f>VLOOKUP(A147,'Données projet'!$A$113:$I$133,2,0)</f>
        <v>379.92</v>
      </c>
      <c r="BW147" s="12">
        <f>VLOOKUP(A147,'Données projet'!$A$113:$I$133,9,0)</f>
        <v>7.3375000000000012</v>
      </c>
      <c r="BX147" s="12">
        <f t="array" ref="BX147">INDEX(BW:BW,MIN(IF(ISNUMBER(BW147:BW343),ROW(BW147:BW343),"")))</f>
        <v>7.3375000000000012</v>
      </c>
      <c r="BY147" s="12">
        <f>IF('Données projet'!$A$114&gt;35,BY146+BX147-CG146,IF(A147&lt;'Données projet'!$A$114,$BV$205^A147,IF(A147='Données projet'!$A$114,'Données projet'!$B$114,BY146+BX147-CG146)))</f>
        <v>379.91999999999979</v>
      </c>
      <c r="BZ147" s="13">
        <f>BY147*VLOOKUP('Données projet'!$B$12,Paramètres!$A$1:$I$89,3,0)*VLOOKUP('Données projet'!$B$12,Paramètres!$A$1:$I$89,5,0)</f>
        <v>367.45862399999976</v>
      </c>
      <c r="CA147" s="13">
        <f t="shared" si="147"/>
        <v>85.147175545724309</v>
      </c>
      <c r="CB147" s="20">
        <f t="shared" si="118"/>
        <v>788.28843420880264</v>
      </c>
      <c r="CC147" s="59">
        <f t="shared" si="119"/>
        <v>1081.621767542136</v>
      </c>
      <c r="CD147" s="59">
        <f ca="1">AVERAGE(OFFSET($CC$3,0,0,'Données projet'!$E$12+1,1))-AVERAGE(OFFSET($H$3,0,0,'Données projet'!$E$12+1,1))</f>
        <v>292.52253679467469</v>
      </c>
      <c r="CE147" s="59">
        <f t="shared" si="148"/>
        <v>155.7114133976541</v>
      </c>
      <c r="CF147" s="15">
        <f>IF(ISNA(VLOOKUP(A147,'Données projet'!$A$113:$I$133,3,0)),0,VLOOKUP(A147,'Données projet'!$A$113:$I$133,3,0))</f>
        <v>10</v>
      </c>
      <c r="CG147" s="15">
        <f>IF(ISNA(VLOOKUP(A147,'Données projet'!$A$113:$I$133,4,0)),0,VLOOKUP(A147,'Données projet'!$A$113:$I$133,4,0))</f>
        <v>60.949999999999989</v>
      </c>
      <c r="CH147" s="16">
        <f>IF(ISNA(VLOOKUP(A147,'Données projet'!$A$113:$I$133,5,0)),0%,VLOOKUP(A147,'Données projet'!$A$113:$I$133,5,0)*VLOOKUP('Données projet'!$B$12,Paramètres!$A$1:$I$89,7,0))</f>
        <v>0.15049999999999999</v>
      </c>
      <c r="CI147" s="16">
        <f>IF(ISNA(VLOOKUP(A147,'Données projet'!$A$113:$I$133,6,0)),0%,VLOOKUP(A147,'Données projet'!$A$113:$I$133,6,0)*VLOOKUP('Données projet'!$B$12,Paramètres!$A$1:$I$89,7,0))</f>
        <v>8.6000000000000007E-2</v>
      </c>
      <c r="CJ147" s="16">
        <f>IF(ISNA(VLOOKUP(A147,'Données projet'!$A$113:$I$133,7,0)),0%,VLOOKUP(A147,'Données projet'!$A$113:$I$133,7,0))</f>
        <v>0.1</v>
      </c>
      <c r="CK147" s="21">
        <f>EXP(-LN(2)/35)*CK146+(1-EXP(-LN(2)/35))/(LN(2)/35)*CG147*CH147*VLOOKUP('Données projet'!$B$12,Paramètres!$A$1:$I$89,3,0)*0.475*44/12</f>
        <v>31.743162186681992</v>
      </c>
      <c r="CL147" s="21">
        <f>EXP(-LN(2)/25)*CL146+(1-EXP(-LN(2)/25))/(LN(2)/25)*Calculateur!CG147*Calculateur!CI147*VLOOKUP('Données projet'!$B$12,Paramètres!$A$1:$I$89,3,0)*0.475*44/12</f>
        <v>22.022804834090849</v>
      </c>
      <c r="CM147" s="21">
        <f>EXP(-LN(2)/2)*CM146+(1-EXP(-LN(2)/2))/(LN(2)/2)*CG147*CJ147*VLOOKUP('Données projet'!$B$12,Paramètres!$A$1:$I$89,3,0)*0.475*44/12</f>
        <v>5.6337397558836004</v>
      </c>
      <c r="CN147" s="22">
        <f t="shared" si="120"/>
        <v>59.399706776656444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-1.1368683772161603E-13</v>
      </c>
      <c r="CU147" s="17">
        <f>CT147*VLOOKUP('Données projet'!$B$13,Paramètres!$A$1:$I$89,3,0)*VLOOKUP('Données projet'!$B$13,Paramètres!$A$1:$I$89,5,0)</f>
        <v>-8.8675733422860506E-14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100.54865094989304</v>
      </c>
      <c r="CZ147" s="59">
        <f t="shared" si="150"/>
        <v>99.95654161405389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6.2411588997893208</v>
      </c>
      <c r="DG147" s="21">
        <f>EXP(-LN(2)/25)*DG146+(1-EXP(-LN(2)/25))/(LN(2)/25)*Calculateur!DB147*Calculateur!DD147*VLOOKUP('Données projet'!$B$13,Paramètres!$A$1:$I$89,3,0)*0.475*44/12</f>
        <v>3.3922421410304158</v>
      </c>
      <c r="DH147" s="21">
        <f>EXP(-LN(2)/2)*DH146+(1-EXP(-LN(2)/2))/(LN(2)/2)*DB147*DE147*VLOOKUP('Données projet'!$B$13,Paramètres!$A$1:$I$89,3,0)*0.475*44/12</f>
        <v>2.0037331924403528E-10</v>
      </c>
      <c r="DI147" s="22">
        <f t="shared" si="123"/>
        <v>9.6334010410201092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4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126.67199999999984</v>
      </c>
      <c r="D148" s="11">
        <f t="shared" si="140"/>
        <v>33.226199426361291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1234.3018903087527</v>
      </c>
      <c r="H148" s="67">
        <f t="shared" si="110"/>
        <v>571.82269733424562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3.4106051316484809E-13</v>
      </c>
      <c r="O148" s="13">
        <f>N148*VLOOKUP('Données projet'!$B$9,Paramètres!$A$1:$I$89,3,0)*VLOOKUP('Données projet'!$B$9,Paramètres!$A$1:$I$89,5,0)</f>
        <v>1.9065282685915009E-13</v>
      </c>
      <c r="P148" s="13">
        <f t="shared" si="141"/>
        <v>2.6568987209435707E-12</v>
      </c>
      <c r="Q148" s="20">
        <f t="shared" si="108"/>
        <v>4.959485612423072E-12</v>
      </c>
      <c r="R148" s="59">
        <f t="shared" si="109"/>
        <v>293.33333333333826</v>
      </c>
      <c r="S148" s="59">
        <f ca="1">AVERAGE(OFFSET($R$3,0,0,'Données projet'!$E$9+1,1))-AVERAGE(OFFSET($H$3,0,0,'Données projet'!$E$9+1,1))</f>
        <v>324.69474275039357</v>
      </c>
      <c r="T148" s="59">
        <f t="shared" si="142"/>
        <v>437.68177084535927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40.696804337874909</v>
      </c>
      <c r="AA148" s="21">
        <f>EXP(-LN(2)/25)*AA147+(1-EXP(-LN(2)/25))/(LN(2)/25)*Calculateur!V148*Calculateur!X148*VLOOKUP('Données projet'!$B$9,Paramètres!$A$1:$I$89,3,0)*0.475*44/12</f>
        <v>6.8182582246929471</v>
      </c>
      <c r="AB148" s="21">
        <f>EXP(-LN(2)/2)*AB147+(1-EXP(-LN(2)/2))/(LN(2)/2)*V148*Y148*VLOOKUP('Données projet'!$B$9,Paramètres!$A$1:$I$89,3,0)*0.475*44/12</f>
        <v>1.8390553403216671E-12</v>
      </c>
      <c r="AC148" s="22">
        <f t="shared" si="111"/>
        <v>47.515062562569696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1.1368683772161603E-13</v>
      </c>
      <c r="AJ148" s="13">
        <f>AI148*VLOOKUP('Données projet'!$B$10,Paramètres!$A$1:$I$89,3,0)*VLOOKUP('Données projet'!$B$10,Paramètres!$A$1:$I$89,5,0)</f>
        <v>6.7984728957526396E-14</v>
      </c>
      <c r="AK148" s="13">
        <f t="shared" si="143"/>
        <v>1.0682447123141398E-12</v>
      </c>
      <c r="AL148" s="20">
        <f t="shared" si="112"/>
        <v>1.978932943548152E-12</v>
      </c>
      <c r="AM148" s="59">
        <f t="shared" si="113"/>
        <v>293.3333333333353</v>
      </c>
      <c r="AN148" s="59">
        <f ca="1">AVERAGE(OFFSET($AM$3,0,0,'Données projet'!$E$10+1,1))-AVERAGE(OFFSET($H$3,0,0,'Données projet'!$E$10+1,1))</f>
        <v>214.93913810439858</v>
      </c>
      <c r="AO148" s="59">
        <f t="shared" si="144"/>
        <v>210.65603079265924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25.79483784898262</v>
      </c>
      <c r="AV148" s="21">
        <f>EXP(-LN(2)/25)*AV147+(1-EXP(-LN(2)/25))/(LN(2)/25)*Calculateur!AQ148*Calculateur!AS148*VLOOKUP('Données projet'!$B$10,Paramètres!$A$1:$I$89,3,0)*0.475*44/12</f>
        <v>4.5888809540632538</v>
      </c>
      <c r="AW148" s="21">
        <f>EXP(-LN(2)/2)*AW147+(1-EXP(-LN(2)/2))/(LN(2)/2)*AQ148*AT148*VLOOKUP('Données projet'!$B$10,Paramètres!$A$1:$I$89,3,0)*0.475*44/12</f>
        <v>9.6404489409275581E-12</v>
      </c>
      <c r="AX148" s="21">
        <f t="shared" si="114"/>
        <v>30.383718803055515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10.875</v>
      </c>
      <c r="BD148" s="12">
        <f>IF('Données projet'!$A$88&gt;35,BD147+BC148-BL147,IF(A148&lt;'Données projet'!$A$88,$BA$205^A148,IF(A148='Données projet'!$A$88,'Données projet'!$B$88,BD147+BC148-BL147)))</f>
        <v>618.75500000000045</v>
      </c>
      <c r="BE148" s="13">
        <f>BD148*VLOOKUP('Données projet'!$B$11,Paramètres!$A$1:$I$89,3,0)*VLOOKUP('Données projet'!$B$11,Paramètres!$A$1:$I$89,5,0)</f>
        <v>559.84952400000043</v>
      </c>
      <c r="BF148" s="13">
        <f t="shared" si="145"/>
        <v>123.52301321945187</v>
      </c>
      <c r="BG148" s="20">
        <f t="shared" si="115"/>
        <v>1190.2071689905461</v>
      </c>
      <c r="BH148" s="59">
        <f t="shared" si="116"/>
        <v>1483.5405023238793</v>
      </c>
      <c r="BI148" s="59">
        <f ca="1">AVERAGE(OFFSET($BH$3,0,0,'Données projet'!$E$11+1,1))-AVERAGE(OFFSET($H$3,0,0,'Données projet'!$E$11+1,1))</f>
        <v>507.69556381324213</v>
      </c>
      <c r="BJ148" s="59">
        <f t="shared" si="146"/>
        <v>129.52638237044044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64.341166129164222</v>
      </c>
      <c r="BQ148" s="21">
        <f>EXP(-LN(2)/25)*BQ147+(1-EXP(-LN(2)/25))/(LN(2)/25)*Calculateur!BL148*Calculateur!BN148*VLOOKUP('Données projet'!$B$11,Paramètres!$A$1:$I$89,3,0)*0.475*44/12</f>
        <v>25.103976532487373</v>
      </c>
      <c r="BR148" s="21">
        <f>EXP(-LN(2)/2)*BR147+(1-EXP(-LN(2)/2))/(LN(2)/2)*BL148*BO148*VLOOKUP('Données projet'!$B$11,Paramètres!$A$1:$I$89,3,0)*0.475*44/12</f>
        <v>3.260214268914033E-8</v>
      </c>
      <c r="BS148" s="22">
        <f t="shared" si="117"/>
        <v>89.445142694253747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7.5191666666666634</v>
      </c>
      <c r="BY148" s="12">
        <f>IF('Données projet'!$A$114&gt;35,BY147+BX148-CG147,IF(A148&lt;'Données projet'!$A$114,$BV$205^A148,IF(A148='Données projet'!$A$114,'Données projet'!$B$114,BY147+BX148-CG147)))</f>
        <v>326.48916666666645</v>
      </c>
      <c r="BZ148" s="13">
        <f>BY148*VLOOKUP('Données projet'!$B$12,Paramètres!$A$1:$I$89,3,0)*VLOOKUP('Données projet'!$B$12,Paramètres!$A$1:$I$89,5,0)</f>
        <v>315.78032199999979</v>
      </c>
      <c r="CA148" s="13">
        <f t="shared" si="147"/>
        <v>74.474690447846996</v>
      </c>
      <c r="CB148" s="20">
        <f t="shared" si="118"/>
        <v>679.69414667999979</v>
      </c>
      <c r="CC148" s="59">
        <f t="shared" si="119"/>
        <v>973.02748001333316</v>
      </c>
      <c r="CD148" s="59">
        <f ca="1">AVERAGE(OFFSET($CC$3,0,0,'Données projet'!$E$12+1,1))-AVERAGE(OFFSET($H$3,0,0,'Données projet'!$E$12+1,1))</f>
        <v>292.52253679467469</v>
      </c>
      <c r="CE148" s="59">
        <f t="shared" si="148"/>
        <v>155.7114133976541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31.120698137618312</v>
      </c>
      <c r="CL148" s="21">
        <f>EXP(-LN(2)/25)*CL147+(1-EXP(-LN(2)/25))/(LN(2)/25)*Calculateur!CG148*Calculateur!CI148*VLOOKUP('Données projet'!$B$12,Paramètres!$A$1:$I$89,3,0)*0.475*44/12</f>
        <v>21.420590077773664</v>
      </c>
      <c r="CM148" s="21">
        <f>EXP(-LN(2)/2)*CM147+(1-EXP(-LN(2)/2))/(LN(2)/2)*CG148*CJ148*VLOOKUP('Données projet'!$B$12,Paramètres!$A$1:$I$89,3,0)*0.475*44/12</f>
        <v>3.9836555848255388</v>
      </c>
      <c r="CN148" s="22">
        <f t="shared" si="120"/>
        <v>56.524943800217514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-1.1368683772161603E-13</v>
      </c>
      <c r="CU148" s="17">
        <f>CT148*VLOOKUP('Données projet'!$B$13,Paramètres!$A$1:$I$89,3,0)*VLOOKUP('Données projet'!$B$13,Paramètres!$A$1:$I$89,5,0)</f>
        <v>-8.8675733422860506E-14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100.54865094989304</v>
      </c>
      <c r="CZ148" s="59">
        <f t="shared" si="150"/>
        <v>99.95654161405389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6.1187735804954979</v>
      </c>
      <c r="DG148" s="21">
        <f>EXP(-LN(2)/25)*DG147+(1-EXP(-LN(2)/25))/(LN(2)/25)*Calculateur!DB148*Calculateur!DD148*VLOOKUP('Données projet'!$B$13,Paramètres!$A$1:$I$89,3,0)*0.475*44/12</f>
        <v>3.299481101293678</v>
      </c>
      <c r="DH148" s="21">
        <f>EXP(-LN(2)/2)*DH147+(1-EXP(-LN(2)/2))/(LN(2)/2)*DB148*DE148*VLOOKUP('Données projet'!$B$13,Paramètres!$A$1:$I$89,3,0)*0.475*44/12</f>
        <v>1.4168533280631428E-10</v>
      </c>
      <c r="DI148" s="22">
        <f t="shared" si="123"/>
        <v>9.4182546819308612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4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127.54559999999984</v>
      </c>
      <c r="D149" s="11">
        <f t="shared" si="140"/>
        <v>33.428591950384771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1242.607797511741</v>
      </c>
      <c r="H149" s="67">
        <f t="shared" si="110"/>
        <v>573.69671764691986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3.4106051316484809E-13</v>
      </c>
      <c r="O149" s="13">
        <f>N149*VLOOKUP('Données projet'!$B$9,Paramètres!$A$1:$I$89,3,0)*VLOOKUP('Données projet'!$B$9,Paramètres!$A$1:$I$89,5,0)</f>
        <v>1.9065282685915009E-13</v>
      </c>
      <c r="P149" s="13">
        <f t="shared" si="141"/>
        <v>2.6568987209435707E-12</v>
      </c>
      <c r="Q149" s="20">
        <f t="shared" si="108"/>
        <v>4.959485612423072E-12</v>
      </c>
      <c r="R149" s="59">
        <f t="shared" si="109"/>
        <v>293.33333333333826</v>
      </c>
      <c r="S149" s="59">
        <f ca="1">AVERAGE(OFFSET($R$3,0,0,'Données projet'!$E$9+1,1))-AVERAGE(OFFSET($H$3,0,0,'Données projet'!$E$9+1,1))</f>
        <v>324.69474275039357</v>
      </c>
      <c r="T149" s="59">
        <f t="shared" si="142"/>
        <v>437.68177084535927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39.898764827408797</v>
      </c>
      <c r="AA149" s="21">
        <f>EXP(-LN(2)/25)*AA148+(1-EXP(-LN(2)/25))/(LN(2)/25)*Calculateur!V149*Calculateur!X149*VLOOKUP('Données projet'!$B$9,Paramètres!$A$1:$I$89,3,0)*0.475*44/12</f>
        <v>6.6318125949821018</v>
      </c>
      <c r="AB149" s="21">
        <f>EXP(-LN(2)/2)*AB148+(1-EXP(-LN(2)/2))/(LN(2)/2)*V149*Y149*VLOOKUP('Données projet'!$B$9,Paramètres!$A$1:$I$89,3,0)*0.475*44/12</f>
        <v>1.3004085021187848E-12</v>
      </c>
      <c r="AC149" s="22">
        <f t="shared" si="111"/>
        <v>46.530577422392199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1.1368683772161603E-13</v>
      </c>
      <c r="AJ149" s="13">
        <f>AI149*VLOOKUP('Données projet'!$B$10,Paramètres!$A$1:$I$89,3,0)*VLOOKUP('Données projet'!$B$10,Paramètres!$A$1:$I$89,5,0)</f>
        <v>6.7984728957526396E-14</v>
      </c>
      <c r="AK149" s="13">
        <f t="shared" si="143"/>
        <v>1.0682447123141398E-12</v>
      </c>
      <c r="AL149" s="20">
        <f t="shared" si="112"/>
        <v>1.978932943548152E-12</v>
      </c>
      <c r="AM149" s="59">
        <f t="shared" si="113"/>
        <v>293.3333333333353</v>
      </c>
      <c r="AN149" s="59">
        <f ca="1">AVERAGE(OFFSET($AM$3,0,0,'Données projet'!$E$10+1,1))-AVERAGE(OFFSET($H$3,0,0,'Données projet'!$E$10+1,1))</f>
        <v>214.93913810439858</v>
      </c>
      <c r="AO149" s="59">
        <f t="shared" si="144"/>
        <v>210.65603079265924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25.289016812061625</v>
      </c>
      <c r="AV149" s="21">
        <f>EXP(-LN(2)/25)*AV148+(1-EXP(-LN(2)/25))/(LN(2)/25)*Calculateur!AQ149*Calculateur!AS149*VLOOKUP('Données projet'!$B$10,Paramètres!$A$1:$I$89,3,0)*0.475*44/12</f>
        <v>4.4633977630556325</v>
      </c>
      <c r="AW149" s="21">
        <f>EXP(-LN(2)/2)*AW148+(1-EXP(-LN(2)/2))/(LN(2)/2)*AQ149*AT149*VLOOKUP('Données projet'!$B$10,Paramètres!$A$1:$I$89,3,0)*0.475*44/12</f>
        <v>6.8168268198125467E-12</v>
      </c>
      <c r="AX149" s="21">
        <f t="shared" si="114"/>
        <v>29.752414575124075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10.875</v>
      </c>
      <c r="BD149" s="12">
        <f>IF('Données projet'!$A$88&gt;35,BD148+BC149-BL148,IF(A149&lt;'Données projet'!$A$88,$BA$205^A149,IF(A149='Données projet'!$A$88,'Données projet'!$B$88,BD148+BC149-BL148)))</f>
        <v>629.63000000000045</v>
      </c>
      <c r="BE149" s="13">
        <f>BD149*VLOOKUP('Données projet'!$B$11,Paramètres!$A$1:$I$89,3,0)*VLOOKUP('Données projet'!$B$11,Paramètres!$A$1:$I$89,5,0)</f>
        <v>569.68922400000042</v>
      </c>
      <c r="BF149" s="13">
        <f t="shared" si="145"/>
        <v>125.43935312315148</v>
      </c>
      <c r="BG149" s="20">
        <f t="shared" si="115"/>
        <v>1210.6822718228229</v>
      </c>
      <c r="BH149" s="59">
        <f t="shared" si="116"/>
        <v>1504.0156051561562</v>
      </c>
      <c r="BI149" s="59">
        <f ca="1">AVERAGE(OFFSET($BH$3,0,0,'Données projet'!$E$11+1,1))-AVERAGE(OFFSET($H$3,0,0,'Données projet'!$E$11+1,1))</f>
        <v>507.69556381324213</v>
      </c>
      <c r="BJ149" s="59">
        <f t="shared" si="146"/>
        <v>129.52638237044044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63.079475105607607</v>
      </c>
      <c r="BQ149" s="21">
        <f>EXP(-LN(2)/25)*BQ148+(1-EXP(-LN(2)/25))/(LN(2)/25)*Calculateur!BL149*Calculateur!BN149*VLOOKUP('Données projet'!$B$11,Paramètres!$A$1:$I$89,3,0)*0.475*44/12</f>
        <v>24.417506974045757</v>
      </c>
      <c r="BR149" s="21">
        <f>EXP(-LN(2)/2)*BR148+(1-EXP(-LN(2)/2))/(LN(2)/2)*BL149*BO149*VLOOKUP('Données projet'!$B$11,Paramètres!$A$1:$I$89,3,0)*0.475*44/12</f>
        <v>2.3053196176702552E-8</v>
      </c>
      <c r="BS149" s="22">
        <f t="shared" si="117"/>
        <v>87.496982102706554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7.5191666666666634</v>
      </c>
      <c r="BY149" s="12">
        <f>IF('Données projet'!$A$114&gt;35,BY148+BX149-CG148,IF(A149&lt;'Données projet'!$A$114,$BV$205^A149,IF(A149='Données projet'!$A$114,'Données projet'!$B$114,BY148+BX149-CG148)))</f>
        <v>334.0083333333331</v>
      </c>
      <c r="BZ149" s="13">
        <f>BY149*VLOOKUP('Données projet'!$B$12,Paramètres!$A$1:$I$89,3,0)*VLOOKUP('Données projet'!$B$12,Paramètres!$A$1:$I$89,5,0)</f>
        <v>323.05285999999978</v>
      </c>
      <c r="CA149" s="13">
        <f t="shared" si="147"/>
        <v>75.988209111509335</v>
      </c>
      <c r="CB149" s="20">
        <f t="shared" si="118"/>
        <v>694.99652870254488</v>
      </c>
      <c r="CC149" s="59">
        <f t="shared" si="119"/>
        <v>988.32986203587825</v>
      </c>
      <c r="CD149" s="59">
        <f ca="1">AVERAGE(OFFSET($CC$3,0,0,'Données projet'!$E$12+1,1))-AVERAGE(OFFSET($H$3,0,0,'Données projet'!$E$12+1,1))</f>
        <v>292.52253679467469</v>
      </c>
      <c r="CE149" s="59">
        <f t="shared" si="148"/>
        <v>155.7114133976541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30.510440228891188</v>
      </c>
      <c r="CL149" s="21">
        <f>EXP(-LN(2)/25)*CL148+(1-EXP(-LN(2)/25))/(LN(2)/25)*Calculateur!CG149*Calculateur!CI149*VLOOKUP('Données projet'!$B$12,Paramètres!$A$1:$I$89,3,0)*0.475*44/12</f>
        <v>20.834842915637068</v>
      </c>
      <c r="CM149" s="21">
        <f>EXP(-LN(2)/2)*CM148+(1-EXP(-LN(2)/2))/(LN(2)/2)*CG149*CJ149*VLOOKUP('Données projet'!$B$12,Paramètres!$A$1:$I$89,3,0)*0.475*44/12</f>
        <v>2.8168698779418007</v>
      </c>
      <c r="CN149" s="22">
        <f t="shared" si="120"/>
        <v>54.162153022470051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-1.1368683772161603E-13</v>
      </c>
      <c r="CU149" s="17">
        <f>CT149*VLOOKUP('Données projet'!$B$13,Paramètres!$A$1:$I$89,3,0)*VLOOKUP('Données projet'!$B$13,Paramètres!$A$1:$I$89,5,0)</f>
        <v>-8.8675733422860506E-14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100.54865094989304</v>
      </c>
      <c r="CZ149" s="59">
        <f t="shared" si="150"/>
        <v>99.95654161405389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5.9987881626653525</v>
      </c>
      <c r="DG149" s="21">
        <f>EXP(-LN(2)/25)*DG148+(1-EXP(-LN(2)/25))/(LN(2)/25)*Calculateur!DB149*Calculateur!DD149*VLOOKUP('Données projet'!$B$13,Paramètres!$A$1:$I$89,3,0)*0.475*44/12</f>
        <v>3.2092566170666323</v>
      </c>
      <c r="DH149" s="21">
        <f>EXP(-LN(2)/2)*DH148+(1-EXP(-LN(2)/2))/(LN(2)/2)*DB149*DE149*VLOOKUP('Données projet'!$B$13,Paramètres!$A$1:$I$89,3,0)*0.475*44/12</f>
        <v>1.0018665962201764E-10</v>
      </c>
      <c r="DI149" s="22">
        <f t="shared" si="123"/>
        <v>9.2080447798321714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4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128.41919999999985</v>
      </c>
      <c r="D150" s="11">
        <f t="shared" si="140"/>
        <v>33.630823177860727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1250.9124596185727</v>
      </c>
      <c r="H150" s="67">
        <f t="shared" si="110"/>
        <v>575.57045703477377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3.4106051316484809E-13</v>
      </c>
      <c r="O150" s="13">
        <f>N150*VLOOKUP('Données projet'!$B$9,Paramètres!$A$1:$I$89,3,0)*VLOOKUP('Données projet'!$B$9,Paramètres!$A$1:$I$89,5,0)</f>
        <v>1.9065282685915009E-13</v>
      </c>
      <c r="P150" s="13">
        <f t="shared" si="141"/>
        <v>2.6568987209435707E-12</v>
      </c>
      <c r="Q150" s="20">
        <f t="shared" si="108"/>
        <v>4.959485612423072E-12</v>
      </c>
      <c r="R150" s="59">
        <f t="shared" si="109"/>
        <v>293.33333333333826</v>
      </c>
      <c r="S150" s="59">
        <f ca="1">AVERAGE(OFFSET($R$3,0,0,'Données projet'!$E$9+1,1))-AVERAGE(OFFSET($H$3,0,0,'Données projet'!$E$9+1,1))</f>
        <v>324.69474275039357</v>
      </c>
      <c r="T150" s="59">
        <f t="shared" si="142"/>
        <v>437.68177084535927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39.116374384986891</v>
      </c>
      <c r="AA150" s="21">
        <f>EXP(-LN(2)/25)*AA149+(1-EXP(-LN(2)/25))/(LN(2)/25)*Calculateur!V150*Calculateur!X150*VLOOKUP('Données projet'!$B$9,Paramètres!$A$1:$I$89,3,0)*0.475*44/12</f>
        <v>6.4504653308204487</v>
      </c>
      <c r="AB150" s="21">
        <f>EXP(-LN(2)/2)*AB149+(1-EXP(-LN(2)/2))/(LN(2)/2)*V150*Y150*VLOOKUP('Données projet'!$B$9,Paramètres!$A$1:$I$89,3,0)*0.475*44/12</f>
        <v>9.1952767016083357E-13</v>
      </c>
      <c r="AC150" s="22">
        <f t="shared" si="111"/>
        <v>45.566839715808257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1.1368683772161603E-13</v>
      </c>
      <c r="AJ150" s="13">
        <f>AI150*VLOOKUP('Données projet'!$B$10,Paramètres!$A$1:$I$89,3,0)*VLOOKUP('Données projet'!$B$10,Paramètres!$A$1:$I$89,5,0)</f>
        <v>6.7984728957526396E-14</v>
      </c>
      <c r="AK150" s="13">
        <f t="shared" si="143"/>
        <v>1.0682447123141398E-12</v>
      </c>
      <c r="AL150" s="20">
        <f t="shared" si="112"/>
        <v>1.978932943548152E-12</v>
      </c>
      <c r="AM150" s="59">
        <f t="shared" si="113"/>
        <v>293.3333333333353</v>
      </c>
      <c r="AN150" s="59">
        <f ca="1">AVERAGE(OFFSET($AM$3,0,0,'Données projet'!$E$10+1,1))-AVERAGE(OFFSET($H$3,0,0,'Données projet'!$E$10+1,1))</f>
        <v>214.93913810439858</v>
      </c>
      <c r="AO150" s="59">
        <f t="shared" si="144"/>
        <v>210.65603079265924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24.793114617154281</v>
      </c>
      <c r="AV150" s="21">
        <f>EXP(-LN(2)/25)*AV149+(1-EXP(-LN(2)/25))/(LN(2)/25)*Calculateur!AQ150*Calculateur!AS150*VLOOKUP('Données projet'!$B$10,Paramètres!$A$1:$I$89,3,0)*0.475*44/12</f>
        <v>4.3413459165049888</v>
      </c>
      <c r="AW150" s="21">
        <f>EXP(-LN(2)/2)*AW149+(1-EXP(-LN(2)/2))/(LN(2)/2)*AQ150*AT150*VLOOKUP('Données projet'!$B$10,Paramètres!$A$1:$I$89,3,0)*0.475*44/12</f>
        <v>4.8202244704637791E-12</v>
      </c>
      <c r="AX150" s="21">
        <f t="shared" si="114"/>
        <v>29.13446053366409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10.875</v>
      </c>
      <c r="BD150" s="12">
        <f>IF('Données projet'!$A$88&gt;35,BD149+BC150-BL149,IF(A150&lt;'Données projet'!$A$88,$BA$205^A150,IF(A150='Données projet'!$A$88,'Données projet'!$B$88,BD149+BC150-BL149)))</f>
        <v>640.50500000000045</v>
      </c>
      <c r="BE150" s="13">
        <f>BD150*VLOOKUP('Données projet'!$B$11,Paramètres!$A$1:$I$89,3,0)*VLOOKUP('Données projet'!$B$11,Paramètres!$A$1:$I$89,5,0)</f>
        <v>579.52892400000042</v>
      </c>
      <c r="BF150" s="13">
        <f t="shared" si="145"/>
        <v>127.35184395771817</v>
      </c>
      <c r="BG150" s="20">
        <f t="shared" si="115"/>
        <v>1231.1506708596933</v>
      </c>
      <c r="BH150" s="59">
        <f t="shared" si="116"/>
        <v>1524.4840041930265</v>
      </c>
      <c r="BI150" s="59">
        <f ca="1">AVERAGE(OFFSET($BH$3,0,0,'Données projet'!$E$11+1,1))-AVERAGE(OFFSET($H$3,0,0,'Données projet'!$E$11+1,1))</f>
        <v>507.69556381324213</v>
      </c>
      <c r="BJ150" s="59">
        <f t="shared" si="146"/>
        <v>129.52638237044044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61.842525073467399</v>
      </c>
      <c r="BQ150" s="21">
        <f>EXP(-LN(2)/25)*BQ149+(1-EXP(-LN(2)/25))/(LN(2)/25)*Calculateur!BL150*Calculateur!BN150*VLOOKUP('Données projet'!$B$11,Paramètres!$A$1:$I$89,3,0)*0.475*44/12</f>
        <v>23.749808961779593</v>
      </c>
      <c r="BR150" s="21">
        <f>EXP(-LN(2)/2)*BR149+(1-EXP(-LN(2)/2))/(LN(2)/2)*BL150*BO150*VLOOKUP('Données projet'!$B$11,Paramètres!$A$1:$I$89,3,0)*0.475*44/12</f>
        <v>1.6301071344570165E-8</v>
      </c>
      <c r="BS150" s="22">
        <f t="shared" si="117"/>
        <v>85.592334051548065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7.5191666666666634</v>
      </c>
      <c r="BY150" s="12">
        <f>IF('Données projet'!$A$114&gt;35,BY149+BX150-CG149,IF(A150&lt;'Données projet'!$A$114,$BV$205^A150,IF(A150='Données projet'!$A$114,'Données projet'!$B$114,BY149+BX150-CG149)))</f>
        <v>341.52749999999975</v>
      </c>
      <c r="BZ150" s="13">
        <f>BY150*VLOOKUP('Données projet'!$B$12,Paramètres!$A$1:$I$89,3,0)*VLOOKUP('Données projet'!$B$12,Paramètres!$A$1:$I$89,5,0)</f>
        <v>330.32539799999972</v>
      </c>
      <c r="CA150" s="13">
        <f t="shared" si="147"/>
        <v>77.497766609036603</v>
      </c>
      <c r="CB150" s="20">
        <f t="shared" si="118"/>
        <v>710.29201169407168</v>
      </c>
      <c r="CC150" s="59">
        <f t="shared" si="119"/>
        <v>1003.625345027405</v>
      </c>
      <c r="CD150" s="59">
        <f ca="1">AVERAGE(OFFSET($CC$3,0,0,'Données projet'!$E$12+1,1))-AVERAGE(OFFSET($H$3,0,0,'Données projet'!$E$12+1,1))</f>
        <v>292.52253679467469</v>
      </c>
      <c r="CE150" s="59">
        <f t="shared" si="148"/>
        <v>155.7114133976541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29.912149105533633</v>
      </c>
      <c r="CL150" s="21">
        <f>EXP(-LN(2)/25)*CL149+(1-EXP(-LN(2)/25))/(LN(2)/25)*Calculateur!CG150*Calculateur!CI150*VLOOKUP('Données projet'!$B$12,Paramètres!$A$1:$I$89,3,0)*0.475*44/12</f>
        <v>20.265113040452203</v>
      </c>
      <c r="CM150" s="21">
        <f>EXP(-LN(2)/2)*CM149+(1-EXP(-LN(2)/2))/(LN(2)/2)*CG150*CJ150*VLOOKUP('Données projet'!$B$12,Paramètres!$A$1:$I$89,3,0)*0.475*44/12</f>
        <v>1.9918277924127699</v>
      </c>
      <c r="CN150" s="22">
        <f t="shared" si="120"/>
        <v>52.169089938398606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-1.1368683772161603E-13</v>
      </c>
      <c r="CU150" s="17">
        <f>CT150*VLOOKUP('Données projet'!$B$13,Paramètres!$A$1:$I$89,3,0)*VLOOKUP('Données projet'!$B$13,Paramètres!$A$1:$I$89,5,0)</f>
        <v>-8.8675733422860506E-14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100.54865094989304</v>
      </c>
      <c r="CZ150" s="59">
        <f t="shared" si="150"/>
        <v>99.95654161405389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5.8811555856949775</v>
      </c>
      <c r="DG150" s="21">
        <f>EXP(-LN(2)/25)*DG149+(1-EXP(-LN(2)/25))/(LN(2)/25)*Calculateur!DB150*Calculateur!DD150*VLOOKUP('Données projet'!$B$13,Paramètres!$A$1:$I$89,3,0)*0.475*44/12</f>
        <v>3.1214993261054746</v>
      </c>
      <c r="DH150" s="21">
        <f>EXP(-LN(2)/2)*DH149+(1-EXP(-LN(2)/2))/(LN(2)/2)*DB150*DE150*VLOOKUP('Données projet'!$B$13,Paramètres!$A$1:$I$89,3,0)*0.475*44/12</f>
        <v>7.0842666403157141E-11</v>
      </c>
      <c r="DI150" s="22">
        <f t="shared" si="123"/>
        <v>9.0026549118712946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4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129.29279999999986</v>
      </c>
      <c r="D151" s="11">
        <f t="shared" si="140"/>
        <v>33.832894333299215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1259.2158860816069</v>
      </c>
      <c r="H151" s="67">
        <f t="shared" si="110"/>
        <v>577.44391763049589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3.4106051316484809E-13</v>
      </c>
      <c r="O151" s="13">
        <f>N151*VLOOKUP('Données projet'!$B$9,Paramètres!$A$1:$I$89,3,0)*VLOOKUP('Données projet'!$B$9,Paramètres!$A$1:$I$89,5,0)</f>
        <v>1.9065282685915009E-13</v>
      </c>
      <c r="P151" s="13">
        <f t="shared" si="141"/>
        <v>2.6568987209435707E-12</v>
      </c>
      <c r="Q151" s="20">
        <f t="shared" si="108"/>
        <v>4.959485612423072E-12</v>
      </c>
      <c r="R151" s="59">
        <f t="shared" si="109"/>
        <v>293.33333333333826</v>
      </c>
      <c r="S151" s="59">
        <f ca="1">AVERAGE(OFFSET($R$3,0,0,'Données projet'!$E$9+1,1))-AVERAGE(OFFSET($H$3,0,0,'Données projet'!$E$9+1,1))</f>
        <v>324.69474275039357</v>
      </c>
      <c r="T151" s="59">
        <f t="shared" si="142"/>
        <v>437.68177084535927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38.349326141929829</v>
      </c>
      <c r="AA151" s="21">
        <f>EXP(-LN(2)/25)*AA150+(1-EXP(-LN(2)/25))/(LN(2)/25)*Calculateur!V151*Calculateur!X151*VLOOKUP('Données projet'!$B$9,Paramètres!$A$1:$I$89,3,0)*0.475*44/12</f>
        <v>6.2740770171339344</v>
      </c>
      <c r="AB151" s="21">
        <f>EXP(-LN(2)/2)*AB150+(1-EXP(-LN(2)/2))/(LN(2)/2)*V151*Y151*VLOOKUP('Données projet'!$B$9,Paramètres!$A$1:$I$89,3,0)*0.475*44/12</f>
        <v>6.5020425105939241E-13</v>
      </c>
      <c r="AC151" s="22">
        <f t="shared" si="111"/>
        <v>44.623403159064416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1.1368683772161603E-13</v>
      </c>
      <c r="AJ151" s="13">
        <f>AI151*VLOOKUP('Données projet'!$B$10,Paramètres!$A$1:$I$89,3,0)*VLOOKUP('Données projet'!$B$10,Paramètres!$A$1:$I$89,5,0)</f>
        <v>6.7984728957526396E-14</v>
      </c>
      <c r="AK151" s="13">
        <f t="shared" si="143"/>
        <v>1.0682447123141398E-12</v>
      </c>
      <c r="AL151" s="20">
        <f t="shared" si="112"/>
        <v>1.978932943548152E-12</v>
      </c>
      <c r="AM151" s="59">
        <f t="shared" si="113"/>
        <v>293.3333333333353</v>
      </c>
      <c r="AN151" s="59">
        <f ca="1">AVERAGE(OFFSET($AM$3,0,0,'Données projet'!$E$10+1,1))-AVERAGE(OFFSET($H$3,0,0,'Données projet'!$E$10+1,1))</f>
        <v>214.93913810439858</v>
      </c>
      <c r="AO151" s="59">
        <f t="shared" si="144"/>
        <v>210.65603079265924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24.306936761818598</v>
      </c>
      <c r="AV151" s="21">
        <f>EXP(-LN(2)/25)*AV150+(1-EXP(-LN(2)/25))/(LN(2)/25)*Calculateur!AQ151*Calculateur!AS151*VLOOKUP('Données projet'!$B$10,Paramètres!$A$1:$I$89,3,0)*0.475*44/12</f>
        <v>4.2226315841167006</v>
      </c>
      <c r="AW151" s="21">
        <f>EXP(-LN(2)/2)*AW150+(1-EXP(-LN(2)/2))/(LN(2)/2)*AQ151*AT151*VLOOKUP('Données projet'!$B$10,Paramètres!$A$1:$I$89,3,0)*0.475*44/12</f>
        <v>3.4084134099062734E-12</v>
      </c>
      <c r="AX151" s="21">
        <f t="shared" si="114"/>
        <v>28.529568345938706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10.875</v>
      </c>
      <c r="BD151" s="12">
        <f>IF('Données projet'!$A$88&gt;35,BD150+BC151-BL150,IF(A151&lt;'Données projet'!$A$88,$BA$205^A151,IF(A151='Données projet'!$A$88,'Données projet'!$B$88,BD150+BC151-BL150)))</f>
        <v>651.38000000000045</v>
      </c>
      <c r="BE151" s="13">
        <f>BD151*VLOOKUP('Données projet'!$B$11,Paramètres!$A$1:$I$89,3,0)*VLOOKUP('Données projet'!$B$11,Paramètres!$A$1:$I$89,5,0)</f>
        <v>589.36862400000041</v>
      </c>
      <c r="BF151" s="13">
        <f t="shared" si="145"/>
        <v>129.26055861773426</v>
      </c>
      <c r="BG151" s="20">
        <f t="shared" si="115"/>
        <v>1251.6124930592212</v>
      </c>
      <c r="BH151" s="59">
        <f t="shared" si="116"/>
        <v>1544.9458263925544</v>
      </c>
      <c r="BI151" s="59">
        <f ca="1">AVERAGE(OFFSET($BH$3,0,0,'Données projet'!$E$11+1,1))-AVERAGE(OFFSET($H$3,0,0,'Données projet'!$E$11+1,1))</f>
        <v>507.69556381324213</v>
      </c>
      <c r="BJ151" s="59">
        <f t="shared" si="146"/>
        <v>129.52638237044044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60.629830876992436</v>
      </c>
      <c r="BQ151" s="21">
        <f>EXP(-LN(2)/25)*BQ150+(1-EXP(-LN(2)/25))/(LN(2)/25)*Calculateur!BL151*Calculateur!BN151*VLOOKUP('Données projet'!$B$11,Paramètres!$A$1:$I$89,3,0)*0.475*44/12</f>
        <v>23.100369186771559</v>
      </c>
      <c r="BR151" s="21">
        <f>EXP(-LN(2)/2)*BR150+(1-EXP(-LN(2)/2))/(LN(2)/2)*BL151*BO151*VLOOKUP('Données projet'!$B$11,Paramètres!$A$1:$I$89,3,0)*0.475*44/12</f>
        <v>1.1526598088351276E-8</v>
      </c>
      <c r="BS151" s="22">
        <f t="shared" si="117"/>
        <v>83.730200075290583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7.5191666666666634</v>
      </c>
      <c r="BY151" s="12">
        <f>IF('Données projet'!$A$114&gt;35,BY150+BX151-CG150,IF(A151&lt;'Données projet'!$A$114,$BV$205^A151,IF(A151='Données projet'!$A$114,'Données projet'!$B$114,BY150+BX151-CG150)))</f>
        <v>349.0466666666664</v>
      </c>
      <c r="BZ151" s="13">
        <f>BY151*VLOOKUP('Données projet'!$B$12,Paramètres!$A$1:$I$89,3,0)*VLOOKUP('Données projet'!$B$12,Paramètres!$A$1:$I$89,5,0)</f>
        <v>337.59793599999972</v>
      </c>
      <c r="CA151" s="13">
        <f t="shared" si="147"/>
        <v>79.003460193077288</v>
      </c>
      <c r="CB151" s="20">
        <f t="shared" si="118"/>
        <v>725.58076503627569</v>
      </c>
      <c r="CC151" s="59">
        <f t="shared" si="119"/>
        <v>1018.9140983696091</v>
      </c>
      <c r="CD151" s="59">
        <f ca="1">AVERAGE(OFFSET($CC$3,0,0,'Données projet'!$E$12+1,1))-AVERAGE(OFFSET($H$3,0,0,'Données projet'!$E$12+1,1))</f>
        <v>292.52253679467469</v>
      </c>
      <c r="CE151" s="59">
        <f t="shared" si="148"/>
        <v>155.7114133976541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29.325590106183569</v>
      </c>
      <c r="CL151" s="21">
        <f>EXP(-LN(2)/25)*CL150+(1-EXP(-LN(2)/25))/(LN(2)/25)*Calculateur!CG151*Calculateur!CI151*VLOOKUP('Données projet'!$B$12,Paramètres!$A$1:$I$89,3,0)*0.475*44/12</f>
        <v>19.710962458665058</v>
      </c>
      <c r="CM151" s="21">
        <f>EXP(-LN(2)/2)*CM150+(1-EXP(-LN(2)/2))/(LN(2)/2)*CG151*CJ151*VLOOKUP('Données projet'!$B$12,Paramètres!$A$1:$I$89,3,0)*0.475*44/12</f>
        <v>1.4084349389709006</v>
      </c>
      <c r="CN151" s="22">
        <f t="shared" si="120"/>
        <v>50.444987503819526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-1.1368683772161603E-13</v>
      </c>
      <c r="CU151" s="17">
        <f>CT151*VLOOKUP('Données projet'!$B$13,Paramètres!$A$1:$I$89,3,0)*VLOOKUP('Données projet'!$B$13,Paramètres!$A$1:$I$89,5,0)</f>
        <v>-8.8675733422860506E-14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100.54865094989304</v>
      </c>
      <c r="CZ151" s="59">
        <f t="shared" si="150"/>
        <v>99.95654161405389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5.7658297118102046</v>
      </c>
      <c r="DG151" s="21">
        <f>EXP(-LN(2)/25)*DG150+(1-EXP(-LN(2)/25))/(LN(2)/25)*Calculateur!DB151*Calculateur!DD151*VLOOKUP('Données projet'!$B$13,Paramètres!$A$1:$I$89,3,0)*0.475*44/12</f>
        <v>3.0361417628806051</v>
      </c>
      <c r="DH151" s="21">
        <f>EXP(-LN(2)/2)*DH150+(1-EXP(-LN(2)/2))/(LN(2)/2)*DB151*DE151*VLOOKUP('Données projet'!$B$13,Paramètres!$A$1:$I$89,3,0)*0.475*44/12</f>
        <v>5.0093329811008819E-11</v>
      </c>
      <c r="DI151" s="22">
        <f t="shared" si="123"/>
        <v>8.8019714747409026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4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130.16639999999987</v>
      </c>
      <c r="D152" s="11">
        <f t="shared" si="140"/>
        <v>34.034806623706274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1267.5180862180825</v>
      </c>
      <c r="H152" s="67">
        <f t="shared" si="110"/>
        <v>579.31710153628819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3.4106051316484809E-13</v>
      </c>
      <c r="O152" s="13">
        <f>N152*VLOOKUP('Données projet'!$B$9,Paramètres!$A$1:$I$89,3,0)*VLOOKUP('Données projet'!$B$9,Paramètres!$A$1:$I$89,5,0)</f>
        <v>1.9065282685915009E-13</v>
      </c>
      <c r="P152" s="13">
        <f t="shared" si="141"/>
        <v>2.6568987209435707E-12</v>
      </c>
      <c r="Q152" s="20">
        <f t="shared" si="108"/>
        <v>4.959485612423072E-12</v>
      </c>
      <c r="R152" s="59">
        <f t="shared" si="109"/>
        <v>293.33333333333826</v>
      </c>
      <c r="S152" s="59">
        <f ca="1">AVERAGE(OFFSET($R$3,0,0,'Données projet'!$E$9+1,1))-AVERAGE(OFFSET($H$3,0,0,'Données projet'!$E$9+1,1))</f>
        <v>324.69474275039357</v>
      </c>
      <c r="T152" s="59">
        <f t="shared" si="142"/>
        <v>437.68177084535927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37.597319247065883</v>
      </c>
      <c r="AA152" s="21">
        <f>EXP(-LN(2)/25)*AA151+(1-EXP(-LN(2)/25))/(LN(2)/25)*Calculateur!V152*Calculateur!X152*VLOOKUP('Données projet'!$B$9,Paramètres!$A$1:$I$89,3,0)*0.475*44/12</f>
        <v>6.1025120511610362</v>
      </c>
      <c r="AB152" s="21">
        <f>EXP(-LN(2)/2)*AB151+(1-EXP(-LN(2)/2))/(LN(2)/2)*V152*Y152*VLOOKUP('Données projet'!$B$9,Paramètres!$A$1:$I$89,3,0)*0.475*44/12</f>
        <v>4.5976383508041678E-13</v>
      </c>
      <c r="AC152" s="22">
        <f t="shared" si="111"/>
        <v>43.69983129822738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1.1368683772161603E-13</v>
      </c>
      <c r="AJ152" s="13">
        <f>AI152*VLOOKUP('Données projet'!$B$10,Paramètres!$A$1:$I$89,3,0)*VLOOKUP('Données projet'!$B$10,Paramètres!$A$1:$I$89,5,0)</f>
        <v>6.7984728957526396E-14</v>
      </c>
      <c r="AK152" s="13">
        <f t="shared" si="143"/>
        <v>1.0682447123141398E-12</v>
      </c>
      <c r="AL152" s="20">
        <f t="shared" si="112"/>
        <v>1.978932943548152E-12</v>
      </c>
      <c r="AM152" s="59">
        <f t="shared" si="113"/>
        <v>293.3333333333353</v>
      </c>
      <c r="AN152" s="59">
        <f ca="1">AVERAGE(OFFSET($AM$3,0,0,'Données projet'!$E$10+1,1))-AVERAGE(OFFSET($H$3,0,0,'Données projet'!$E$10+1,1))</f>
        <v>214.93913810439858</v>
      </c>
      <c r="AO152" s="59">
        <f t="shared" si="144"/>
        <v>210.65603079265924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23.830292557686835</v>
      </c>
      <c r="AV152" s="21">
        <f>EXP(-LN(2)/25)*AV151+(1-EXP(-LN(2)/25))/(LN(2)/25)*Calculateur!AQ152*Calculateur!AS152*VLOOKUP('Données projet'!$B$10,Paramètres!$A$1:$I$89,3,0)*0.475*44/12</f>
        <v>4.1071635013904855</v>
      </c>
      <c r="AW152" s="21">
        <f>EXP(-LN(2)/2)*AW151+(1-EXP(-LN(2)/2))/(LN(2)/2)*AQ152*AT152*VLOOKUP('Données projet'!$B$10,Paramètres!$A$1:$I$89,3,0)*0.475*44/12</f>
        <v>2.4101122352318895E-12</v>
      </c>
      <c r="AX152" s="21">
        <f t="shared" si="114"/>
        <v>27.937456059079729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10.875</v>
      </c>
      <c r="BD152" s="12">
        <f>IF('Données projet'!$A$88&gt;35,BD151+BC152-BL151,IF(A152&lt;'Données projet'!$A$88,$BA$205^A152,IF(A152='Données projet'!$A$88,'Données projet'!$B$88,BD151+BC152-BL151)))</f>
        <v>662.25500000000045</v>
      </c>
      <c r="BE152" s="13">
        <f>BD152*VLOOKUP('Données projet'!$B$11,Paramètres!$A$1:$I$89,3,0)*VLOOKUP('Données projet'!$B$11,Paramètres!$A$1:$I$89,5,0)</f>
        <v>599.2083240000004</v>
      </c>
      <c r="BF152" s="13">
        <f t="shared" si="145"/>
        <v>131.16556742426994</v>
      </c>
      <c r="BG152" s="20">
        <f t="shared" si="115"/>
        <v>1272.0678608972707</v>
      </c>
      <c r="BH152" s="59">
        <f t="shared" si="116"/>
        <v>1565.401194230604</v>
      </c>
      <c r="BI152" s="59">
        <f ca="1">AVERAGE(OFFSET($BH$3,0,0,'Données projet'!$E$11+1,1))-AVERAGE(OFFSET($H$3,0,0,'Données projet'!$E$11+1,1))</f>
        <v>507.69556381324213</v>
      </c>
      <c r="BJ152" s="59">
        <f t="shared" si="146"/>
        <v>129.52638237044044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59.440916874039921</v>
      </c>
      <c r="BQ152" s="21">
        <f>EXP(-LN(2)/25)*BQ151+(1-EXP(-LN(2)/25))/(LN(2)/25)*Calculateur!BL152*Calculateur!BN152*VLOOKUP('Données projet'!$B$11,Paramètres!$A$1:$I$89,3,0)*0.475*44/12</f>
        <v>22.468688376563673</v>
      </c>
      <c r="BR152" s="21">
        <f>EXP(-LN(2)/2)*BR151+(1-EXP(-LN(2)/2))/(LN(2)/2)*BL152*BO152*VLOOKUP('Données projet'!$B$11,Paramètres!$A$1:$I$89,3,0)*0.475*44/12</f>
        <v>8.1505356722850825E-9</v>
      </c>
      <c r="BS152" s="22">
        <f t="shared" si="117"/>
        <v>81.909605258754127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7.5191666666666634</v>
      </c>
      <c r="BY152" s="12">
        <f>IF('Données projet'!$A$114&gt;35,BY151+BX152-CG151,IF(A152&lt;'Données projet'!$A$114,$BV$205^A152,IF(A152='Données projet'!$A$114,'Données projet'!$B$114,BY151+BX152-CG151)))</f>
        <v>356.56583333333305</v>
      </c>
      <c r="BZ152" s="13">
        <f>BY152*VLOOKUP('Données projet'!$B$12,Paramètres!$A$1:$I$89,3,0)*VLOOKUP('Données projet'!$B$12,Paramètres!$A$1:$I$89,5,0)</f>
        <v>344.87047399999972</v>
      </c>
      <c r="CA152" s="13">
        <f t="shared" si="147"/>
        <v>80.505382686910082</v>
      </c>
      <c r="CB152" s="20">
        <f t="shared" si="118"/>
        <v>740.86295039636786</v>
      </c>
      <c r="CC152" s="59">
        <f t="shared" si="119"/>
        <v>1034.1962837297012</v>
      </c>
      <c r="CD152" s="59">
        <f ca="1">AVERAGE(OFFSET($CC$3,0,0,'Données projet'!$E$12+1,1))-AVERAGE(OFFSET($H$3,0,0,'Données projet'!$E$12+1,1))</f>
        <v>292.52253679467469</v>
      </c>
      <c r="CE152" s="59">
        <f t="shared" si="148"/>
        <v>155.7114133976541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28.750533171045095</v>
      </c>
      <c r="CL152" s="21">
        <f>EXP(-LN(2)/25)*CL151+(1-EXP(-LN(2)/25))/(LN(2)/25)*Calculateur!CG152*Calculateur!CI152*VLOOKUP('Données projet'!$B$12,Paramètres!$A$1:$I$89,3,0)*0.475*44/12</f>
        <v>19.171965153678396</v>
      </c>
      <c r="CM152" s="21">
        <f>EXP(-LN(2)/2)*CM151+(1-EXP(-LN(2)/2))/(LN(2)/2)*CG152*CJ152*VLOOKUP('Données projet'!$B$12,Paramètres!$A$1:$I$89,3,0)*0.475*44/12</f>
        <v>0.99591389620638504</v>
      </c>
      <c r="CN152" s="22">
        <f t="shared" si="120"/>
        <v>48.918412220929874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-1.1368683772161603E-13</v>
      </c>
      <c r="CU152" s="17">
        <f>CT152*VLOOKUP('Données projet'!$B$13,Paramètres!$A$1:$I$89,3,0)*VLOOKUP('Données projet'!$B$13,Paramètres!$A$1:$I$89,5,0)</f>
        <v>-8.8675733422860506E-14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100.54865094989304</v>
      </c>
      <c r="CZ152" s="59">
        <f t="shared" si="150"/>
        <v>99.95654161405389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5.6527653079704745</v>
      </c>
      <c r="DG152" s="21">
        <f>EXP(-LN(2)/25)*DG151+(1-EXP(-LN(2)/25))/(LN(2)/25)*Calculateur!DB152*Calculateur!DD152*VLOOKUP('Données projet'!$B$13,Paramètres!$A$1:$I$89,3,0)*0.475*44/12</f>
        <v>2.9531183067108788</v>
      </c>
      <c r="DH152" s="21">
        <f>EXP(-LN(2)/2)*DH151+(1-EXP(-LN(2)/2))/(LN(2)/2)*DB152*DE152*VLOOKUP('Données projet'!$B$13,Paramètres!$A$1:$I$89,3,0)*0.475*44/12</f>
        <v>3.542133320157857E-11</v>
      </c>
      <c r="DI152" s="22">
        <f t="shared" si="123"/>
        <v>8.6058836147167739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4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131.03999999999988</v>
      </c>
      <c r="D153" s="11">
        <f t="shared" si="140"/>
        <v>34.236561238949889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1275.8190692129458</v>
      </c>
      <c r="H153" s="67">
        <f t="shared" si="110"/>
        <v>581.19001082450416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3.4106051316484809E-13</v>
      </c>
      <c r="O153" s="13">
        <f>N153*VLOOKUP('Données projet'!$B$9,Paramètres!$A$1:$I$89,3,0)*VLOOKUP('Données projet'!$B$9,Paramètres!$A$1:$I$89,5,0)</f>
        <v>1.9065282685915009E-13</v>
      </c>
      <c r="P153" s="13">
        <f t="shared" si="141"/>
        <v>2.6568987209435707E-12</v>
      </c>
      <c r="Q153" s="20">
        <f t="shared" si="108"/>
        <v>4.959485612423072E-12</v>
      </c>
      <c r="R153" s="59">
        <f t="shared" si="109"/>
        <v>293.33333333333826</v>
      </c>
      <c r="S153" s="59">
        <f ca="1">AVERAGE(OFFSET($R$3,0,0,'Données projet'!$E$9+1,1))-AVERAGE(OFFSET($H$3,0,0,'Données projet'!$E$9+1,1))</f>
        <v>324.69474275039357</v>
      </c>
      <c r="T153" s="59">
        <f t="shared" si="142"/>
        <v>437.68177084535927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36.860058748731305</v>
      </c>
      <c r="AA153" s="21">
        <f>EXP(-LN(2)/25)*AA152+(1-EXP(-LN(2)/25))/(LN(2)/25)*Calculateur!V153*Calculateur!X153*VLOOKUP('Données projet'!$B$9,Paramètres!$A$1:$I$89,3,0)*0.475*44/12</f>
        <v>5.9356385382048762</v>
      </c>
      <c r="AB153" s="21">
        <f>EXP(-LN(2)/2)*AB152+(1-EXP(-LN(2)/2))/(LN(2)/2)*V153*Y153*VLOOKUP('Données projet'!$B$9,Paramètres!$A$1:$I$89,3,0)*0.475*44/12</f>
        <v>3.2510212552969621E-13</v>
      </c>
      <c r="AC153" s="22">
        <f t="shared" si="111"/>
        <v>42.795697286936509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1.1368683772161603E-13</v>
      </c>
      <c r="AJ153" s="13">
        <f>AI153*VLOOKUP('Données projet'!$B$10,Paramètres!$A$1:$I$89,3,0)*VLOOKUP('Données projet'!$B$10,Paramètres!$A$1:$I$89,5,0)</f>
        <v>6.7984728957526396E-14</v>
      </c>
      <c r="AK153" s="13">
        <f t="shared" si="143"/>
        <v>1.0682447123141398E-12</v>
      </c>
      <c r="AL153" s="20">
        <f t="shared" si="112"/>
        <v>1.978932943548152E-12</v>
      </c>
      <c r="AM153" s="59">
        <f t="shared" si="113"/>
        <v>293.3333333333353</v>
      </c>
      <c r="AN153" s="59">
        <f ca="1">AVERAGE(OFFSET($AM$3,0,0,'Données projet'!$E$10+1,1))-AVERAGE(OFFSET($H$3,0,0,'Données projet'!$E$10+1,1))</f>
        <v>214.93913810439858</v>
      </c>
      <c r="AO153" s="59">
        <f t="shared" si="144"/>
        <v>210.65603079265924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23.362995055673842</v>
      </c>
      <c r="AV153" s="21">
        <f>EXP(-LN(2)/25)*AV152+(1-EXP(-LN(2)/25))/(LN(2)/25)*Calculateur!AQ153*Calculateur!AS153*VLOOKUP('Données projet'!$B$10,Paramètres!$A$1:$I$89,3,0)*0.475*44/12</f>
        <v>3.9948528994586212</v>
      </c>
      <c r="AW153" s="21">
        <f>EXP(-LN(2)/2)*AW152+(1-EXP(-LN(2)/2))/(LN(2)/2)*AQ153*AT153*VLOOKUP('Données projet'!$B$10,Paramètres!$A$1:$I$89,3,0)*0.475*44/12</f>
        <v>1.7042067049531367E-12</v>
      </c>
      <c r="AX153" s="21">
        <f t="shared" si="114"/>
        <v>27.357847955134169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>
        <f>VLOOKUP(A153,'Données projet'!$A$87:$I$107,2,0)</f>
        <v>673.13</v>
      </c>
      <c r="BB153" s="12">
        <f>VLOOKUP(A153,'Données projet'!$A$87:$I$107,9,0)</f>
        <v>10.875</v>
      </c>
      <c r="BC153" s="12">
        <f t="array" ref="BC153">INDEX(BB:BB,MIN(IF(ISNUMBER(BB153:BB349),ROW(BB153:BB349),"")))</f>
        <v>10.875</v>
      </c>
      <c r="BD153" s="12">
        <f>IF('Données projet'!$A$88&gt;35,BD152+BC153-BL152,IF(A153&lt;'Données projet'!$A$88,$BA$205^A153,IF(A153='Données projet'!$A$88,'Données projet'!$B$88,BD152+BC153-BL152)))</f>
        <v>673.13000000000045</v>
      </c>
      <c r="BE153" s="13">
        <f>BD153*VLOOKUP('Données projet'!$B$11,Paramètres!$A$1:$I$89,3,0)*VLOOKUP('Données projet'!$B$11,Paramètres!$A$1:$I$89,5,0)</f>
        <v>609.0480240000004</v>
      </c>
      <c r="BF153" s="13">
        <f t="shared" si="145"/>
        <v>133.06693825648006</v>
      </c>
      <c r="BG153" s="20">
        <f t="shared" si="115"/>
        <v>1292.5168925967034</v>
      </c>
      <c r="BH153" s="59">
        <f t="shared" si="116"/>
        <v>1585.8502259300367</v>
      </c>
      <c r="BI153" s="59">
        <f ca="1">AVERAGE(OFFSET($BH$3,0,0,'Données projet'!$E$11+1,1))-AVERAGE(OFFSET($H$3,0,0,'Données projet'!$E$11+1,1))</f>
        <v>507.69556381324213</v>
      </c>
      <c r="BJ153" s="59">
        <f t="shared" si="146"/>
        <v>129.52638237044044</v>
      </c>
      <c r="BK153" s="15">
        <f>IF(ISNA(VLOOKUP(A153,'Données projet'!$A$87:$I$107,3,0)),0,VLOOKUP(A153,'Données projet'!$A$87:$I$107,3,0))</f>
        <v>14</v>
      </c>
      <c r="BL153" s="15">
        <f>IF(ISNA(VLOOKUP(A153,'Données projet'!$A$87:$I$107,4,0)),0,VLOOKUP(A153,'Données projet'!$A$87:$I$107,4,0))</f>
        <v>259.52</v>
      </c>
      <c r="BM153" s="16">
        <f>IF(ISNA(VLOOKUP(A153,'Données projet'!$A$87:$I$107,5,0)),0%,VLOOKUP(A153,'Données projet'!$A$87:$I$107,5,0)*VLOOKUP('Données projet'!$B$11,Paramètres!$A$1:$I$89,7,0))</f>
        <v>0.19350000000000001</v>
      </c>
      <c r="BN153" s="16">
        <f>IF(ISNA(VLOOKUP(A153,'Données projet'!$A$87:$I$107,6,0)),0%,VLOOKUP(A153,'Données projet'!$A$87:$I$107,6,0)*VLOOKUP('Données projet'!$B$11,Paramètres!$A$1:$I$89,7,0))</f>
        <v>2.1500000000000002E-2</v>
      </c>
      <c r="BO153" s="16">
        <f>IF(ISNA(VLOOKUP(A153,'Données projet'!$A$87:$I$107,7,0)),0%,VLOOKUP(A153,'Données projet'!$A$87:$I$107,7,0))</f>
        <v>0.05</v>
      </c>
      <c r="BP153" s="21">
        <f>EXP(-LN(2)/35)*BP152+(1-EXP(-LN(2)/35))/(LN(2)/35)*BL153*BM153*VLOOKUP('Données projet'!$B$11,Paramètres!$A$1:$I$89,3,0)*0.475*44/12</f>
        <v>108.50396657021207</v>
      </c>
      <c r="BQ153" s="21">
        <f>EXP(-LN(2)/25)*BQ152+(1-EXP(-LN(2)/25))/(LN(2)/25)*Calculateur!BL153*Calculateur!BN153*VLOOKUP('Données projet'!$B$11,Paramètres!$A$1:$I$89,3,0)*0.475*44/12</f>
        <v>27.413267632188749</v>
      </c>
      <c r="BR153" s="21">
        <f>EXP(-LN(2)/2)*BR152+(1-EXP(-LN(2)/2))/(LN(2)/2)*BL153*BO153*VLOOKUP('Données projet'!$B$11,Paramètres!$A$1:$I$89,3,0)*0.475*44/12</f>
        <v>11.077652110461678</v>
      </c>
      <c r="BS153" s="22">
        <f t="shared" si="117"/>
        <v>146.99488631286252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7.5191666666666634</v>
      </c>
      <c r="BY153" s="12">
        <f>IF('Données projet'!$A$114&gt;35,BY152+BX153-CG152,IF(A153&lt;'Données projet'!$A$114,$BV$205^A153,IF(A153='Données projet'!$A$114,'Données projet'!$B$114,BY152+BX153-CG152)))</f>
        <v>364.0849999999997</v>
      </c>
      <c r="BZ153" s="13">
        <f>BY153*VLOOKUP('Données projet'!$B$12,Paramètres!$A$1:$I$89,3,0)*VLOOKUP('Données projet'!$B$12,Paramètres!$A$1:$I$89,5,0)</f>
        <v>352.14301199999971</v>
      </c>
      <c r="CA153" s="13">
        <f t="shared" si="147"/>
        <v>82.003622775261761</v>
      </c>
      <c r="CB153" s="20">
        <f t="shared" si="118"/>
        <v>756.13872223358032</v>
      </c>
      <c r="CC153" s="59">
        <f t="shared" si="119"/>
        <v>1049.4720555669137</v>
      </c>
      <c r="CD153" s="59">
        <f ca="1">AVERAGE(OFFSET($CC$3,0,0,'Données projet'!$E$12+1,1))-AVERAGE(OFFSET($H$3,0,0,'Données projet'!$E$12+1,1))</f>
        <v>292.52253679467469</v>
      </c>
      <c r="CE153" s="59">
        <f t="shared" si="148"/>
        <v>155.7114133976541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28.186752751654591</v>
      </c>
      <c r="CL153" s="21">
        <f>EXP(-LN(2)/25)*CL152+(1-EXP(-LN(2)/25))/(LN(2)/25)*Calculateur!CG153*Calculateur!CI153*VLOOKUP('Données projet'!$B$12,Paramètres!$A$1:$I$89,3,0)*0.475*44/12</f>
        <v>18.647706758341233</v>
      </c>
      <c r="CM153" s="21">
        <f>EXP(-LN(2)/2)*CM152+(1-EXP(-LN(2)/2))/(LN(2)/2)*CG153*CJ153*VLOOKUP('Données projet'!$B$12,Paramètres!$A$1:$I$89,3,0)*0.475*44/12</f>
        <v>0.70421746948545039</v>
      </c>
      <c r="CN153" s="22">
        <f t="shared" si="120"/>
        <v>47.538676979481274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-1.1368683772161603E-13</v>
      </c>
      <c r="CU153" s="17">
        <f>CT153*VLOOKUP('Données projet'!$B$13,Paramètres!$A$1:$I$89,3,0)*VLOOKUP('Données projet'!$B$13,Paramètres!$A$1:$I$89,5,0)</f>
        <v>-8.8675733422860506E-14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100.54865094989304</v>
      </c>
      <c r="CZ153" s="59">
        <f t="shared" si="150"/>
        <v>99.95654161405389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5.5419180281275651</v>
      </c>
      <c r="DG153" s="21">
        <f>EXP(-LN(2)/25)*DG152+(1-EXP(-LN(2)/25))/(LN(2)/25)*Calculateur!DB153*Calculateur!DD153*VLOOKUP('Données projet'!$B$13,Paramètres!$A$1:$I$89,3,0)*0.475*44/12</f>
        <v>2.8723651313161276</v>
      </c>
      <c r="DH153" s="21">
        <f>EXP(-LN(2)/2)*DH152+(1-EXP(-LN(2)/2))/(LN(2)/2)*DB153*DE153*VLOOKUP('Données projet'!$B$13,Paramètres!$A$1:$I$89,3,0)*0.475*44/12</f>
        <v>2.5046664905504409E-11</v>
      </c>
      <c r="DI153" s="22">
        <f t="shared" si="123"/>
        <v>8.4142831594687397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4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131.91359999999989</v>
      </c>
      <c r="D154" s="11">
        <f t="shared" si="140"/>
        <v>34.438159352115974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1284.1188441215961</v>
      </c>
      <c r="H154" s="67">
        <f t="shared" si="110"/>
        <v>583.06264753826849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3.4106051316484809E-13</v>
      </c>
      <c r="O154" s="13">
        <f>N154*VLOOKUP('Données projet'!$B$9,Paramètres!$A$1:$I$89,3,0)*VLOOKUP('Données projet'!$B$9,Paramètres!$A$1:$I$89,5,0)</f>
        <v>1.9065282685915009E-13</v>
      </c>
      <c r="P154" s="13">
        <f t="shared" si="141"/>
        <v>2.6568987209435707E-12</v>
      </c>
      <c r="Q154" s="20">
        <f t="shared" ref="Q154:Q203" si="162">(O154+P154)*0.475*44/12</f>
        <v>4.959485612423072E-12</v>
      </c>
      <c r="R154" s="59">
        <f t="shared" si="109"/>
        <v>293.33333333333826</v>
      </c>
      <c r="S154" s="59">
        <f ca="1">AVERAGE(OFFSET($R$3,0,0,'Données projet'!$E$9+1,1))-AVERAGE(OFFSET($H$3,0,0,'Données projet'!$E$9+1,1))</f>
        <v>324.69474275039357</v>
      </c>
      <c r="T154" s="59">
        <f t="shared" si="142"/>
        <v>437.68177084535927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36.137255479084565</v>
      </c>
      <c r="AA154" s="21">
        <f>EXP(-LN(2)/25)*AA153+(1-EXP(-LN(2)/25))/(LN(2)/25)*Calculateur!V154*Calculateur!X154*VLOOKUP('Données projet'!$B$9,Paramètres!$A$1:$I$89,3,0)*0.475*44/12</f>
        <v>5.7733281902359996</v>
      </c>
      <c r="AB154" s="21">
        <f>EXP(-LN(2)/2)*AB153+(1-EXP(-LN(2)/2))/(LN(2)/2)*V154*Y154*VLOOKUP('Données projet'!$B$9,Paramètres!$A$1:$I$89,3,0)*0.475*44/12</f>
        <v>2.2988191754020839E-13</v>
      </c>
      <c r="AC154" s="22">
        <f t="shared" ref="AC154:AC203" si="163">SUM(Z154:AB154)</f>
        <v>41.910583669320793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1.1368683772161603E-13</v>
      </c>
      <c r="AJ154" s="13">
        <f>AI154*VLOOKUP('Données projet'!$B$10,Paramètres!$A$1:$I$89,3,0)*VLOOKUP('Données projet'!$B$10,Paramètres!$A$1:$I$89,5,0)</f>
        <v>6.7984728957526396E-14</v>
      </c>
      <c r="AK154" s="13">
        <f t="shared" ref="AK154:AK203" si="164">EXP(-1.0587+0.8836*LN(AJ154)+0.284)</f>
        <v>1.0682447123141398E-12</v>
      </c>
      <c r="AL154" s="20">
        <f t="shared" ref="AL154:AL203" si="165">(AJ154+AK154)*0.475*44/12</f>
        <v>1.978932943548152E-12</v>
      </c>
      <c r="AM154" s="59">
        <f t="shared" si="113"/>
        <v>293.3333333333353</v>
      </c>
      <c r="AN154" s="59">
        <f ca="1">AVERAGE(OFFSET($AM$3,0,0,'Données projet'!$E$10+1,1))-AVERAGE(OFFSET($H$3,0,0,'Données projet'!$E$10+1,1))</f>
        <v>214.93913810439858</v>
      </c>
      <c r="AO154" s="59">
        <f t="shared" si="144"/>
        <v>210.65603079265924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22.904860972651989</v>
      </c>
      <c r="AV154" s="21">
        <f>EXP(-LN(2)/25)*AV153+(1-EXP(-LN(2)/25))/(LN(2)/25)*Calculateur!AQ154*Calculateur!AS154*VLOOKUP('Données projet'!$B$10,Paramètres!$A$1:$I$89,3,0)*0.475*44/12</f>
        <v>3.8856134368427417</v>
      </c>
      <c r="AW154" s="21">
        <f>EXP(-LN(2)/2)*AW153+(1-EXP(-LN(2)/2))/(LN(2)/2)*AQ154*AT154*VLOOKUP('Données projet'!$B$10,Paramètres!$A$1:$I$89,3,0)*0.475*44/12</f>
        <v>1.2050561176159448E-12</v>
      </c>
      <c r="AX154" s="21">
        <f t="shared" ref="AX154:AX203" si="166">SUM(AU154:AW154)</f>
        <v>26.790474409495936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7.1200000000000045</v>
      </c>
      <c r="BD154" s="12">
        <f>IF('Données projet'!$A$88&gt;35,BD153+BC154-BL153,IF(A154&lt;'Données projet'!$A$88,$BA$205^A154,IF(A154='Données projet'!$A$88,'Données projet'!$B$88,BD153+BC154-BL153)))</f>
        <v>420.73000000000047</v>
      </c>
      <c r="BE154" s="13">
        <f>BD154*VLOOKUP('Données projet'!$B$11,Paramètres!$A$1:$I$89,3,0)*VLOOKUP('Données projet'!$B$11,Paramètres!$A$1:$I$89,5,0)</f>
        <v>380.67650400000042</v>
      </c>
      <c r="BF154" s="13">
        <f t="shared" ref="BF154:BF203" si="167">EXP(-1.0587+0.8836*LN(BE154)+0.284)</f>
        <v>87.847905288115243</v>
      </c>
      <c r="BG154" s="20">
        <f t="shared" ref="BG154:BG203" si="168">(BE154+BF154)*0.475*44/12</f>
        <v>816.01334617680141</v>
      </c>
      <c r="BH154" s="59">
        <f t="shared" si="116"/>
        <v>1109.3466795101347</v>
      </c>
      <c r="BI154" s="59">
        <f ca="1">AVERAGE(OFFSET($BH$3,0,0,'Données projet'!$E$11+1,1))-AVERAGE(OFFSET($H$3,0,0,'Données projet'!$E$11+1,1))</f>
        <v>507.69556381324213</v>
      </c>
      <c r="BJ154" s="59">
        <f t="shared" si="146"/>
        <v>129.52638237044044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106.376269966655</v>
      </c>
      <c r="BQ154" s="21">
        <f>EXP(-LN(2)/25)*BQ153+(1-EXP(-LN(2)/25))/(LN(2)/25)*Calculateur!BL154*Calculateur!BN154*VLOOKUP('Données projet'!$B$11,Paramètres!$A$1:$I$89,3,0)*0.475*44/12</f>
        <v>26.663650387185456</v>
      </c>
      <c r="BR154" s="21">
        <f>EXP(-LN(2)/2)*BR153+(1-EXP(-LN(2)/2))/(LN(2)/2)*BL154*BO154*VLOOKUP('Données projet'!$B$11,Paramètres!$A$1:$I$89,3,0)*0.475*44/12</f>
        <v>7.8330829269329225</v>
      </c>
      <c r="BS154" s="22">
        <f t="shared" ref="BS154:BS203" si="169">SUM(BP154:BR154)</f>
        <v>140.87300328077336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7.5191666666666634</v>
      </c>
      <c r="BY154" s="12">
        <f>IF('Données projet'!$A$114&gt;35,BY153+BX154-CG153,IF(A154&lt;'Données projet'!$A$114,$BV$205^A154,IF(A154='Données projet'!$A$114,'Données projet'!$B$114,BY153+BX154-CG153)))</f>
        <v>371.60416666666634</v>
      </c>
      <c r="BZ154" s="13">
        <f>BY154*VLOOKUP('Données projet'!$B$12,Paramètres!$A$1:$I$89,3,0)*VLOOKUP('Données projet'!$B$12,Paramètres!$A$1:$I$89,5,0)</f>
        <v>359.41554999999971</v>
      </c>
      <c r="CA154" s="13">
        <f t="shared" ref="CA154:CA203" si="170">EXP(-1.0587+0.8836*LN(BZ154)+0.284)</f>
        <v>83.498265270422635</v>
      </c>
      <c r="CB154" s="20">
        <f t="shared" ref="CB154:CB203" si="171">(BZ154+CA154)*0.475*44/12</f>
        <v>771.40822826265219</v>
      </c>
      <c r="CC154" s="59">
        <f t="shared" si="119"/>
        <v>1064.7415615959856</v>
      </c>
      <c r="CD154" s="59">
        <f ca="1">AVERAGE(OFFSET($CC$3,0,0,'Données projet'!$E$12+1,1))-AVERAGE(OFFSET($H$3,0,0,'Données projet'!$E$12+1,1))</f>
        <v>292.52253679467469</v>
      </c>
      <c r="CE154" s="59">
        <f t="shared" si="148"/>
        <v>155.7114133976541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27.634027722416231</v>
      </c>
      <c r="CL154" s="21">
        <f>EXP(-LN(2)/25)*CL153+(1-EXP(-LN(2)/25))/(LN(2)/25)*Calculateur!CG154*Calculateur!CI154*VLOOKUP('Données projet'!$B$12,Paramètres!$A$1:$I$89,3,0)*0.475*44/12</f>
        <v>18.137784236394115</v>
      </c>
      <c r="CM154" s="21">
        <f>EXP(-LN(2)/2)*CM153+(1-EXP(-LN(2)/2))/(LN(2)/2)*CG154*CJ154*VLOOKUP('Données projet'!$B$12,Paramètres!$A$1:$I$89,3,0)*0.475*44/12</f>
        <v>0.49795694810319263</v>
      </c>
      <c r="CN154" s="22">
        <f t="shared" ref="CN154:CN203" si="172">SUM(CK154:CM154)</f>
        <v>46.269768906913541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-1.1368683772161603E-13</v>
      </c>
      <c r="CU154" s="17">
        <f>CT154*VLOOKUP('Données projet'!$B$13,Paramètres!$A$1:$I$89,3,0)*VLOOKUP('Données projet'!$B$13,Paramètres!$A$1:$I$89,5,0)</f>
        <v>-8.8675733422860506E-14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100.54865094989304</v>
      </c>
      <c r="CZ154" s="59">
        <f t="shared" si="150"/>
        <v>99.95654161405389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5.4332443958322099</v>
      </c>
      <c r="DG154" s="21">
        <f>EXP(-LN(2)/25)*DG153+(1-EXP(-LN(2)/25))/(LN(2)/25)*Calculateur!DB154*Calculateur!DD154*VLOOKUP('Données projet'!$B$13,Paramètres!$A$1:$I$89,3,0)*0.475*44/12</f>
        <v>2.7938201557491706</v>
      </c>
      <c r="DH154" s="21">
        <f>EXP(-LN(2)/2)*DH153+(1-EXP(-LN(2)/2))/(LN(2)/2)*DB154*DE154*VLOOKUP('Données projet'!$B$13,Paramètres!$A$1:$I$89,3,0)*0.475*44/12</f>
        <v>1.7710666600789285E-11</v>
      </c>
      <c r="DI154" s="22">
        <f t="shared" ref="DI154:DI203" si="175">SUM(DF154:DH154)</f>
        <v>8.2270645515990903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4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132.7871999999999</v>
      </c>
      <c r="D155" s="11">
        <f t="shared" si="140"/>
        <v>34.63960211985458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1292.4174198725609</v>
      </c>
      <c r="H155" s="67">
        <f t="shared" si="110"/>
        <v>584.93501369207979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3.4106051316484809E-13</v>
      </c>
      <c r="O155" s="13">
        <f>N155*VLOOKUP('Données projet'!$B$9,Paramètres!$A$1:$I$89,3,0)*VLOOKUP('Données projet'!$B$9,Paramètres!$A$1:$I$89,5,0)</f>
        <v>1.9065282685915009E-13</v>
      </c>
      <c r="P155" s="13">
        <f t="shared" si="141"/>
        <v>2.6568987209435707E-12</v>
      </c>
      <c r="Q155" s="20">
        <f t="shared" si="162"/>
        <v>4.959485612423072E-12</v>
      </c>
      <c r="R155" s="59">
        <f t="shared" si="109"/>
        <v>293.33333333333826</v>
      </c>
      <c r="S155" s="59">
        <f ca="1">AVERAGE(OFFSET($R$3,0,0,'Données projet'!$E$9+1,1))-AVERAGE(OFFSET($H$3,0,0,'Données projet'!$E$9+1,1))</f>
        <v>324.69474275039357</v>
      </c>
      <c r="T155" s="59">
        <f t="shared" si="142"/>
        <v>437.68177084535927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35.428625940689138</v>
      </c>
      <c r="AA155" s="21">
        <f>EXP(-LN(2)/25)*AA154+(1-EXP(-LN(2)/25))/(LN(2)/25)*Calculateur!V155*Calculateur!X155*VLOOKUP('Données projet'!$B$9,Paramètres!$A$1:$I$89,3,0)*0.475*44/12</f>
        <v>5.6154562272678614</v>
      </c>
      <c r="AB155" s="21">
        <f>EXP(-LN(2)/2)*AB154+(1-EXP(-LN(2)/2))/(LN(2)/2)*V155*Y155*VLOOKUP('Données projet'!$B$9,Paramètres!$A$1:$I$89,3,0)*0.475*44/12</f>
        <v>1.625510627648481E-13</v>
      </c>
      <c r="AC155" s="22">
        <f t="shared" si="163"/>
        <v>41.044082167957164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1.1368683772161603E-13</v>
      </c>
      <c r="AJ155" s="13">
        <f>AI155*VLOOKUP('Données projet'!$B$10,Paramètres!$A$1:$I$89,3,0)*VLOOKUP('Données projet'!$B$10,Paramètres!$A$1:$I$89,5,0)</f>
        <v>6.7984728957526396E-14</v>
      </c>
      <c r="AK155" s="13">
        <f t="shared" si="164"/>
        <v>1.0682447123141398E-12</v>
      </c>
      <c r="AL155" s="20">
        <f t="shared" si="165"/>
        <v>1.978932943548152E-12</v>
      </c>
      <c r="AM155" s="59">
        <f t="shared" si="113"/>
        <v>293.3333333333353</v>
      </c>
      <c r="AN155" s="59">
        <f ca="1">AVERAGE(OFFSET($AM$3,0,0,'Données projet'!$E$10+1,1))-AVERAGE(OFFSET($H$3,0,0,'Données projet'!$E$10+1,1))</f>
        <v>214.93913810439858</v>
      </c>
      <c r="AO155" s="59">
        <f t="shared" si="144"/>
        <v>210.65603079265924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22.455710619563995</v>
      </c>
      <c r="AV155" s="21">
        <f>EXP(-LN(2)/25)*AV154+(1-EXP(-LN(2)/25))/(LN(2)/25)*Calculateur!AQ155*Calculateur!AS155*VLOOKUP('Données projet'!$B$10,Paramètres!$A$1:$I$89,3,0)*0.475*44/12</f>
        <v>3.7793611330767471</v>
      </c>
      <c r="AW155" s="21">
        <f>EXP(-LN(2)/2)*AW154+(1-EXP(-LN(2)/2))/(LN(2)/2)*AQ155*AT155*VLOOKUP('Données projet'!$B$10,Paramètres!$A$1:$I$89,3,0)*0.475*44/12</f>
        <v>8.5210335247656834E-13</v>
      </c>
      <c r="AX155" s="21">
        <f t="shared" si="166"/>
        <v>26.235071752641595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7.1200000000000045</v>
      </c>
      <c r="BD155" s="12">
        <f>IF('Données projet'!$A$88&gt;35,BD154+BC155-BL154,IF(A155&lt;'Données projet'!$A$88,$BA$205^A155,IF(A155='Données projet'!$A$88,'Données projet'!$B$88,BD154+BC155-BL154)))</f>
        <v>427.85000000000048</v>
      </c>
      <c r="BE155" s="13">
        <f>BD155*VLOOKUP('Données projet'!$B$11,Paramètres!$A$1:$I$89,3,0)*VLOOKUP('Données projet'!$B$11,Paramètres!$A$1:$I$89,5,0)</f>
        <v>387.11868000000038</v>
      </c>
      <c r="BF155" s="13">
        <f t="shared" si="167"/>
        <v>89.160221060882904</v>
      </c>
      <c r="BG155" s="20">
        <f t="shared" si="168"/>
        <v>829.51908601437174</v>
      </c>
      <c r="BH155" s="59">
        <f t="shared" si="116"/>
        <v>1122.8524193477051</v>
      </c>
      <c r="BI155" s="59">
        <f ca="1">AVERAGE(OFFSET($BH$3,0,0,'Données projet'!$E$11+1,1))-AVERAGE(OFFSET($H$3,0,0,'Données projet'!$E$11+1,1))</f>
        <v>507.69556381324213</v>
      </c>
      <c r="BJ155" s="59">
        <f t="shared" si="146"/>
        <v>129.52638237044044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104.2902961957269</v>
      </c>
      <c r="BQ155" s="21">
        <f>EXP(-LN(2)/25)*BQ154+(1-EXP(-LN(2)/25))/(LN(2)/25)*Calculateur!BL155*Calculateur!BN155*VLOOKUP('Données projet'!$B$11,Paramètres!$A$1:$I$89,3,0)*0.475*44/12</f>
        <v>25.934531465167435</v>
      </c>
      <c r="BR155" s="21">
        <f>EXP(-LN(2)/2)*BR154+(1-EXP(-LN(2)/2))/(LN(2)/2)*BL155*BO155*VLOOKUP('Données projet'!$B$11,Paramètres!$A$1:$I$89,3,0)*0.475*44/12</f>
        <v>5.5388260552308397</v>
      </c>
      <c r="BS155" s="22">
        <f t="shared" si="169"/>
        <v>135.76365371612516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7.5191666666666634</v>
      </c>
      <c r="BY155" s="12">
        <f>IF('Données projet'!$A$114&gt;35,BY154+BX155-CG154,IF(A155&lt;'Données projet'!$A$114,$BV$205^A155,IF(A155='Données projet'!$A$114,'Données projet'!$B$114,BY154+BX155-CG154)))</f>
        <v>379.12333333333299</v>
      </c>
      <c r="BZ155" s="13">
        <f>BY155*VLOOKUP('Données projet'!$B$12,Paramètres!$A$1:$I$89,3,0)*VLOOKUP('Données projet'!$B$12,Paramètres!$A$1:$I$89,5,0)</f>
        <v>366.68808799999971</v>
      </c>
      <c r="CA155" s="13">
        <f t="shared" si="170"/>
        <v>84.989391356215521</v>
      </c>
      <c r="CB155" s="20">
        <f t="shared" si="171"/>
        <v>786.67160987874149</v>
      </c>
      <c r="CC155" s="59">
        <f t="shared" si="119"/>
        <v>1080.0049432120747</v>
      </c>
      <c r="CD155" s="59">
        <f ca="1">AVERAGE(OFFSET($CC$3,0,0,'Données projet'!$E$12+1,1))-AVERAGE(OFFSET($H$3,0,0,'Données projet'!$E$12+1,1))</f>
        <v>292.52253679467469</v>
      </c>
      <c r="CE155" s="59">
        <f t="shared" si="148"/>
        <v>155.7114133976541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27.092141293872256</v>
      </c>
      <c r="CL155" s="21">
        <f>EXP(-LN(2)/25)*CL154+(1-EXP(-LN(2)/25))/(LN(2)/25)*Calculateur!CG155*Calculateur!CI155*VLOOKUP('Données projet'!$B$12,Paramètres!$A$1:$I$89,3,0)*0.475*44/12</f>
        <v>17.641805572625298</v>
      </c>
      <c r="CM155" s="21">
        <f>EXP(-LN(2)/2)*CM154+(1-EXP(-LN(2)/2))/(LN(2)/2)*CG155*CJ155*VLOOKUP('Données projet'!$B$12,Paramètres!$A$1:$I$89,3,0)*0.475*44/12</f>
        <v>0.35210873474272525</v>
      </c>
      <c r="CN155" s="22">
        <f t="shared" si="172"/>
        <v>45.086055601240282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-1.1368683772161603E-13</v>
      </c>
      <c r="CU155" s="17">
        <f>CT155*VLOOKUP('Données projet'!$B$13,Paramètres!$A$1:$I$89,3,0)*VLOOKUP('Données projet'!$B$13,Paramètres!$A$1:$I$89,5,0)</f>
        <v>-8.8675733422860506E-14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100.54865094989304</v>
      </c>
      <c r="CZ155" s="59">
        <f t="shared" si="150"/>
        <v>99.95654161405389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5.3267017871817961</v>
      </c>
      <c r="DG155" s="21">
        <f>EXP(-LN(2)/25)*DG154+(1-EXP(-LN(2)/25))/(LN(2)/25)*Calculateur!DB155*Calculateur!DD155*VLOOKUP('Données projet'!$B$13,Paramètres!$A$1:$I$89,3,0)*0.475*44/12</f>
        <v>2.7174229966695931</v>
      </c>
      <c r="DH155" s="21">
        <f>EXP(-LN(2)/2)*DH154+(1-EXP(-LN(2)/2))/(LN(2)/2)*DB155*DE155*VLOOKUP('Données projet'!$B$13,Paramètres!$A$1:$I$89,3,0)*0.475*44/12</f>
        <v>1.2523332452752205E-11</v>
      </c>
      <c r="DI155" s="22">
        <f t="shared" si="175"/>
        <v>8.0441247838639125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4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133.66079999999991</v>
      </c>
      <c r="D156" s="11">
        <f t="shared" si="140"/>
        <v>34.840890682716719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1300.7148052700934</v>
      </c>
      <c r="H156" s="67">
        <f t="shared" si="110"/>
        <v>586.80711127239806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3.4106051316484809E-13</v>
      </c>
      <c r="O156" s="13">
        <f>N156*VLOOKUP('Données projet'!$B$9,Paramètres!$A$1:$I$89,3,0)*VLOOKUP('Données projet'!$B$9,Paramètres!$A$1:$I$89,5,0)</f>
        <v>1.9065282685915009E-13</v>
      </c>
      <c r="P156" s="13">
        <f t="shared" si="141"/>
        <v>2.6568987209435707E-12</v>
      </c>
      <c r="Q156" s="20">
        <f t="shared" si="162"/>
        <v>4.959485612423072E-12</v>
      </c>
      <c r="R156" s="59">
        <f t="shared" si="109"/>
        <v>293.33333333333826</v>
      </c>
      <c r="S156" s="59">
        <f ca="1">AVERAGE(OFFSET($R$3,0,0,'Données projet'!$E$9+1,1))-AVERAGE(OFFSET($H$3,0,0,'Données projet'!$E$9+1,1))</f>
        <v>324.69474275039357</v>
      </c>
      <c r="T156" s="59">
        <f t="shared" si="142"/>
        <v>437.68177084535927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34.733892195320301</v>
      </c>
      <c r="AA156" s="21">
        <f>EXP(-LN(2)/25)*AA155+(1-EXP(-LN(2)/25))/(LN(2)/25)*Calculateur!V156*Calculateur!X156*VLOOKUP('Données projet'!$B$9,Paramètres!$A$1:$I$89,3,0)*0.475*44/12</f>
        <v>5.4619012814292134</v>
      </c>
      <c r="AB156" s="21">
        <f>EXP(-LN(2)/2)*AB155+(1-EXP(-LN(2)/2))/(LN(2)/2)*V156*Y156*VLOOKUP('Données projet'!$B$9,Paramètres!$A$1:$I$89,3,0)*0.475*44/12</f>
        <v>1.149409587701042E-13</v>
      </c>
      <c r="AC156" s="22">
        <f t="shared" si="163"/>
        <v>40.195793476749628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1.1368683772161603E-13</v>
      </c>
      <c r="AJ156" s="13">
        <f>AI156*VLOOKUP('Données projet'!$B$10,Paramètres!$A$1:$I$89,3,0)*VLOOKUP('Données projet'!$B$10,Paramètres!$A$1:$I$89,5,0)</f>
        <v>6.7984728957526396E-14</v>
      </c>
      <c r="AK156" s="13">
        <f t="shared" si="164"/>
        <v>1.0682447123141398E-12</v>
      </c>
      <c r="AL156" s="20">
        <f t="shared" si="165"/>
        <v>1.978932943548152E-12</v>
      </c>
      <c r="AM156" s="59">
        <f t="shared" si="113"/>
        <v>293.3333333333353</v>
      </c>
      <c r="AN156" s="59">
        <f ca="1">AVERAGE(OFFSET($AM$3,0,0,'Données projet'!$E$10+1,1))-AVERAGE(OFFSET($H$3,0,0,'Données projet'!$E$10+1,1))</f>
        <v>214.93913810439858</v>
      </c>
      <c r="AO156" s="59">
        <f t="shared" si="144"/>
        <v>210.65603079265924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22.015367830945394</v>
      </c>
      <c r="AV156" s="21">
        <f>EXP(-LN(2)/25)*AV155+(1-EXP(-LN(2)/25))/(LN(2)/25)*Calculateur!AQ156*Calculateur!AS156*VLOOKUP('Données projet'!$B$10,Paramètres!$A$1:$I$89,3,0)*0.475*44/12</f>
        <v>3.6760143041447995</v>
      </c>
      <c r="AW156" s="21">
        <f>EXP(-LN(2)/2)*AW155+(1-EXP(-LN(2)/2))/(LN(2)/2)*AQ156*AT156*VLOOKUP('Données projet'!$B$10,Paramètres!$A$1:$I$89,3,0)*0.475*44/12</f>
        <v>6.0252805880797238E-13</v>
      </c>
      <c r="AX156" s="21">
        <f t="shared" si="166"/>
        <v>25.691382135090798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>
        <f>VLOOKUP(A156,'Données projet'!$A$87:$I$107,2,0)</f>
        <v>434.97</v>
      </c>
      <c r="BB156" s="12">
        <f>VLOOKUP(A156,'Données projet'!$A$87:$I$107,9,0)</f>
        <v>7.1200000000000045</v>
      </c>
      <c r="BC156" s="12">
        <f t="array" ref="BC156">INDEX(BB:BB,MIN(IF(ISNUMBER(BB156:BB352),ROW(BB156:BB352),"")))</f>
        <v>7.1200000000000045</v>
      </c>
      <c r="BD156" s="12">
        <f>IF('Données projet'!$A$88&gt;35,BD155+BC156-BL155,IF(A156&lt;'Données projet'!$A$88,$BA$205^A156,IF(A156='Données projet'!$A$88,'Données projet'!$B$88,BD155+BC156-BL155)))</f>
        <v>434.97000000000048</v>
      </c>
      <c r="BE156" s="13">
        <f>BD156*VLOOKUP('Données projet'!$B$11,Paramètres!$A$1:$I$89,3,0)*VLOOKUP('Données projet'!$B$11,Paramètres!$A$1:$I$89,5,0)</f>
        <v>393.5608560000004</v>
      </c>
      <c r="BF156" s="13">
        <f t="shared" si="167"/>
        <v>90.469997145330012</v>
      </c>
      <c r="BG156" s="20">
        <f t="shared" si="168"/>
        <v>843.0204025614504</v>
      </c>
      <c r="BH156" s="59">
        <f t="shared" si="116"/>
        <v>1136.3537358947838</v>
      </c>
      <c r="BI156" s="59">
        <f ca="1">AVERAGE(OFFSET($BH$3,0,0,'Données projet'!$E$11+1,1))-AVERAGE(OFFSET($H$3,0,0,'Données projet'!$E$11+1,1))</f>
        <v>507.69556381324213</v>
      </c>
      <c r="BJ156" s="59">
        <f t="shared" si="146"/>
        <v>129.52638237044044</v>
      </c>
      <c r="BK156" s="15">
        <f>IF(ISNA(VLOOKUP(A156,'Données projet'!$A$87:$I$107,3,0)),0,VLOOKUP(A156,'Données projet'!$A$87:$I$107,3,0))</f>
        <v>15</v>
      </c>
      <c r="BL156" s="15">
        <f>IF(ISNA(VLOOKUP(A156,'Données projet'!$A$87:$I$107,4,0)),0,VLOOKUP(A156,'Données projet'!$A$87:$I$107,4,0))</f>
        <v>156.29000000000002</v>
      </c>
      <c r="BM156" s="16">
        <f>IF(ISNA(VLOOKUP(A156,'Données projet'!$A$87:$I$107,5,0)),0%,VLOOKUP(A156,'Données projet'!$A$87:$I$107,5,0)*VLOOKUP('Données projet'!$B$11,Paramètres!$A$1:$I$89,7,0))</f>
        <v>0.19350000000000001</v>
      </c>
      <c r="BN156" s="16">
        <f>IF(ISNA(VLOOKUP(A156,'Données projet'!$A$87:$I$107,6,0)),0%,VLOOKUP(A156,'Données projet'!$A$87:$I$107,6,0)*VLOOKUP('Données projet'!$B$11,Paramètres!$A$1:$I$89,7,0))</f>
        <v>2.1500000000000002E-2</v>
      </c>
      <c r="BO156" s="16">
        <f>IF(ISNA(VLOOKUP(A156,'Données projet'!$A$87:$I$107,7,0)),0%,VLOOKUP(A156,'Données projet'!$A$87:$I$107,7,0))</f>
        <v>0.05</v>
      </c>
      <c r="BP156" s="21">
        <f>EXP(-LN(2)/35)*BP155+(1-EXP(-LN(2)/35))/(LN(2)/35)*BL156*BM156*VLOOKUP('Données projet'!$B$11,Paramètres!$A$1:$I$89,3,0)*0.475*44/12</f>
        <v>132.49428566962979</v>
      </c>
      <c r="BQ156" s="21">
        <f>EXP(-LN(2)/25)*BQ155+(1-EXP(-LN(2)/25))/(LN(2)/25)*Calculateur!BL156*Calculateur!BN156*VLOOKUP('Données projet'!$B$11,Paramètres!$A$1:$I$89,3,0)*0.475*44/12</f>
        <v>28.573123283093647</v>
      </c>
      <c r="BR156" s="21">
        <f>EXP(-LN(2)/2)*BR155+(1-EXP(-LN(2)/2))/(LN(2)/2)*BL156*BO156*VLOOKUP('Données projet'!$B$11,Paramètres!$A$1:$I$89,3,0)*0.475*44/12</f>
        <v>10.58780474738797</v>
      </c>
      <c r="BS156" s="22">
        <f t="shared" si="169"/>
        <v>171.6552137001114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7.5191666666666634</v>
      </c>
      <c r="BY156" s="12">
        <f>IF('Données projet'!$A$114&gt;35,BY155+BX156-CG155,IF(A156&lt;'Données projet'!$A$114,$BV$205^A156,IF(A156='Données projet'!$A$114,'Données projet'!$B$114,BY155+BX156-CG155)))</f>
        <v>386.64249999999964</v>
      </c>
      <c r="BZ156" s="13">
        <f>BY156*VLOOKUP('Données projet'!$B$12,Paramètres!$A$1:$I$89,3,0)*VLOOKUP('Données projet'!$B$12,Paramètres!$A$1:$I$89,5,0)</f>
        <v>373.96062599999971</v>
      </c>
      <c r="CA156" s="13">
        <f t="shared" si="170"/>
        <v>86.477078812062814</v>
      </c>
      <c r="CB156" s="20">
        <f t="shared" si="171"/>
        <v>801.92900254767562</v>
      </c>
      <c r="CC156" s="59">
        <f t="shared" si="119"/>
        <v>1095.262335881009</v>
      </c>
      <c r="CD156" s="59">
        <f ca="1">AVERAGE(OFFSET($CC$3,0,0,'Données projet'!$E$12+1,1))-AVERAGE(OFFSET($H$3,0,0,'Données projet'!$E$12+1,1))</f>
        <v>292.52253679467469</v>
      </c>
      <c r="CE156" s="59">
        <f t="shared" si="148"/>
        <v>155.7114133976541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26.560880927673946</v>
      </c>
      <c r="CL156" s="21">
        <f>EXP(-LN(2)/25)*CL155+(1-EXP(-LN(2)/25))/(LN(2)/25)*Calculateur!CG156*Calculateur!CI156*VLOOKUP('Données projet'!$B$12,Paramètres!$A$1:$I$89,3,0)*0.475*44/12</f>
        <v>17.159389471499626</v>
      </c>
      <c r="CM156" s="21">
        <f>EXP(-LN(2)/2)*CM155+(1-EXP(-LN(2)/2))/(LN(2)/2)*CG156*CJ156*VLOOKUP('Données projet'!$B$12,Paramètres!$A$1:$I$89,3,0)*0.475*44/12</f>
        <v>0.24897847405159634</v>
      </c>
      <c r="CN156" s="22">
        <f t="shared" si="172"/>
        <v>43.969248873225169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-1.1368683772161603E-13</v>
      </c>
      <c r="CU156" s="17">
        <f>CT156*VLOOKUP('Données projet'!$B$13,Paramètres!$A$1:$I$89,3,0)*VLOOKUP('Données projet'!$B$13,Paramètres!$A$1:$I$89,5,0)</f>
        <v>-8.8675733422860506E-14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100.54865094989304</v>
      </c>
      <c r="CZ156" s="59">
        <f t="shared" si="150"/>
        <v>99.95654161405389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5.2222484141024426</v>
      </c>
      <c r="DG156" s="21">
        <f>EXP(-LN(2)/25)*DG155+(1-EXP(-LN(2)/25))/(LN(2)/25)*Calculateur!DB156*Calculateur!DD156*VLOOKUP('Données projet'!$B$13,Paramètres!$A$1:$I$89,3,0)*0.475*44/12</f>
        <v>2.6431149219225984</v>
      </c>
      <c r="DH156" s="21">
        <f>EXP(-LN(2)/2)*DH155+(1-EXP(-LN(2)/2))/(LN(2)/2)*DB156*DE156*VLOOKUP('Données projet'!$B$13,Paramètres!$A$1:$I$89,3,0)*0.475*44/12</f>
        <v>8.8553333003946426E-12</v>
      </c>
      <c r="DI156" s="22">
        <f t="shared" si="175"/>
        <v>7.8653633360338961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4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134.53439999999992</v>
      </c>
      <c r="D157" s="11">
        <f t="shared" si="140"/>
        <v>35.042026165482199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1309.0110089967043</v>
      </c>
      <c r="H157" s="67">
        <f t="shared" si="110"/>
        <v>588.67894223821463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3.4106051316484809E-13</v>
      </c>
      <c r="O157" s="13">
        <f>N157*VLOOKUP('Données projet'!$B$9,Paramètres!$A$1:$I$89,3,0)*VLOOKUP('Données projet'!$B$9,Paramètres!$A$1:$I$89,5,0)</f>
        <v>1.9065282685915009E-13</v>
      </c>
      <c r="P157" s="13">
        <f t="shared" si="141"/>
        <v>2.6568987209435707E-12</v>
      </c>
      <c r="Q157" s="20">
        <f t="shared" si="162"/>
        <v>4.959485612423072E-12</v>
      </c>
      <c r="R157" s="59">
        <f t="shared" si="109"/>
        <v>293.33333333333826</v>
      </c>
      <c r="S157" s="59">
        <f ca="1">AVERAGE(OFFSET($R$3,0,0,'Données projet'!$E$9+1,1))-AVERAGE(OFFSET($H$3,0,0,'Données projet'!$E$9+1,1))</f>
        <v>324.69474275039357</v>
      </c>
      <c r="T157" s="59">
        <f t="shared" si="142"/>
        <v>437.68177084535927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34.052781754952406</v>
      </c>
      <c r="AA157" s="21">
        <f>EXP(-LN(2)/25)*AA156+(1-EXP(-LN(2)/25))/(LN(2)/25)*Calculateur!V157*Calculateur!X157*VLOOKUP('Données projet'!$B$9,Paramètres!$A$1:$I$89,3,0)*0.475*44/12</f>
        <v>5.3125453036596264</v>
      </c>
      <c r="AB157" s="21">
        <f>EXP(-LN(2)/2)*AB156+(1-EXP(-LN(2)/2))/(LN(2)/2)*V157*Y157*VLOOKUP('Données projet'!$B$9,Paramètres!$A$1:$I$89,3,0)*0.475*44/12</f>
        <v>8.1275531382424051E-14</v>
      </c>
      <c r="AC157" s="22">
        <f t="shared" si="163"/>
        <v>39.36532705861211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1.1368683772161603E-13</v>
      </c>
      <c r="AJ157" s="13">
        <f>AI157*VLOOKUP('Données projet'!$B$10,Paramètres!$A$1:$I$89,3,0)*VLOOKUP('Données projet'!$B$10,Paramètres!$A$1:$I$89,5,0)</f>
        <v>6.7984728957526396E-14</v>
      </c>
      <c r="AK157" s="13">
        <f t="shared" si="164"/>
        <v>1.0682447123141398E-12</v>
      </c>
      <c r="AL157" s="20">
        <f t="shared" si="165"/>
        <v>1.978932943548152E-12</v>
      </c>
      <c r="AM157" s="59">
        <f t="shared" si="113"/>
        <v>293.3333333333353</v>
      </c>
      <c r="AN157" s="59">
        <f ca="1">AVERAGE(OFFSET($AM$3,0,0,'Données projet'!$E$10+1,1))-AVERAGE(OFFSET($H$3,0,0,'Données projet'!$E$10+1,1))</f>
        <v>214.93913810439858</v>
      </c>
      <c r="AO157" s="59">
        <f t="shared" si="144"/>
        <v>210.65603079265924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21.583659895829022</v>
      </c>
      <c r="AV157" s="21">
        <f>EXP(-LN(2)/25)*AV156+(1-EXP(-LN(2)/25))/(LN(2)/25)*Calculateur!AQ157*Calculateur!AS157*VLOOKUP('Données projet'!$B$10,Paramètres!$A$1:$I$89,3,0)*0.475*44/12</f>
        <v>3.5754934996847694</v>
      </c>
      <c r="AW157" s="21">
        <f>EXP(-LN(2)/2)*AW156+(1-EXP(-LN(2)/2))/(LN(2)/2)*AQ157*AT157*VLOOKUP('Données projet'!$B$10,Paramètres!$A$1:$I$89,3,0)*0.475*44/12</f>
        <v>4.2605167623828417E-13</v>
      </c>
      <c r="AX157" s="21">
        <f t="shared" si="166"/>
        <v>25.159153395514217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4.083333333333333</v>
      </c>
      <c r="BD157" s="12">
        <f>IF('Données projet'!$A$88&gt;35,BD156+BC157-BL156,IF(A157&lt;'Données projet'!$A$88,$BA$205^A157,IF(A157='Données projet'!$A$88,'Données projet'!$B$88,BD156+BC157-BL156)))</f>
        <v>282.76333333333378</v>
      </c>
      <c r="BE157" s="13">
        <f>BD157*VLOOKUP('Données projet'!$B$11,Paramètres!$A$1:$I$89,3,0)*VLOOKUP('Données projet'!$B$11,Paramètres!$A$1:$I$89,5,0)</f>
        <v>255.84426400000038</v>
      </c>
      <c r="BF157" s="13">
        <f t="shared" si="167"/>
        <v>61.835713990730305</v>
      </c>
      <c r="BG157" s="20">
        <f t="shared" si="168"/>
        <v>553.29262833385587</v>
      </c>
      <c r="BH157" s="59">
        <f t="shared" si="116"/>
        <v>846.62596166718913</v>
      </c>
      <c r="BI157" s="59">
        <f ca="1">AVERAGE(OFFSET($BH$3,0,0,'Données projet'!$E$11+1,1))-AVERAGE(OFFSET($H$3,0,0,'Données projet'!$E$11+1,1))</f>
        <v>507.69556381324213</v>
      </c>
      <c r="BJ157" s="59">
        <f t="shared" si="146"/>
        <v>129.52638237044044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129.89615354118294</v>
      </c>
      <c r="BQ157" s="21">
        <f>EXP(-LN(2)/25)*BQ156+(1-EXP(-LN(2)/25))/(LN(2)/25)*Calculateur!BL157*Calculateur!BN157*VLOOKUP('Données projet'!$B$11,Paramètres!$A$1:$I$89,3,0)*0.475*44/12</f>
        <v>27.791789724322204</v>
      </c>
      <c r="BR157" s="21">
        <f>EXP(-LN(2)/2)*BR156+(1-EXP(-LN(2)/2))/(LN(2)/2)*BL157*BO157*VLOOKUP('Données projet'!$B$11,Paramètres!$A$1:$I$89,3,0)*0.475*44/12</f>
        <v>7.4867085347571551</v>
      </c>
      <c r="BS157" s="22">
        <f t="shared" si="169"/>
        <v>165.1746518002623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7.5191666666666634</v>
      </c>
      <c r="BY157" s="12">
        <f>IF('Données projet'!$A$114&gt;35,BY156+BX157-CG156,IF(A157&lt;'Données projet'!$A$114,$BV$205^A157,IF(A157='Données projet'!$A$114,'Données projet'!$B$114,BY156+BX157-CG156)))</f>
        <v>394.16166666666629</v>
      </c>
      <c r="BZ157" s="13">
        <f>BY157*VLOOKUP('Données projet'!$B$12,Paramètres!$A$1:$I$89,3,0)*VLOOKUP('Données projet'!$B$12,Paramètres!$A$1:$I$89,5,0)</f>
        <v>381.23316399999965</v>
      </c>
      <c r="CA157" s="13">
        <f t="shared" si="170"/>
        <v>87.961402219130861</v>
      </c>
      <c r="CB157" s="20">
        <f t="shared" si="171"/>
        <v>817.18053616498548</v>
      </c>
      <c r="CC157" s="59">
        <f t="shared" si="119"/>
        <v>1110.5138694983189</v>
      </c>
      <c r="CD157" s="59">
        <f ca="1">AVERAGE(OFFSET($CC$3,0,0,'Données projet'!$E$12+1,1))-AVERAGE(OFFSET($H$3,0,0,'Données projet'!$E$12+1,1))</f>
        <v>292.52253679467469</v>
      </c>
      <c r="CE157" s="59">
        <f t="shared" si="148"/>
        <v>155.7114133976541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26.040038253219954</v>
      </c>
      <c r="CL157" s="21">
        <f>EXP(-LN(2)/25)*CL156+(1-EXP(-LN(2)/25))/(LN(2)/25)*Calculateur!CG157*Calculateur!CI157*VLOOKUP('Données projet'!$B$12,Paramètres!$A$1:$I$89,3,0)*0.475*44/12</f>
        <v>16.690165064028395</v>
      </c>
      <c r="CM157" s="21">
        <f>EXP(-LN(2)/2)*CM156+(1-EXP(-LN(2)/2))/(LN(2)/2)*CG157*CJ157*VLOOKUP('Données projet'!$B$12,Paramètres!$A$1:$I$89,3,0)*0.475*44/12</f>
        <v>0.17605436737136265</v>
      </c>
      <c r="CN157" s="22">
        <f t="shared" si="172"/>
        <v>42.906257684619717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-1.1368683772161603E-13</v>
      </c>
      <c r="CU157" s="17">
        <f>CT157*VLOOKUP('Données projet'!$B$13,Paramètres!$A$1:$I$89,3,0)*VLOOKUP('Données projet'!$B$13,Paramètres!$A$1:$I$89,5,0)</f>
        <v>-8.8675733422860506E-14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100.54865094989304</v>
      </c>
      <c r="CZ157" s="59">
        <f t="shared" si="150"/>
        <v>99.95654161405389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5.1198433079589085</v>
      </c>
      <c r="DG157" s="21">
        <f>EXP(-LN(2)/25)*DG156+(1-EXP(-LN(2)/25))/(LN(2)/25)*Calculateur!DB157*Calculateur!DD157*VLOOKUP('Données projet'!$B$13,Paramètres!$A$1:$I$89,3,0)*0.475*44/12</f>
        <v>2.5708388053872522</v>
      </c>
      <c r="DH157" s="21">
        <f>EXP(-LN(2)/2)*DH156+(1-EXP(-LN(2)/2))/(LN(2)/2)*DB157*DE157*VLOOKUP('Données projet'!$B$13,Paramètres!$A$1:$I$89,3,0)*0.475*44/12</f>
        <v>6.2616662263761023E-12</v>
      </c>
      <c r="DI157" s="22">
        <f t="shared" si="175"/>
        <v>7.6906821133524224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4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135.40799999999993</v>
      </c>
      <c r="D158" s="11">
        <f t="shared" si="140"/>
        <v>35.243009677478732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1317.306039615625</v>
      </c>
      <c r="H158" s="67">
        <f t="shared" si="110"/>
        <v>590.55050852160866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3.4106051316484809E-13</v>
      </c>
      <c r="O158" s="13">
        <f>N158*VLOOKUP('Données projet'!$B$9,Paramètres!$A$1:$I$89,3,0)*VLOOKUP('Données projet'!$B$9,Paramètres!$A$1:$I$89,5,0)</f>
        <v>1.9065282685915009E-13</v>
      </c>
      <c r="P158" s="13">
        <f t="shared" si="141"/>
        <v>2.6568987209435707E-12</v>
      </c>
      <c r="Q158" s="20">
        <f t="shared" si="162"/>
        <v>4.959485612423072E-12</v>
      </c>
      <c r="R158" s="59">
        <f t="shared" si="109"/>
        <v>293.33333333333826</v>
      </c>
      <c r="S158" s="59">
        <f ca="1">AVERAGE(OFFSET($R$3,0,0,'Données projet'!$E$9+1,1))-AVERAGE(OFFSET($H$3,0,0,'Données projet'!$E$9+1,1))</f>
        <v>324.69474275039357</v>
      </c>
      <c r="T158" s="59">
        <f t="shared" si="142"/>
        <v>437.68177084535927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33.385027474883778</v>
      </c>
      <c r="AA158" s="21">
        <f>EXP(-LN(2)/25)*AA157+(1-EXP(-LN(2)/25))/(LN(2)/25)*Calculateur!V158*Calculateur!X158*VLOOKUP('Données projet'!$B$9,Paramètres!$A$1:$I$89,3,0)*0.475*44/12</f>
        <v>5.1672734729564382</v>
      </c>
      <c r="AB158" s="21">
        <f>EXP(-LN(2)/2)*AB157+(1-EXP(-LN(2)/2))/(LN(2)/2)*V158*Y158*VLOOKUP('Données projet'!$B$9,Paramètres!$A$1:$I$89,3,0)*0.475*44/12</f>
        <v>5.7470479385052098E-14</v>
      </c>
      <c r="AC158" s="22">
        <f t="shared" si="163"/>
        <v>38.552300947840273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1.1368683772161603E-13</v>
      </c>
      <c r="AJ158" s="13">
        <f>AI158*VLOOKUP('Données projet'!$B$10,Paramètres!$A$1:$I$89,3,0)*VLOOKUP('Données projet'!$B$10,Paramètres!$A$1:$I$89,5,0)</f>
        <v>6.7984728957526396E-14</v>
      </c>
      <c r="AK158" s="13">
        <f t="shared" si="164"/>
        <v>1.0682447123141398E-12</v>
      </c>
      <c r="AL158" s="20">
        <f t="shared" si="165"/>
        <v>1.978932943548152E-12</v>
      </c>
      <c r="AM158" s="59">
        <f t="shared" si="113"/>
        <v>293.3333333333353</v>
      </c>
      <c r="AN158" s="59">
        <f ca="1">AVERAGE(OFFSET($AM$3,0,0,'Données projet'!$E$10+1,1))-AVERAGE(OFFSET($H$3,0,0,'Données projet'!$E$10+1,1))</f>
        <v>214.93913810439858</v>
      </c>
      <c r="AO158" s="59">
        <f t="shared" si="144"/>
        <v>210.65603079265924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21.160417490004441</v>
      </c>
      <c r="AV158" s="21">
        <f>EXP(-LN(2)/25)*AV157+(1-EXP(-LN(2)/25))/(LN(2)/25)*Calculateur!AQ158*Calculateur!AS158*VLOOKUP('Données projet'!$B$10,Paramètres!$A$1:$I$89,3,0)*0.475*44/12</f>
        <v>3.4777214419088582</v>
      </c>
      <c r="AW158" s="21">
        <f>EXP(-LN(2)/2)*AW157+(1-EXP(-LN(2)/2))/(LN(2)/2)*AQ158*AT158*VLOOKUP('Données projet'!$B$10,Paramètres!$A$1:$I$89,3,0)*0.475*44/12</f>
        <v>3.0126402940398619E-13</v>
      </c>
      <c r="AX158" s="21">
        <f t="shared" si="166"/>
        <v>24.638138931913602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4.083333333333333</v>
      </c>
      <c r="BD158" s="12">
        <f>IF('Données projet'!$A$88&gt;35,BD157+BC158-BL157,IF(A158&lt;'Données projet'!$A$88,$BA$205^A158,IF(A158='Données projet'!$A$88,'Données projet'!$B$88,BD157+BC158-BL157)))</f>
        <v>286.84666666666709</v>
      </c>
      <c r="BE158" s="13">
        <f>BD158*VLOOKUP('Données projet'!$B$11,Paramètres!$A$1:$I$89,3,0)*VLOOKUP('Données projet'!$B$11,Paramètres!$A$1:$I$89,5,0)</f>
        <v>259.53886400000039</v>
      </c>
      <c r="BF158" s="13">
        <f t="shared" si="167"/>
        <v>62.624072242773707</v>
      </c>
      <c r="BG158" s="20">
        <f t="shared" si="168"/>
        <v>561.10044728949822</v>
      </c>
      <c r="BH158" s="59">
        <f t="shared" si="116"/>
        <v>854.43378062283159</v>
      </c>
      <c r="BI158" s="59">
        <f ca="1">AVERAGE(OFFSET($BH$3,0,0,'Données projet'!$E$11+1,1))-AVERAGE(OFFSET($H$3,0,0,'Données projet'!$E$11+1,1))</f>
        <v>507.69556381324213</v>
      </c>
      <c r="BJ158" s="59">
        <f t="shared" si="146"/>
        <v>129.52638237044044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127.34896919907081</v>
      </c>
      <c r="BQ158" s="21">
        <f>EXP(-LN(2)/25)*BQ157+(1-EXP(-LN(2)/25))/(LN(2)/25)*Calculateur!BL158*Calculateur!BN158*VLOOKUP('Données projet'!$B$11,Paramètres!$A$1:$I$89,3,0)*0.475*44/12</f>
        <v>27.031821772803909</v>
      </c>
      <c r="BR158" s="21">
        <f>EXP(-LN(2)/2)*BR157+(1-EXP(-LN(2)/2))/(LN(2)/2)*BL158*BO158*VLOOKUP('Données projet'!$B$11,Paramètres!$A$1:$I$89,3,0)*0.475*44/12</f>
        <v>5.2939023736939861</v>
      </c>
      <c r="BS158" s="22">
        <f t="shared" si="169"/>
        <v>159.6746933455687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7.5191666666666634</v>
      </c>
      <c r="BY158" s="12">
        <f>IF('Données projet'!$A$114&gt;35,BY157+BX158-CG157,IF(A158&lt;'Données projet'!$A$114,$BV$205^A158,IF(A158='Données projet'!$A$114,'Données projet'!$B$114,BY157+BX158-CG157)))</f>
        <v>401.68083333333294</v>
      </c>
      <c r="BZ158" s="13">
        <f>BY158*VLOOKUP('Données projet'!$B$12,Paramètres!$A$1:$I$89,3,0)*VLOOKUP('Données projet'!$B$12,Paramètres!$A$1:$I$89,5,0)</f>
        <v>388.50570199999964</v>
      </c>
      <c r="CA158" s="13">
        <f t="shared" si="170"/>
        <v>89.442433150300388</v>
      </c>
      <c r="CB158" s="20">
        <f t="shared" si="171"/>
        <v>832.42633538677239</v>
      </c>
      <c r="CC158" s="59">
        <f t="shared" si="119"/>
        <v>1125.7596687201058</v>
      </c>
      <c r="CD158" s="59">
        <f ca="1">AVERAGE(OFFSET($CC$3,0,0,'Données projet'!$E$12+1,1))-AVERAGE(OFFSET($H$3,0,0,'Données projet'!$E$12+1,1))</f>
        <v>292.52253679467469</v>
      </c>
      <c r="CE158" s="59">
        <f t="shared" si="148"/>
        <v>155.7114133976541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25.529408985929344</v>
      </c>
      <c r="CL158" s="21">
        <f>EXP(-LN(2)/25)*CL157+(1-EXP(-LN(2)/25))/(LN(2)/25)*Calculateur!CG158*Calculateur!CI158*VLOOKUP('Données projet'!$B$12,Paramètres!$A$1:$I$89,3,0)*0.475*44/12</f>
        <v>16.233771622654903</v>
      </c>
      <c r="CM158" s="21">
        <f>EXP(-LN(2)/2)*CM157+(1-EXP(-LN(2)/2))/(LN(2)/2)*CG158*CJ158*VLOOKUP('Données projet'!$B$12,Paramètres!$A$1:$I$89,3,0)*0.475*44/12</f>
        <v>0.12448923702579819</v>
      </c>
      <c r="CN158" s="22">
        <f t="shared" si="172"/>
        <v>41.887669845610048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-1.1368683772161603E-13</v>
      </c>
      <c r="CU158" s="17">
        <f>CT158*VLOOKUP('Données projet'!$B$13,Paramètres!$A$1:$I$89,3,0)*VLOOKUP('Données projet'!$B$13,Paramètres!$A$1:$I$89,5,0)</f>
        <v>-8.8675733422860506E-14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100.54865094989304</v>
      </c>
      <c r="CZ158" s="59">
        <f t="shared" si="150"/>
        <v>99.95654161405389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5.0194463034859016</v>
      </c>
      <c r="DG158" s="21">
        <f>EXP(-LN(2)/25)*DG157+(1-EXP(-LN(2)/25))/(LN(2)/25)*Calculateur!DB158*Calculateur!DD158*VLOOKUP('Données projet'!$B$13,Paramètres!$A$1:$I$89,3,0)*0.475*44/12</f>
        <v>2.5005390830594005</v>
      </c>
      <c r="DH158" s="21">
        <f>EXP(-LN(2)/2)*DH157+(1-EXP(-LN(2)/2))/(LN(2)/2)*DB158*DE158*VLOOKUP('Données projet'!$B$13,Paramètres!$A$1:$I$89,3,0)*0.475*44/12</f>
        <v>4.4276666501973213E-12</v>
      </c>
      <c r="DI158" s="22">
        <f t="shared" si="175"/>
        <v>7.5199853865497301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4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136.28159999999994</v>
      </c>
      <c r="D159" s="11">
        <f t="shared" si="140"/>
        <v>35.443842312892279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1325.5999055732034</v>
      </c>
      <c r="H159" s="67">
        <f t="shared" si="110"/>
        <v>592.42181202828726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3.4106051316484809E-13</v>
      </c>
      <c r="O159" s="13">
        <f>N159*VLOOKUP('Données projet'!$B$9,Paramètres!$A$1:$I$89,3,0)*VLOOKUP('Données projet'!$B$9,Paramètres!$A$1:$I$89,5,0)</f>
        <v>1.9065282685915009E-13</v>
      </c>
      <c r="P159" s="13">
        <f t="shared" si="141"/>
        <v>2.6568987209435707E-12</v>
      </c>
      <c r="Q159" s="20">
        <f t="shared" si="162"/>
        <v>4.959485612423072E-12</v>
      </c>
      <c r="R159" s="59">
        <f t="shared" si="109"/>
        <v>293.33333333333826</v>
      </c>
      <c r="S159" s="59">
        <f ca="1">AVERAGE(OFFSET($R$3,0,0,'Données projet'!$E$9+1,1))-AVERAGE(OFFSET($H$3,0,0,'Données projet'!$E$9+1,1))</f>
        <v>324.69474275039357</v>
      </c>
      <c r="T159" s="59">
        <f t="shared" si="142"/>
        <v>437.68177084535927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32.730367448957402</v>
      </c>
      <c r="AA159" s="21">
        <f>EXP(-LN(2)/25)*AA158+(1-EXP(-LN(2)/25))/(LN(2)/25)*Calculateur!V159*Calculateur!X159*VLOOKUP('Données projet'!$B$9,Paramètres!$A$1:$I$89,3,0)*0.475*44/12</f>
        <v>5.0259741081033429</v>
      </c>
      <c r="AB159" s="21">
        <f>EXP(-LN(2)/2)*AB158+(1-EXP(-LN(2)/2))/(LN(2)/2)*V159*Y159*VLOOKUP('Données projet'!$B$9,Paramètres!$A$1:$I$89,3,0)*0.475*44/12</f>
        <v>4.0637765691212026E-14</v>
      </c>
      <c r="AC159" s="22">
        <f t="shared" si="163"/>
        <v>37.756341557060786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1.1368683772161603E-13</v>
      </c>
      <c r="AJ159" s="13">
        <f>AI159*VLOOKUP('Données projet'!$B$10,Paramètres!$A$1:$I$89,3,0)*VLOOKUP('Données projet'!$B$10,Paramètres!$A$1:$I$89,5,0)</f>
        <v>6.7984728957526396E-14</v>
      </c>
      <c r="AK159" s="13">
        <f t="shared" si="164"/>
        <v>1.0682447123141398E-12</v>
      </c>
      <c r="AL159" s="20">
        <f t="shared" si="165"/>
        <v>1.978932943548152E-12</v>
      </c>
      <c r="AM159" s="59">
        <f t="shared" si="113"/>
        <v>293.3333333333353</v>
      </c>
      <c r="AN159" s="59">
        <f ca="1">AVERAGE(OFFSET($AM$3,0,0,'Données projet'!$E$10+1,1))-AVERAGE(OFFSET($H$3,0,0,'Données projet'!$E$10+1,1))</f>
        <v>214.93913810439858</v>
      </c>
      <c r="AO159" s="59">
        <f t="shared" si="144"/>
        <v>210.65603079265924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20.745474609605704</v>
      </c>
      <c r="AV159" s="21">
        <f>EXP(-LN(2)/25)*AV158+(1-EXP(-LN(2)/25))/(LN(2)/25)*Calculateur!AQ159*Calculateur!AS159*VLOOKUP('Données projet'!$B$10,Paramètres!$A$1:$I$89,3,0)*0.475*44/12</f>
        <v>3.3826229661944383</v>
      </c>
      <c r="AW159" s="21">
        <f>EXP(-LN(2)/2)*AW158+(1-EXP(-LN(2)/2))/(LN(2)/2)*AQ159*AT159*VLOOKUP('Données projet'!$B$10,Paramètres!$A$1:$I$89,3,0)*0.475*44/12</f>
        <v>2.1302583811914209E-13</v>
      </c>
      <c r="AX159" s="21">
        <f t="shared" si="166"/>
        <v>24.128097575800357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>
        <f>VLOOKUP(A159,'Données projet'!$A$87:$I$107,2,0)</f>
        <v>290.93</v>
      </c>
      <c r="BB159" s="12">
        <f>VLOOKUP(A159,'Données projet'!$A$87:$I$107,9,0)</f>
        <v>4.083333333333333</v>
      </c>
      <c r="BC159" s="12">
        <f t="array" ref="BC159">INDEX(BB:BB,MIN(IF(ISNUMBER(BB159:BB355),ROW(BB159:BB355),"")))</f>
        <v>4.083333333333333</v>
      </c>
      <c r="BD159" s="12">
        <f>IF('Données projet'!$A$88&gt;35,BD158+BC159-BL158,IF(A159&lt;'Données projet'!$A$88,$BA$205^A159,IF(A159='Données projet'!$A$88,'Données projet'!$B$88,BD158+BC159-BL158)))</f>
        <v>290.9300000000004</v>
      </c>
      <c r="BE159" s="13">
        <f>BD159*VLOOKUP('Données projet'!$B$11,Paramètres!$A$1:$I$89,3,0)*VLOOKUP('Données projet'!$B$11,Paramètres!$A$1:$I$89,5,0)</f>
        <v>263.23346400000037</v>
      </c>
      <c r="BF159" s="13">
        <f t="shared" si="167"/>
        <v>63.411125233778499</v>
      </c>
      <c r="BG159" s="20">
        <f t="shared" si="168"/>
        <v>568.90599291549813</v>
      </c>
      <c r="BH159" s="59">
        <f t="shared" si="116"/>
        <v>862.2393262488315</v>
      </c>
      <c r="BI159" s="59">
        <f ca="1">AVERAGE(OFFSET($BH$3,0,0,'Données projet'!$E$11+1,1))-AVERAGE(OFFSET($H$3,0,0,'Données projet'!$E$11+1,1))</f>
        <v>507.69556381324213</v>
      </c>
      <c r="BJ159" s="59">
        <f t="shared" si="146"/>
        <v>129.52638237044044</v>
      </c>
      <c r="BK159" s="15">
        <f>IF(ISNA(VLOOKUP(A159,'Données projet'!$A$87:$I$107,3,0)),0,VLOOKUP(A159,'Données projet'!$A$87:$I$107,3,0))</f>
        <v>16</v>
      </c>
      <c r="BL159" s="15">
        <f>IF(ISNA(VLOOKUP(A159,'Données projet'!$A$87:$I$107,4,0)),0,VLOOKUP(A159,'Données projet'!$A$87:$I$107,4,0))</f>
        <v>96.65</v>
      </c>
      <c r="BM159" s="16">
        <f>IF(ISNA(VLOOKUP(A159,'Données projet'!$A$87:$I$107,5,0)),0%,VLOOKUP(A159,'Données projet'!$A$87:$I$107,5,0)*VLOOKUP('Données projet'!$B$11,Paramètres!$A$1:$I$89,7,0))</f>
        <v>0.19350000000000001</v>
      </c>
      <c r="BN159" s="16">
        <f>IF(ISNA(VLOOKUP(A159,'Données projet'!$A$87:$I$107,6,0)),0%,VLOOKUP(A159,'Données projet'!$A$87:$I$107,6,0)*VLOOKUP('Données projet'!$B$11,Paramètres!$A$1:$I$89,7,0))</f>
        <v>2.1500000000000002E-2</v>
      </c>
      <c r="BO159" s="16">
        <f>IF(ISNA(VLOOKUP(A159,'Données projet'!$A$87:$I$107,7,0)),0%,VLOOKUP(A159,'Données projet'!$A$87:$I$107,7,0))</f>
        <v>0.05</v>
      </c>
      <c r="BP159" s="21">
        <f>EXP(-LN(2)/35)*BP158+(1-EXP(-LN(2)/35))/(LN(2)/35)*BL159*BM159*VLOOKUP('Données projet'!$B$11,Paramètres!$A$1:$I$89,3,0)*0.475*44/12</f>
        <v>143.55780250462382</v>
      </c>
      <c r="BQ159" s="21">
        <f>EXP(-LN(2)/25)*BQ158+(1-EXP(-LN(2)/25))/(LN(2)/25)*Calculateur!BL159*Calculateur!BN159*VLOOKUP('Données projet'!$B$11,Paramètres!$A$1:$I$89,3,0)*0.475*44/12</f>
        <v>28.362903628823826</v>
      </c>
      <c r="BR159" s="21">
        <f>EXP(-LN(2)/2)*BR158+(1-EXP(-LN(2)/2))/(LN(2)/2)*BL159*BO159*VLOOKUP('Données projet'!$B$11,Paramètres!$A$1:$I$89,3,0)*0.475*44/12</f>
        <v>7.8688747510372492</v>
      </c>
      <c r="BS159" s="22">
        <f t="shared" si="169"/>
        <v>179.78958088448491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>
        <f>VLOOKUP(A159,'Données projet'!$A$113:$I$133,2,0)</f>
        <v>409.2</v>
      </c>
      <c r="BW159" s="12">
        <f>VLOOKUP(A159,'Données projet'!$A$113:$I$133,9,0)</f>
        <v>7.5191666666666634</v>
      </c>
      <c r="BX159" s="12">
        <f t="array" ref="BX159">INDEX(BW:BW,MIN(IF(ISNUMBER(BW159:BW355),ROW(BW159:BW355),"")))</f>
        <v>7.5191666666666634</v>
      </c>
      <c r="BY159" s="12">
        <f>IF('Données projet'!$A$114&gt;35,BY158+BX159-CG158,IF(A159&lt;'Données projet'!$A$114,$BV$205^A159,IF(A159='Données projet'!$A$114,'Données projet'!$B$114,BY158+BX159-CG158)))</f>
        <v>409.19999999999959</v>
      </c>
      <c r="BZ159" s="13">
        <f>BY159*VLOOKUP('Données projet'!$B$12,Paramètres!$A$1:$I$89,3,0)*VLOOKUP('Données projet'!$B$12,Paramètres!$A$1:$I$89,5,0)</f>
        <v>395.77823999999964</v>
      </c>
      <c r="CA159" s="13">
        <f t="shared" si="170"/>
        <v>90.920240345509228</v>
      </c>
      <c r="CB159" s="20">
        <f t="shared" si="171"/>
        <v>847.66651993509458</v>
      </c>
      <c r="CC159" s="59">
        <f t="shared" si="119"/>
        <v>1140.9998532684278</v>
      </c>
      <c r="CD159" s="59">
        <f ca="1">AVERAGE(OFFSET($CC$3,0,0,'Données projet'!$E$12+1,1))-AVERAGE(OFFSET($H$3,0,0,'Données projet'!$E$12+1,1))</f>
        <v>292.52253679467469</v>
      </c>
      <c r="CE159" s="59">
        <f t="shared" si="148"/>
        <v>155.7114133976541</v>
      </c>
      <c r="CF159" s="15">
        <f>IF(ISNA(VLOOKUP(A159,'Données projet'!$A$113:$I$133,3,0)),0,VLOOKUP(A159,'Données projet'!$A$113:$I$133,3,0))</f>
        <v>11</v>
      </c>
      <c r="CG159" s="15">
        <f>IF(ISNA(VLOOKUP(A159,'Données projet'!$A$113:$I$133,4,0)),0,VLOOKUP(A159,'Données projet'!$A$113:$I$133,4,0))</f>
        <v>65.69</v>
      </c>
      <c r="CH159" s="16">
        <f>IF(ISNA(VLOOKUP(A159,'Données projet'!$A$113:$I$133,5,0)),0%,VLOOKUP(A159,'Données projet'!$A$113:$I$133,5,0)*VLOOKUP('Données projet'!$B$12,Paramètres!$A$1:$I$89,7,0))</f>
        <v>0.215</v>
      </c>
      <c r="CI159" s="16">
        <f>IF(ISNA(VLOOKUP(A159,'Données projet'!$A$113:$I$133,6,0)),0%,VLOOKUP(A159,'Données projet'!$A$113:$I$133,6,0)*VLOOKUP('Données projet'!$B$12,Paramètres!$A$1:$I$89,7,0))</f>
        <v>8.6000000000000007E-2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40.129633333113219</v>
      </c>
      <c r="CL159" s="21">
        <f>EXP(-LN(2)/25)*CL158+(1-EXP(-LN(2)/25))/(LN(2)/25)*Calculateur!CG159*Calculateur!CI159*VLOOKUP('Données projet'!$B$12,Paramètres!$A$1:$I$89,3,0)*0.475*44/12</f>
        <v>21.80641137318899</v>
      </c>
      <c r="CM159" s="21">
        <f>EXP(-LN(2)/2)*CM158+(1-EXP(-LN(2)/2))/(LN(2)/2)*CG159*CJ159*VLOOKUP('Données projet'!$B$12,Paramètres!$A$1:$I$89,3,0)*0.475*44/12</f>
        <v>8.802718368568134E-2</v>
      </c>
      <c r="CN159" s="22">
        <f t="shared" si="172"/>
        <v>62.024071889987894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-1.1368683772161603E-13</v>
      </c>
      <c r="CU159" s="17">
        <f>CT159*VLOOKUP('Données projet'!$B$13,Paramètres!$A$1:$I$89,3,0)*VLOOKUP('Données projet'!$B$13,Paramètres!$A$1:$I$89,5,0)</f>
        <v>-8.8675733422860506E-14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100.54865094989304</v>
      </c>
      <c r="CZ159" s="59">
        <f t="shared" si="150"/>
        <v>99.95654161405389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4.9210180230344847</v>
      </c>
      <c r="DG159" s="21">
        <f>EXP(-LN(2)/25)*DG158+(1-EXP(-LN(2)/25))/(LN(2)/25)*Calculateur!DB159*Calculateur!DD159*VLOOKUP('Données projet'!$B$13,Paramètres!$A$1:$I$89,3,0)*0.475*44/12</f>
        <v>2.4321617103355058</v>
      </c>
      <c r="DH159" s="21">
        <f>EXP(-LN(2)/2)*DH158+(1-EXP(-LN(2)/2))/(LN(2)/2)*DB159*DE159*VLOOKUP('Données projet'!$B$13,Paramètres!$A$1:$I$89,3,0)*0.475*44/12</f>
        <v>3.1308331131880512E-12</v>
      </c>
      <c r="DI159" s="22">
        <f t="shared" si="175"/>
        <v>7.3531797333731213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4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137.15519999999995</v>
      </c>
      <c r="D160" s="11">
        <f t="shared" si="140"/>
        <v>35.644525151069693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1333.8926152012393</v>
      </c>
      <c r="H160" s="67">
        <f t="shared" si="110"/>
        <v>594.29285463811289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3.4106051316484809E-13</v>
      </c>
      <c r="O160" s="13">
        <f>N160*VLOOKUP('Données projet'!$B$9,Paramètres!$A$1:$I$89,3,0)*VLOOKUP('Données projet'!$B$9,Paramètres!$A$1:$I$89,5,0)</f>
        <v>1.9065282685915009E-13</v>
      </c>
      <c r="P160" s="13">
        <f t="shared" si="141"/>
        <v>2.6568987209435707E-12</v>
      </c>
      <c r="Q160" s="20">
        <f t="shared" si="162"/>
        <v>4.959485612423072E-12</v>
      </c>
      <c r="R160" s="59">
        <f t="shared" si="109"/>
        <v>293.33333333333826</v>
      </c>
      <c r="S160" s="59">
        <f ca="1">AVERAGE(OFFSET($R$3,0,0,'Données projet'!$E$9+1,1))-AVERAGE(OFFSET($H$3,0,0,'Données projet'!$E$9+1,1))</f>
        <v>324.69474275039357</v>
      </c>
      <c r="T160" s="59">
        <f t="shared" si="142"/>
        <v>437.68177084535927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32.088544906836255</v>
      </c>
      <c r="AA160" s="21">
        <f>EXP(-LN(2)/25)*AA159+(1-EXP(-LN(2)/25))/(LN(2)/25)*Calculateur!V160*Calculateur!X160*VLOOKUP('Données projet'!$B$9,Paramètres!$A$1:$I$89,3,0)*0.475*44/12</f>
        <v>4.8885385818127656</v>
      </c>
      <c r="AB160" s="21">
        <f>EXP(-LN(2)/2)*AB159+(1-EXP(-LN(2)/2))/(LN(2)/2)*V160*Y160*VLOOKUP('Données projet'!$B$9,Paramètres!$A$1:$I$89,3,0)*0.475*44/12</f>
        <v>2.8735239692526049E-14</v>
      </c>
      <c r="AC160" s="22">
        <f t="shared" si="163"/>
        <v>36.97708348864905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1.1368683772161603E-13</v>
      </c>
      <c r="AJ160" s="13">
        <f>AI160*VLOOKUP('Données projet'!$B$10,Paramètres!$A$1:$I$89,3,0)*VLOOKUP('Données projet'!$B$10,Paramètres!$A$1:$I$89,5,0)</f>
        <v>6.7984728957526396E-14</v>
      </c>
      <c r="AK160" s="13">
        <f t="shared" si="164"/>
        <v>1.0682447123141398E-12</v>
      </c>
      <c r="AL160" s="20">
        <f t="shared" si="165"/>
        <v>1.978932943548152E-12</v>
      </c>
      <c r="AM160" s="59">
        <f t="shared" si="113"/>
        <v>293.3333333333353</v>
      </c>
      <c r="AN160" s="59">
        <f ca="1">AVERAGE(OFFSET($AM$3,0,0,'Données projet'!$E$10+1,1))-AVERAGE(OFFSET($H$3,0,0,'Données projet'!$E$10+1,1))</f>
        <v>214.93913810439858</v>
      </c>
      <c r="AO160" s="59">
        <f t="shared" si="144"/>
        <v>210.65603079265924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20.338668506001419</v>
      </c>
      <c r="AV160" s="21">
        <f>EXP(-LN(2)/25)*AV159+(1-EXP(-LN(2)/25))/(LN(2)/25)*Calculateur!AQ160*Calculateur!AS160*VLOOKUP('Données projet'!$B$10,Paramètres!$A$1:$I$89,3,0)*0.475*44/12</f>
        <v>3.2901249632994407</v>
      </c>
      <c r="AW160" s="21">
        <f>EXP(-LN(2)/2)*AW159+(1-EXP(-LN(2)/2))/(LN(2)/2)*AQ160*AT160*VLOOKUP('Données projet'!$B$10,Paramètres!$A$1:$I$89,3,0)*0.475*44/12</f>
        <v>1.506320147019931E-13</v>
      </c>
      <c r="AX160" s="21">
        <f t="shared" si="166"/>
        <v>23.628793469301009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2.3999999999999964</v>
      </c>
      <c r="BD160" s="12">
        <f>IF('Données projet'!$A$88&gt;35,BD159+BC160-BL159,IF(A160&lt;'Données projet'!$A$88,$BA$205^A160,IF(A160='Données projet'!$A$88,'Données projet'!$B$88,BD159+BC160-BL159)))</f>
        <v>196.68000000000038</v>
      </c>
      <c r="BE160" s="13">
        <f>BD160*VLOOKUP('Données projet'!$B$11,Paramètres!$A$1:$I$89,3,0)*VLOOKUP('Données projet'!$B$11,Paramètres!$A$1:$I$89,5,0)</f>
        <v>177.95606400000034</v>
      </c>
      <c r="BF160" s="13">
        <f t="shared" si="167"/>
        <v>44.867146262287271</v>
      </c>
      <c r="BG160" s="20">
        <f t="shared" si="168"/>
        <v>388.08375787348422</v>
      </c>
      <c r="BH160" s="59">
        <f t="shared" si="116"/>
        <v>681.41709120681753</v>
      </c>
      <c r="BI160" s="59">
        <f ca="1">AVERAGE(OFFSET($BH$3,0,0,'Données projet'!$E$11+1,1))-AVERAGE(OFFSET($H$3,0,0,'Données projet'!$E$11+1,1))</f>
        <v>507.69556381324213</v>
      </c>
      <c r="BJ160" s="59">
        <f t="shared" si="146"/>
        <v>129.52638237044044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140.74272155912169</v>
      </c>
      <c r="BQ160" s="21">
        <f>EXP(-LN(2)/25)*BQ159+(1-EXP(-LN(2)/25))/(LN(2)/25)*Calculateur!BL160*Calculateur!BN160*VLOOKUP('Données projet'!$B$11,Paramètres!$A$1:$I$89,3,0)*0.475*44/12</f>
        <v>27.587318537553362</v>
      </c>
      <c r="BR160" s="21">
        <f>EXP(-LN(2)/2)*BR159+(1-EXP(-LN(2)/2))/(LN(2)/2)*BL160*BO160*VLOOKUP('Données projet'!$B$11,Paramètres!$A$1:$I$89,3,0)*0.475*44/12</f>
        <v>5.564134696766045</v>
      </c>
      <c r="BS160" s="22">
        <f t="shared" si="169"/>
        <v>173.8941747934411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7.6783333333333319</v>
      </c>
      <c r="BY160" s="12">
        <f>IF('Données projet'!$A$114&gt;35,BY159+BX160-CG159,IF(A160&lt;'Données projet'!$A$114,$BV$205^A160,IF(A160='Données projet'!$A$114,'Données projet'!$B$114,BY159+BX160-CG159)))</f>
        <v>351.18833333333293</v>
      </c>
      <c r="BZ160" s="13">
        <f>BY160*VLOOKUP('Données projet'!$B$12,Paramètres!$A$1:$I$89,3,0)*VLOOKUP('Données projet'!$B$12,Paramètres!$A$1:$I$89,5,0)</f>
        <v>339.66935599999965</v>
      </c>
      <c r="CA160" s="13">
        <f t="shared" si="170"/>
        <v>79.431629410153604</v>
      </c>
      <c r="CB160" s="20">
        <f t="shared" si="171"/>
        <v>729.93421625601695</v>
      </c>
      <c r="CC160" s="59">
        <f t="shared" si="119"/>
        <v>1023.2675495893502</v>
      </c>
      <c r="CD160" s="59">
        <f ca="1">AVERAGE(OFFSET($CC$3,0,0,'Données projet'!$E$12+1,1))-AVERAGE(OFFSET($H$3,0,0,'Données projet'!$E$12+1,1))</f>
        <v>292.52253679467469</v>
      </c>
      <c r="CE160" s="59">
        <f t="shared" si="148"/>
        <v>155.7114133976541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39.342715700110332</v>
      </c>
      <c r="CL160" s="21">
        <f>EXP(-LN(2)/25)*CL159+(1-EXP(-LN(2)/25))/(LN(2)/25)*Calculateur!CG160*Calculateur!CI160*VLOOKUP('Données projet'!$B$12,Paramètres!$A$1:$I$89,3,0)*0.475*44/12</f>
        <v>21.210113907439801</v>
      </c>
      <c r="CM160" s="21">
        <f>EXP(-LN(2)/2)*CM159+(1-EXP(-LN(2)/2))/(LN(2)/2)*CG160*CJ160*VLOOKUP('Données projet'!$B$12,Paramètres!$A$1:$I$89,3,0)*0.475*44/12</f>
        <v>6.2244618512899107E-2</v>
      </c>
      <c r="CN160" s="22">
        <f t="shared" si="172"/>
        <v>60.615074226063037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-1.1368683772161603E-13</v>
      </c>
      <c r="CU160" s="17">
        <f>CT160*VLOOKUP('Données projet'!$B$13,Paramètres!$A$1:$I$89,3,0)*VLOOKUP('Données projet'!$B$13,Paramètres!$A$1:$I$89,5,0)</f>
        <v>-8.8675733422860506E-14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100.54865094989304</v>
      </c>
      <c r="CZ160" s="59">
        <f t="shared" si="150"/>
        <v>99.95654161405389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4.8245198611273965</v>
      </c>
      <c r="DG160" s="21">
        <f>EXP(-LN(2)/25)*DG159+(1-EXP(-LN(2)/25))/(LN(2)/25)*Calculateur!DB160*Calculateur!DD160*VLOOKUP('Données projet'!$B$13,Paramètres!$A$1:$I$89,3,0)*0.475*44/12</f>
        <v>2.3656541204645558</v>
      </c>
      <c r="DH160" s="21">
        <f>EXP(-LN(2)/2)*DH159+(1-EXP(-LN(2)/2))/(LN(2)/2)*DB160*DE160*VLOOKUP('Données projet'!$B$13,Paramètres!$A$1:$I$89,3,0)*0.475*44/12</f>
        <v>2.2138333250986606E-12</v>
      </c>
      <c r="DI160" s="22">
        <f t="shared" si="175"/>
        <v>7.1901739815941665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4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138.02879999999996</v>
      </c>
      <c r="D161" s="11">
        <f t="shared" si="140"/>
        <v>35.845059256813073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1342.1841767192584</v>
      </c>
      <c r="H161" s="67">
        <f t="shared" si="110"/>
        <v>596.16363820561605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3.4106051316484809E-13</v>
      </c>
      <c r="O161" s="13">
        <f>N161*VLOOKUP('Données projet'!$B$9,Paramètres!$A$1:$I$89,3,0)*VLOOKUP('Données projet'!$B$9,Paramètres!$A$1:$I$89,5,0)</f>
        <v>1.9065282685915009E-13</v>
      </c>
      <c r="P161" s="13">
        <f t="shared" si="141"/>
        <v>2.6568987209435707E-12</v>
      </c>
      <c r="Q161" s="20">
        <f t="shared" si="162"/>
        <v>4.959485612423072E-12</v>
      </c>
      <c r="R161" s="59">
        <f t="shared" si="109"/>
        <v>293.33333333333826</v>
      </c>
      <c r="S161" s="59">
        <f ca="1">AVERAGE(OFFSET($R$3,0,0,'Données projet'!$E$9+1,1))-AVERAGE(OFFSET($H$3,0,0,'Données projet'!$E$9+1,1))</f>
        <v>324.69474275039357</v>
      </c>
      <c r="T161" s="59">
        <f t="shared" si="142"/>
        <v>437.68177084535927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31.459308113293005</v>
      </c>
      <c r="AA161" s="21">
        <f>EXP(-LN(2)/25)*AA160+(1-EXP(-LN(2)/25))/(LN(2)/25)*Calculateur!V161*Calculateur!X161*VLOOKUP('Données projet'!$B$9,Paramètres!$A$1:$I$89,3,0)*0.475*44/12</f>
        <v>4.7548612372160246</v>
      </c>
      <c r="AB161" s="21">
        <f>EXP(-LN(2)/2)*AB160+(1-EXP(-LN(2)/2))/(LN(2)/2)*V161*Y161*VLOOKUP('Données projet'!$B$9,Paramètres!$A$1:$I$89,3,0)*0.475*44/12</f>
        <v>2.0318882845606013E-14</v>
      </c>
      <c r="AC161" s="22">
        <f t="shared" si="163"/>
        <v>36.214169350509053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1.1368683772161603E-13</v>
      </c>
      <c r="AJ161" s="13">
        <f>AI161*VLOOKUP('Données projet'!$B$10,Paramètres!$A$1:$I$89,3,0)*VLOOKUP('Données projet'!$B$10,Paramètres!$A$1:$I$89,5,0)</f>
        <v>6.7984728957526396E-14</v>
      </c>
      <c r="AK161" s="13">
        <f t="shared" si="164"/>
        <v>1.0682447123141398E-12</v>
      </c>
      <c r="AL161" s="20">
        <f t="shared" si="165"/>
        <v>1.978932943548152E-12</v>
      </c>
      <c r="AM161" s="59">
        <f t="shared" si="113"/>
        <v>293.3333333333353</v>
      </c>
      <c r="AN161" s="59">
        <f ca="1">AVERAGE(OFFSET($AM$3,0,0,'Données projet'!$E$10+1,1))-AVERAGE(OFFSET($H$3,0,0,'Données projet'!$E$10+1,1))</f>
        <v>214.93913810439858</v>
      </c>
      <c r="AO161" s="59">
        <f t="shared" si="144"/>
        <v>210.65603079265924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19.939839621961593</v>
      </c>
      <c r="AV161" s="21">
        <f>EXP(-LN(2)/25)*AV160+(1-EXP(-LN(2)/25))/(LN(2)/25)*Calculateur!AQ161*Calculateur!AS161*VLOOKUP('Données projet'!$B$10,Paramètres!$A$1:$I$89,3,0)*0.475*44/12</f>
        <v>3.2001563231578656</v>
      </c>
      <c r="AW161" s="21">
        <f>EXP(-LN(2)/2)*AW160+(1-EXP(-LN(2)/2))/(LN(2)/2)*AQ161*AT161*VLOOKUP('Données projet'!$B$10,Paramètres!$A$1:$I$89,3,0)*0.475*44/12</f>
        <v>1.0651291905957104E-13</v>
      </c>
      <c r="AX161" s="21">
        <f t="shared" si="166"/>
        <v>23.139995945119566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2.3999999999999964</v>
      </c>
      <c r="BD161" s="12">
        <f>IF('Données projet'!$A$88&gt;35,BD160+BC161-BL160,IF(A161&lt;'Données projet'!$A$88,$BA$205^A161,IF(A161='Données projet'!$A$88,'Données projet'!$B$88,BD160+BC161-BL160)))</f>
        <v>199.08000000000038</v>
      </c>
      <c r="BE161" s="13">
        <f>BD161*VLOOKUP('Données projet'!$B$11,Paramètres!$A$1:$I$89,3,0)*VLOOKUP('Données projet'!$B$11,Paramètres!$A$1:$I$89,5,0)</f>
        <v>180.12758400000035</v>
      </c>
      <c r="BF161" s="13">
        <f t="shared" si="167"/>
        <v>45.350570085330872</v>
      </c>
      <c r="BG161" s="20">
        <f t="shared" si="168"/>
        <v>392.7077850319518</v>
      </c>
      <c r="BH161" s="59">
        <f t="shared" si="116"/>
        <v>686.04111836528512</v>
      </c>
      <c r="BI161" s="59">
        <f ca="1">AVERAGE(OFFSET($BH$3,0,0,'Données projet'!$E$11+1,1))-AVERAGE(OFFSET($H$3,0,0,'Données projet'!$E$11+1,1))</f>
        <v>507.69556381324213</v>
      </c>
      <c r="BJ161" s="59">
        <f t="shared" si="146"/>
        <v>129.52638237044044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137.98284263393103</v>
      </c>
      <c r="BQ161" s="21">
        <f>EXP(-LN(2)/25)*BQ160+(1-EXP(-LN(2)/25))/(LN(2)/25)*Calculateur!BL161*Calculateur!BN161*VLOOKUP('Données projet'!$B$11,Paramètres!$A$1:$I$89,3,0)*0.475*44/12</f>
        <v>26.832941861389934</v>
      </c>
      <c r="BR161" s="21">
        <f>EXP(-LN(2)/2)*BR160+(1-EXP(-LN(2)/2))/(LN(2)/2)*BL161*BO161*VLOOKUP('Données projet'!$B$11,Paramètres!$A$1:$I$89,3,0)*0.475*44/12</f>
        <v>3.934437375518625</v>
      </c>
      <c r="BS161" s="22">
        <f t="shared" si="169"/>
        <v>168.7502218708396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7.6783333333333319</v>
      </c>
      <c r="BY161" s="12">
        <f>IF('Données projet'!$A$114&gt;35,BY160+BX161-CG160,IF(A161&lt;'Données projet'!$A$114,$BV$205^A161,IF(A161='Données projet'!$A$114,'Données projet'!$B$114,BY160+BX161-CG160)))</f>
        <v>358.86666666666628</v>
      </c>
      <c r="BZ161" s="13">
        <f>BY161*VLOOKUP('Données projet'!$B$12,Paramètres!$A$1:$I$89,3,0)*VLOOKUP('Données projet'!$B$12,Paramètres!$A$1:$I$89,5,0)</f>
        <v>347.09583999999967</v>
      </c>
      <c r="CA161" s="13">
        <f t="shared" si="170"/>
        <v>80.964224852451267</v>
      </c>
      <c r="CB161" s="20">
        <f t="shared" si="171"/>
        <v>745.53794628468529</v>
      </c>
      <c r="CC161" s="59">
        <f t="shared" si="119"/>
        <v>1038.8712796180187</v>
      </c>
      <c r="CD161" s="59">
        <f ca="1">AVERAGE(OFFSET($CC$3,0,0,'Données projet'!$E$12+1,1))-AVERAGE(OFFSET($H$3,0,0,'Données projet'!$E$12+1,1))</f>
        <v>292.52253679467469</v>
      </c>
      <c r="CE161" s="59">
        <f t="shared" si="148"/>
        <v>155.7114133976541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38.571229041918272</v>
      </c>
      <c r="CL161" s="21">
        <f>EXP(-LN(2)/25)*CL160+(1-EXP(-LN(2)/25))/(LN(2)/25)*Calculateur!CG161*Calculateur!CI161*VLOOKUP('Données projet'!$B$12,Paramètres!$A$1:$I$89,3,0)*0.475*44/12</f>
        <v>20.630122227249444</v>
      </c>
      <c r="CM161" s="21">
        <f>EXP(-LN(2)/2)*CM160+(1-EXP(-LN(2)/2))/(LN(2)/2)*CG161*CJ161*VLOOKUP('Données projet'!$B$12,Paramètres!$A$1:$I$89,3,0)*0.475*44/12</f>
        <v>4.4013591842840677E-2</v>
      </c>
      <c r="CN161" s="22">
        <f t="shared" si="172"/>
        <v>59.245364861010557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-1.1368683772161603E-13</v>
      </c>
      <c r="CU161" s="17">
        <f>CT161*VLOOKUP('Données projet'!$B$13,Paramètres!$A$1:$I$89,3,0)*VLOOKUP('Données projet'!$B$13,Paramètres!$A$1:$I$89,5,0)</f>
        <v>-8.8675733422860506E-14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100.54865094989304</v>
      </c>
      <c r="CZ161" s="59">
        <f t="shared" si="150"/>
        <v>99.95654161405389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4.7299139693172396</v>
      </c>
      <c r="DG161" s="21">
        <f>EXP(-LN(2)/25)*DG160+(1-EXP(-LN(2)/25))/(LN(2)/25)*Calculateur!DB161*Calculateur!DD161*VLOOKUP('Données projet'!$B$13,Paramètres!$A$1:$I$89,3,0)*0.475*44/12</f>
        <v>2.3009651841361092</v>
      </c>
      <c r="DH161" s="21">
        <f>EXP(-LN(2)/2)*DH160+(1-EXP(-LN(2)/2))/(LN(2)/2)*DB161*DE161*VLOOKUP('Données projet'!$B$13,Paramètres!$A$1:$I$89,3,0)*0.475*44/12</f>
        <v>1.5654165565940256E-12</v>
      </c>
      <c r="DI161" s="22">
        <f t="shared" si="175"/>
        <v>7.0308791534549142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4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138.90239999999997</v>
      </c>
      <c r="D162" s="11">
        <f t="shared" si="140"/>
        <v>36.045445680666425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1350.4745982367231</v>
      </c>
      <c r="H162" s="67">
        <f t="shared" si="110"/>
        <v>598.03416456049399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3.4106051316484809E-13</v>
      </c>
      <c r="O162" s="13">
        <f>N162*VLOOKUP('Données projet'!$B$9,Paramètres!$A$1:$I$89,3,0)*VLOOKUP('Données projet'!$B$9,Paramètres!$A$1:$I$89,5,0)</f>
        <v>1.9065282685915009E-13</v>
      </c>
      <c r="P162" s="13">
        <f t="shared" si="141"/>
        <v>2.6568987209435707E-12</v>
      </c>
      <c r="Q162" s="20">
        <f t="shared" si="162"/>
        <v>4.959485612423072E-12</v>
      </c>
      <c r="R162" s="59">
        <f t="shared" si="109"/>
        <v>293.33333333333826</v>
      </c>
      <c r="S162" s="59">
        <f ca="1">AVERAGE(OFFSET($R$3,0,0,'Données projet'!$E$9+1,1))-AVERAGE(OFFSET($H$3,0,0,'Données projet'!$E$9+1,1))</f>
        <v>324.69474275039357</v>
      </c>
      <c r="T162" s="59">
        <f t="shared" si="142"/>
        <v>437.68177084535927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30.842410269474591</v>
      </c>
      <c r="AA162" s="21">
        <f>EXP(-LN(2)/25)*AA161+(1-EXP(-LN(2)/25))/(LN(2)/25)*Calculateur!V162*Calculateur!X162*VLOOKUP('Données projet'!$B$9,Paramètres!$A$1:$I$89,3,0)*0.475*44/12</f>
        <v>4.6248393066370674</v>
      </c>
      <c r="AB162" s="21">
        <f>EXP(-LN(2)/2)*AB161+(1-EXP(-LN(2)/2))/(LN(2)/2)*V162*Y162*VLOOKUP('Données projet'!$B$9,Paramètres!$A$1:$I$89,3,0)*0.475*44/12</f>
        <v>1.4367619846263024E-14</v>
      </c>
      <c r="AC162" s="22">
        <f t="shared" si="163"/>
        <v>35.467249576111669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1.1368683772161603E-13</v>
      </c>
      <c r="AJ162" s="13">
        <f>AI162*VLOOKUP('Données projet'!$B$10,Paramètres!$A$1:$I$89,3,0)*VLOOKUP('Données projet'!$B$10,Paramètres!$A$1:$I$89,5,0)</f>
        <v>6.7984728957526396E-14</v>
      </c>
      <c r="AK162" s="13">
        <f t="shared" si="164"/>
        <v>1.0682447123141398E-12</v>
      </c>
      <c r="AL162" s="20">
        <f t="shared" si="165"/>
        <v>1.978932943548152E-12</v>
      </c>
      <c r="AM162" s="59">
        <f t="shared" si="113"/>
        <v>293.3333333333353</v>
      </c>
      <c r="AN162" s="59">
        <f ca="1">AVERAGE(OFFSET($AM$3,0,0,'Données projet'!$E$10+1,1))-AVERAGE(OFFSET($H$3,0,0,'Données projet'!$E$10+1,1))</f>
        <v>214.93913810439858</v>
      </c>
      <c r="AO162" s="59">
        <f t="shared" si="144"/>
        <v>210.65603079265924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19.548831529076189</v>
      </c>
      <c r="AV162" s="21">
        <f>EXP(-LN(2)/25)*AV161+(1-EXP(-LN(2)/25))/(LN(2)/25)*Calculateur!AQ162*Calculateur!AS162*VLOOKUP('Données projet'!$B$10,Paramètres!$A$1:$I$89,3,0)*0.475*44/12</f>
        <v>3.1126478802122066</v>
      </c>
      <c r="AW162" s="21">
        <f>EXP(-LN(2)/2)*AW161+(1-EXP(-LN(2)/2))/(LN(2)/2)*AQ162*AT162*VLOOKUP('Données projet'!$B$10,Paramètres!$A$1:$I$89,3,0)*0.475*44/12</f>
        <v>7.5316007350996548E-14</v>
      </c>
      <c r="AX162" s="21">
        <f t="shared" si="166"/>
        <v>22.661479409288471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>
        <f>VLOOKUP(A162,'Données projet'!$A$87:$I$107,2,0)</f>
        <v>201.48</v>
      </c>
      <c r="BB162" s="12">
        <f>VLOOKUP(A162,'Données projet'!$A$87:$I$107,9,0)</f>
        <v>2.3999999999999964</v>
      </c>
      <c r="BC162" s="12">
        <f t="array" ref="BC162">INDEX(BB:BB,MIN(IF(ISNUMBER(BB162:BB358),ROW(BB162:BB358),"")))</f>
        <v>2.3999999999999964</v>
      </c>
      <c r="BD162" s="12">
        <f>IF('Données projet'!$A$88&gt;35,BD161+BC162-BL161,IF(A162&lt;'Données projet'!$A$88,$BA$205^A162,IF(A162='Données projet'!$A$88,'Données projet'!$B$88,BD161+BC162-BL161)))</f>
        <v>201.48000000000039</v>
      </c>
      <c r="BE162" s="13">
        <f>BD162*VLOOKUP('Données projet'!$B$11,Paramètres!$A$1:$I$89,3,0)*VLOOKUP('Données projet'!$B$11,Paramètres!$A$1:$I$89,5,0)</f>
        <v>182.29910400000034</v>
      </c>
      <c r="BF162" s="13">
        <f t="shared" si="167"/>
        <v>45.833315999864418</v>
      </c>
      <c r="BG162" s="20">
        <f t="shared" si="168"/>
        <v>397.33063149976448</v>
      </c>
      <c r="BH162" s="59">
        <f t="shared" si="116"/>
        <v>690.66396483309779</v>
      </c>
      <c r="BI162" s="59">
        <f ca="1">AVERAGE(OFFSET($BH$3,0,0,'Données projet'!$E$11+1,1))-AVERAGE(OFFSET($H$3,0,0,'Données projet'!$E$11+1,1))</f>
        <v>507.69556381324213</v>
      </c>
      <c r="BJ162" s="59">
        <f t="shared" si="146"/>
        <v>129.52638237044044</v>
      </c>
      <c r="BK162" s="15">
        <f>IF(ISNA(VLOOKUP(A162,'Données projet'!$A$87:$I$107,3,0)),0,VLOOKUP(A162,'Données projet'!$A$87:$I$107,3,0))</f>
        <v>17</v>
      </c>
      <c r="BL162" s="15">
        <f>IF(ISNA(VLOOKUP(A162,'Données projet'!$A$87:$I$107,4,0)),0,VLOOKUP(A162,'Données projet'!$A$87:$I$107,4,0))</f>
        <v>201.48</v>
      </c>
      <c r="BM162" s="16">
        <f>IF(ISNA(VLOOKUP(A162,'Données projet'!$A$87:$I$107,5,0)),0%,VLOOKUP(A162,'Données projet'!$A$87:$I$107,5,0)*VLOOKUP('Données projet'!$B$11,Paramètres!$A$1:$I$89,7,0))</f>
        <v>0.19350000000000001</v>
      </c>
      <c r="BN162" s="16">
        <f>IF(ISNA(VLOOKUP(A162,'Données projet'!$A$87:$I$107,6,0)),0%,VLOOKUP(A162,'Données projet'!$A$87:$I$107,6,0)*VLOOKUP('Données projet'!$B$11,Paramètres!$A$1:$I$89,7,0))</f>
        <v>2.1500000000000002E-2</v>
      </c>
      <c r="BO162" s="16">
        <f>IF(ISNA(VLOOKUP(A162,'Données projet'!$A$87:$I$107,7,0)),0%,VLOOKUP(A162,'Données projet'!$A$87:$I$107,7,0))</f>
        <v>0.05</v>
      </c>
      <c r="BP162" s="21">
        <f>EXP(-LN(2)/35)*BP161+(1-EXP(-LN(2)/35))/(LN(2)/35)*BL162*BM162*VLOOKUP('Données projet'!$B$11,Paramètres!$A$1:$I$89,3,0)*0.475*44/12</f>
        <v>174.27241450061467</v>
      </c>
      <c r="BQ162" s="21">
        <f>EXP(-LN(2)/25)*BQ161+(1-EXP(-LN(2)/25))/(LN(2)/25)*Calculateur!BL162*Calculateur!BN162*VLOOKUP('Données projet'!$B$11,Paramètres!$A$1:$I$89,3,0)*0.475*44/12</f>
        <v>30.414948296440013</v>
      </c>
      <c r="BR162" s="21">
        <f>EXP(-LN(2)/2)*BR161+(1-EXP(-LN(2)/2))/(LN(2)/2)*BL162*BO162*VLOOKUP('Données projet'!$B$11,Paramètres!$A$1:$I$89,3,0)*0.475*44/12</f>
        <v>11.38227290500536</v>
      </c>
      <c r="BS162" s="22">
        <f t="shared" si="169"/>
        <v>216.06963570206003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7.6783333333333319</v>
      </c>
      <c r="BY162" s="12">
        <f>IF('Données projet'!$A$114&gt;35,BY161+BX162-CG161,IF(A162&lt;'Données projet'!$A$114,$BV$205^A162,IF(A162='Données projet'!$A$114,'Données projet'!$B$114,BY161+BX162-CG161)))</f>
        <v>366.54499999999962</v>
      </c>
      <c r="BZ162" s="13">
        <f>BY162*VLOOKUP('Données projet'!$B$12,Paramètres!$A$1:$I$89,3,0)*VLOOKUP('Données projet'!$B$12,Paramètres!$A$1:$I$89,5,0)</f>
        <v>354.52232399999963</v>
      </c>
      <c r="CA162" s="13">
        <f t="shared" si="170"/>
        <v>82.493007805005064</v>
      </c>
      <c r="CB162" s="20">
        <f t="shared" si="171"/>
        <v>761.13503622704968</v>
      </c>
      <c r="CC162" s="59">
        <f t="shared" si="119"/>
        <v>1054.4683695603831</v>
      </c>
      <c r="CD162" s="59">
        <f ca="1">AVERAGE(OFFSET($CC$3,0,0,'Données projet'!$E$12+1,1))-AVERAGE(OFFSET($H$3,0,0,'Données projet'!$E$12+1,1))</f>
        <v>292.52253679467469</v>
      </c>
      <c r="CE162" s="59">
        <f t="shared" si="148"/>
        <v>155.7114133976541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37.814870766532955</v>
      </c>
      <c r="CL162" s="21">
        <f>EXP(-LN(2)/25)*CL161+(1-EXP(-LN(2)/25))/(LN(2)/25)*Calculateur!CG162*Calculateur!CI162*VLOOKUP('Données projet'!$B$12,Paramètres!$A$1:$I$89,3,0)*0.475*44/12</f>
        <v>20.065990450054333</v>
      </c>
      <c r="CM162" s="21">
        <f>EXP(-LN(2)/2)*CM161+(1-EXP(-LN(2)/2))/(LN(2)/2)*CG162*CJ162*VLOOKUP('Données projet'!$B$12,Paramètres!$A$1:$I$89,3,0)*0.475*44/12</f>
        <v>3.1122309256449557E-2</v>
      </c>
      <c r="CN162" s="22">
        <f t="shared" si="172"/>
        <v>57.911983525843738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-1.1368683772161603E-13</v>
      </c>
      <c r="CU162" s="17">
        <f>CT162*VLOOKUP('Données projet'!$B$13,Paramètres!$A$1:$I$89,3,0)*VLOOKUP('Données projet'!$B$13,Paramètres!$A$1:$I$89,5,0)</f>
        <v>-8.8675733422860506E-14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100.54865094989304</v>
      </c>
      <c r="CZ162" s="59">
        <f t="shared" si="150"/>
        <v>99.95654161405389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4.6371632413415833</v>
      </c>
      <c r="DG162" s="21">
        <f>EXP(-LN(2)/25)*DG161+(1-EXP(-LN(2)/25))/(LN(2)/25)*Calculateur!DB162*Calculateur!DD162*VLOOKUP('Données projet'!$B$13,Paramètres!$A$1:$I$89,3,0)*0.475*44/12</f>
        <v>2.238045170173407</v>
      </c>
      <c r="DH162" s="21">
        <f>EXP(-LN(2)/2)*DH161+(1-EXP(-LN(2)/2))/(LN(2)/2)*DB162*DE162*VLOOKUP('Données projet'!$B$13,Paramètres!$A$1:$I$89,3,0)*0.475*44/12</f>
        <v>1.1069166625493303E-12</v>
      </c>
      <c r="DI162" s="22">
        <f t="shared" si="175"/>
        <v>6.8752084115160965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4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139.77599999999998</v>
      </c>
      <c r="D163" s="11">
        <f t="shared" si="140"/>
        <v>36.245685459195286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1358.7638877551917</v>
      </c>
      <c r="H163" s="67">
        <f t="shared" si="110"/>
        <v>599.90443550809846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3.4106051316484809E-13</v>
      </c>
      <c r="O163" s="13">
        <f>N163*VLOOKUP('Données projet'!$B$9,Paramètres!$A$1:$I$89,3,0)*VLOOKUP('Données projet'!$B$9,Paramètres!$A$1:$I$89,5,0)</f>
        <v>1.9065282685915009E-13</v>
      </c>
      <c r="P163" s="13">
        <f t="shared" si="141"/>
        <v>2.6568987209435707E-12</v>
      </c>
      <c r="Q163" s="20">
        <f t="shared" si="162"/>
        <v>4.959485612423072E-12</v>
      </c>
      <c r="R163" s="59">
        <f t="shared" si="109"/>
        <v>293.33333333333826</v>
      </c>
      <c r="S163" s="59">
        <f ca="1">AVERAGE(OFFSET($R$3,0,0,'Données projet'!$E$9+1,1))-AVERAGE(OFFSET($H$3,0,0,'Données projet'!$E$9+1,1))</f>
        <v>324.69474275039357</v>
      </c>
      <c r="T163" s="59">
        <f t="shared" si="142"/>
        <v>437.68177084535927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30.237609416102927</v>
      </c>
      <c r="AA163" s="21">
        <f>EXP(-LN(2)/25)*AA162+(1-EXP(-LN(2)/25))/(LN(2)/25)*Calculateur!V163*Calculateur!X163*VLOOKUP('Données projet'!$B$9,Paramètres!$A$1:$I$89,3,0)*0.475*44/12</f>
        <v>4.4983728325873482</v>
      </c>
      <c r="AB163" s="21">
        <f>EXP(-LN(2)/2)*AB162+(1-EXP(-LN(2)/2))/(LN(2)/2)*V163*Y163*VLOOKUP('Données projet'!$B$9,Paramètres!$A$1:$I$89,3,0)*0.475*44/12</f>
        <v>1.0159441422803006E-14</v>
      </c>
      <c r="AC163" s="22">
        <f t="shared" si="163"/>
        <v>34.735982248690284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1.1368683772161603E-13</v>
      </c>
      <c r="AJ163" s="13">
        <f>AI163*VLOOKUP('Données projet'!$B$10,Paramètres!$A$1:$I$89,3,0)*VLOOKUP('Données projet'!$B$10,Paramètres!$A$1:$I$89,5,0)</f>
        <v>6.7984728957526396E-14</v>
      </c>
      <c r="AK163" s="13">
        <f t="shared" si="164"/>
        <v>1.0682447123141398E-12</v>
      </c>
      <c r="AL163" s="20">
        <f t="shared" si="165"/>
        <v>1.978932943548152E-12</v>
      </c>
      <c r="AM163" s="59">
        <f t="shared" si="113"/>
        <v>293.3333333333353</v>
      </c>
      <c r="AN163" s="59">
        <f ca="1">AVERAGE(OFFSET($AM$3,0,0,'Données projet'!$E$10+1,1))-AVERAGE(OFFSET($H$3,0,0,'Données projet'!$E$10+1,1))</f>
        <v>214.93913810439858</v>
      </c>
      <c r="AO163" s="59">
        <f t="shared" si="144"/>
        <v>210.65603079265924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19.16549086640088</v>
      </c>
      <c r="AV163" s="21">
        <f>EXP(-LN(2)/25)*AV162+(1-EXP(-LN(2)/25))/(LN(2)/25)*Calculateur!AQ163*Calculateur!AS163*VLOOKUP('Données projet'!$B$10,Paramètres!$A$1:$I$89,3,0)*0.475*44/12</f>
        <v>3.027532360240766</v>
      </c>
      <c r="AW163" s="21">
        <f>EXP(-LN(2)/2)*AW162+(1-EXP(-LN(2)/2))/(LN(2)/2)*AQ163*AT163*VLOOKUP('Données projet'!$B$10,Paramètres!$A$1:$I$89,3,0)*0.475*44/12</f>
        <v>5.3256459529785521E-14</v>
      </c>
      <c r="AX163" s="21">
        <f t="shared" si="166"/>
        <v>22.193023226641699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3.979039320256561E-13</v>
      </c>
      <c r="BE163" s="13">
        <f>BD163*VLOOKUP('Données projet'!$B$11,Paramètres!$A$1:$I$89,3,0)*VLOOKUP('Données projet'!$B$11,Paramètres!$A$1:$I$89,5,0)</f>
        <v>3.6002347769681362E-13</v>
      </c>
      <c r="BF163" s="13">
        <f t="shared" si="167"/>
        <v>4.6593569189922594E-12</v>
      </c>
      <c r="BG163" s="20">
        <f t="shared" si="168"/>
        <v>8.7420875242334695E-12</v>
      </c>
      <c r="BH163" s="59">
        <f t="shared" si="116"/>
        <v>293.33333333334207</v>
      </c>
      <c r="BI163" s="59">
        <f ca="1">AVERAGE(OFFSET($BH$3,0,0,'Données projet'!$E$11+1,1))-AVERAGE(OFFSET($H$3,0,0,'Données projet'!$E$11+1,1))</f>
        <v>507.69556381324213</v>
      </c>
      <c r="BJ163" s="59">
        <f t="shared" si="146"/>
        <v>129.52638237044044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170.85503874793463</v>
      </c>
      <c r="BQ163" s="21">
        <f>EXP(-LN(2)/25)*BQ162+(1-EXP(-LN(2)/25))/(LN(2)/25)*Calculateur!BL163*Calculateur!BN163*VLOOKUP('Données projet'!$B$11,Paramètres!$A$1:$I$89,3,0)*0.475*44/12</f>
        <v>29.583249935821243</v>
      </c>
      <c r="BR163" s="21">
        <f>EXP(-LN(2)/2)*BR162+(1-EXP(-LN(2)/2))/(LN(2)/2)*BL163*BO163*VLOOKUP('Données projet'!$B$11,Paramètres!$A$1:$I$89,3,0)*0.475*44/12</f>
        <v>8.0484823564451951</v>
      </c>
      <c r="BS163" s="22">
        <f t="shared" si="169"/>
        <v>208.48677104020106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7.6783333333333319</v>
      </c>
      <c r="BY163" s="12">
        <f>IF('Données projet'!$A$114&gt;35,BY162+BX163-CG162,IF(A163&lt;'Données projet'!$A$114,$BV$205^A163,IF(A163='Données projet'!$A$114,'Données projet'!$B$114,BY162+BX163-CG162)))</f>
        <v>374.22333333333296</v>
      </c>
      <c r="BZ163" s="13">
        <f>BY163*VLOOKUP('Données projet'!$B$12,Paramètres!$A$1:$I$89,3,0)*VLOOKUP('Données projet'!$B$12,Paramètres!$A$1:$I$89,5,0)</f>
        <v>361.94880799999964</v>
      </c>
      <c r="CA163" s="13">
        <f t="shared" si="170"/>
        <v>84.018067331968155</v>
      </c>
      <c r="CB163" s="20">
        <f t="shared" si="171"/>
        <v>776.72564120317713</v>
      </c>
      <c r="CC163" s="59">
        <f t="shared" si="119"/>
        <v>1070.0589745365105</v>
      </c>
      <c r="CD163" s="59">
        <f ca="1">AVERAGE(OFFSET($CC$3,0,0,'Données projet'!$E$12+1,1))-AVERAGE(OFFSET($H$3,0,0,'Données projet'!$E$12+1,1))</f>
        <v>292.52253679467469</v>
      </c>
      <c r="CE163" s="59">
        <f t="shared" si="148"/>
        <v>155.7114133976541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37.07334421559495</v>
      </c>
      <c r="CL163" s="21">
        <f>EXP(-LN(2)/25)*CL162+(1-EXP(-LN(2)/25))/(LN(2)/25)*Calculateur!CG163*Calculateur!CI163*VLOOKUP('Données projet'!$B$12,Paramètres!$A$1:$I$89,3,0)*0.475*44/12</f>
        <v>19.517284885973019</v>
      </c>
      <c r="CM163" s="21">
        <f>EXP(-LN(2)/2)*CM162+(1-EXP(-LN(2)/2))/(LN(2)/2)*CG163*CJ163*VLOOKUP('Données projet'!$B$12,Paramètres!$A$1:$I$89,3,0)*0.475*44/12</f>
        <v>2.2006795921420342E-2</v>
      </c>
      <c r="CN163" s="22">
        <f t="shared" si="172"/>
        <v>56.61263589748939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-1.1368683772161603E-13</v>
      </c>
      <c r="CU163" s="17">
        <f>CT163*VLOOKUP('Données projet'!$B$13,Paramètres!$A$1:$I$89,3,0)*VLOOKUP('Données projet'!$B$13,Paramètres!$A$1:$I$89,5,0)</f>
        <v>-8.8675733422860506E-14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100.54865094989304</v>
      </c>
      <c r="CZ163" s="59">
        <f t="shared" si="150"/>
        <v>99.95654161405389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4.5462312985691717</v>
      </c>
      <c r="DG163" s="21">
        <f>EXP(-LN(2)/25)*DG162+(1-EXP(-LN(2)/25))/(LN(2)/25)*Calculateur!DB163*Calculateur!DD163*VLOOKUP('Données projet'!$B$13,Paramètres!$A$1:$I$89,3,0)*0.475*44/12</f>
        <v>2.176845707301335</v>
      </c>
      <c r="DH163" s="21">
        <f>EXP(-LN(2)/2)*DH162+(1-EXP(-LN(2)/2))/(LN(2)/2)*DB163*DE163*VLOOKUP('Données projet'!$B$13,Paramètres!$A$1:$I$89,3,0)*0.475*44/12</f>
        <v>7.8270827829701279E-13</v>
      </c>
      <c r="DI163" s="22">
        <f t="shared" si="175"/>
        <v>6.7230770058712892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4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140.64959999999999</v>
      </c>
      <c r="D164" s="11">
        <f t="shared" si="140"/>
        <v>36.445779615258601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1367.0520531704171</v>
      </c>
      <c r="H164" s="67">
        <f t="shared" si="110"/>
        <v>601.77445282990868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3.4106051316484809E-13</v>
      </c>
      <c r="O164" s="13">
        <f>N164*VLOOKUP('Données projet'!$B$9,Paramètres!$A$1:$I$89,3,0)*VLOOKUP('Données projet'!$B$9,Paramètres!$A$1:$I$89,5,0)</f>
        <v>1.9065282685915009E-13</v>
      </c>
      <c r="P164" s="13">
        <f t="shared" si="141"/>
        <v>2.6568987209435707E-12</v>
      </c>
      <c r="Q164" s="20">
        <f t="shared" si="162"/>
        <v>4.959485612423072E-12</v>
      </c>
      <c r="R164" s="59">
        <f t="shared" si="109"/>
        <v>293.33333333333826</v>
      </c>
      <c r="S164" s="59">
        <f ca="1">AVERAGE(OFFSET($R$3,0,0,'Données projet'!$E$9+1,1))-AVERAGE(OFFSET($H$3,0,0,'Données projet'!$E$9+1,1))</f>
        <v>324.69474275039357</v>
      </c>
      <c r="T164" s="59">
        <f t="shared" si="142"/>
        <v>437.68177084535927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29.644668338573787</v>
      </c>
      <c r="AA164" s="21">
        <f>EXP(-LN(2)/25)*AA163+(1-EXP(-LN(2)/25))/(LN(2)/25)*Calculateur!V164*Calculateur!X164*VLOOKUP('Données projet'!$B$9,Paramètres!$A$1:$I$89,3,0)*0.475*44/12</f>
        <v>4.3753645909211007</v>
      </c>
      <c r="AB164" s="21">
        <f>EXP(-LN(2)/2)*AB163+(1-EXP(-LN(2)/2))/(LN(2)/2)*V164*Y164*VLOOKUP('Données projet'!$B$9,Paramètres!$A$1:$I$89,3,0)*0.475*44/12</f>
        <v>7.1838099231315122E-15</v>
      </c>
      <c r="AC164" s="22">
        <f t="shared" si="163"/>
        <v>34.020032929494896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1.1368683772161603E-13</v>
      </c>
      <c r="AJ164" s="13">
        <f>AI164*VLOOKUP('Données projet'!$B$10,Paramètres!$A$1:$I$89,3,0)*VLOOKUP('Données projet'!$B$10,Paramètres!$A$1:$I$89,5,0)</f>
        <v>6.7984728957526396E-14</v>
      </c>
      <c r="AK164" s="13">
        <f t="shared" si="164"/>
        <v>1.0682447123141398E-12</v>
      </c>
      <c r="AL164" s="20">
        <f t="shared" si="165"/>
        <v>1.978932943548152E-12</v>
      </c>
      <c r="AM164" s="59">
        <f t="shared" si="113"/>
        <v>293.3333333333353</v>
      </c>
      <c r="AN164" s="59">
        <f ca="1">AVERAGE(OFFSET($AM$3,0,0,'Données projet'!$E$10+1,1))-AVERAGE(OFFSET($H$3,0,0,'Données projet'!$E$10+1,1))</f>
        <v>214.93913810439858</v>
      </c>
      <c r="AO164" s="59">
        <f t="shared" si="144"/>
        <v>210.65603079265924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18.789667280305917</v>
      </c>
      <c r="AV164" s="21">
        <f>EXP(-LN(2)/25)*AV163+(1-EXP(-LN(2)/25))/(LN(2)/25)*Calculateur!AQ164*Calculateur!AS164*VLOOKUP('Données projet'!$B$10,Paramètres!$A$1:$I$89,3,0)*0.475*44/12</f>
        <v>2.9447443286389747</v>
      </c>
      <c r="AW164" s="21">
        <f>EXP(-LN(2)/2)*AW163+(1-EXP(-LN(2)/2))/(LN(2)/2)*AQ164*AT164*VLOOKUP('Données projet'!$B$10,Paramètres!$A$1:$I$89,3,0)*0.475*44/12</f>
        <v>3.7658003675498274E-14</v>
      </c>
      <c r="AX164" s="21">
        <f t="shared" si="166"/>
        <v>21.734411608944932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3.979039320256561E-13</v>
      </c>
      <c r="BE164" s="13">
        <f>BD164*VLOOKUP('Données projet'!$B$11,Paramètres!$A$1:$I$89,3,0)*VLOOKUP('Données projet'!$B$11,Paramètres!$A$1:$I$89,5,0)</f>
        <v>3.6002347769681362E-13</v>
      </c>
      <c r="BF164" s="13">
        <f t="shared" si="167"/>
        <v>4.6593569189922594E-12</v>
      </c>
      <c r="BG164" s="20">
        <f t="shared" si="168"/>
        <v>8.7420875242334695E-12</v>
      </c>
      <c r="BH164" s="59">
        <f t="shared" si="116"/>
        <v>293.33333333334207</v>
      </c>
      <c r="BI164" s="59">
        <f ca="1">AVERAGE(OFFSET($BH$3,0,0,'Données projet'!$E$11+1,1))-AVERAGE(OFFSET($H$3,0,0,'Données projet'!$E$11+1,1))</f>
        <v>507.69556381324213</v>
      </c>
      <c r="BJ164" s="59">
        <f t="shared" si="146"/>
        <v>129.52638237044044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167.50467564937125</v>
      </c>
      <c r="BQ164" s="21">
        <f>EXP(-LN(2)/25)*BQ163+(1-EXP(-LN(2)/25))/(LN(2)/25)*Calculateur!BL164*Calculateur!BN164*VLOOKUP('Données projet'!$B$11,Paramètres!$A$1:$I$89,3,0)*0.475*44/12</f>
        <v>28.774294410610711</v>
      </c>
      <c r="BR164" s="21">
        <f>EXP(-LN(2)/2)*BR163+(1-EXP(-LN(2)/2))/(LN(2)/2)*BL164*BO164*VLOOKUP('Données projet'!$B$11,Paramètres!$A$1:$I$89,3,0)*0.475*44/12</f>
        <v>5.6911364525026817</v>
      </c>
      <c r="BS164" s="22">
        <f t="shared" si="169"/>
        <v>201.97010651248465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7.6783333333333319</v>
      </c>
      <c r="BY164" s="12">
        <f>IF('Données projet'!$A$114&gt;35,BY163+BX164-CG163,IF(A164&lt;'Données projet'!$A$114,$BV$205^A164,IF(A164='Données projet'!$A$114,'Données projet'!$B$114,BY163+BX164-CG163)))</f>
        <v>381.9016666666663</v>
      </c>
      <c r="BZ164" s="13">
        <f>BY164*VLOOKUP('Données projet'!$B$12,Paramètres!$A$1:$I$89,3,0)*VLOOKUP('Données projet'!$B$12,Paramètres!$A$1:$I$89,5,0)</f>
        <v>369.37529199999966</v>
      </c>
      <c r="CA164" s="13">
        <f t="shared" si="170"/>
        <v>85.539488633737008</v>
      </c>
      <c r="CB164" s="20">
        <f t="shared" si="171"/>
        <v>792.309909603758</v>
      </c>
      <c r="CC164" s="59">
        <f t="shared" si="119"/>
        <v>1085.6432429370914</v>
      </c>
      <c r="CD164" s="59">
        <f ca="1">AVERAGE(OFFSET($CC$3,0,0,'Données projet'!$E$12+1,1))-AVERAGE(OFFSET($H$3,0,0,'Données projet'!$E$12+1,1))</f>
        <v>292.52253679467469</v>
      </c>
      <c r="CE164" s="59">
        <f t="shared" si="148"/>
        <v>155.7114133976541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36.346358548034303</v>
      </c>
      <c r="CL164" s="21">
        <f>EXP(-LN(2)/25)*CL163+(1-EXP(-LN(2)/25))/(LN(2)/25)*Calculateur!CG164*Calculateur!CI164*VLOOKUP('Données projet'!$B$12,Paramètres!$A$1:$I$89,3,0)*0.475*44/12</f>
        <v>18.983583704396683</v>
      </c>
      <c r="CM164" s="21">
        <f>EXP(-LN(2)/2)*CM163+(1-EXP(-LN(2)/2))/(LN(2)/2)*CG164*CJ164*VLOOKUP('Données projet'!$B$12,Paramètres!$A$1:$I$89,3,0)*0.475*44/12</f>
        <v>1.5561154628224782E-2</v>
      </c>
      <c r="CN164" s="22">
        <f t="shared" si="172"/>
        <v>55.345503407059205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-1.1368683772161603E-13</v>
      </c>
      <c r="CU164" s="17">
        <f>CT164*VLOOKUP('Données projet'!$B$13,Paramètres!$A$1:$I$89,3,0)*VLOOKUP('Données projet'!$B$13,Paramètres!$A$1:$I$89,5,0)</f>
        <v>-8.8675733422860506E-14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100.54865094989304</v>
      </c>
      <c r="CZ164" s="59">
        <f t="shared" si="150"/>
        <v>99.95654161405389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4.4570824757315188</v>
      </c>
      <c r="DG164" s="21">
        <f>EXP(-LN(2)/25)*DG163+(1-EXP(-LN(2)/25))/(LN(2)/25)*Calculateur!DB164*Calculateur!DD164*VLOOKUP('Données projet'!$B$13,Paramètres!$A$1:$I$89,3,0)*0.475*44/12</f>
        <v>2.1173197469598395</v>
      </c>
      <c r="DH164" s="21">
        <f>EXP(-LN(2)/2)*DH163+(1-EXP(-LN(2)/2))/(LN(2)/2)*DB164*DE164*VLOOKUP('Données projet'!$B$13,Paramètres!$A$1:$I$89,3,0)*0.475*44/12</f>
        <v>5.5345833127466516E-13</v>
      </c>
      <c r="DI164" s="22">
        <f t="shared" si="175"/>
        <v>6.5744022226919112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4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141.5232</v>
      </c>
      <c r="D165" s="11">
        <f t="shared" si="140"/>
        <v>36.645729158274158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1375.339102274397</v>
      </c>
      <c r="H165" s="67">
        <f t="shared" si="110"/>
        <v>603.64421828399406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3.4106051316484809E-13</v>
      </c>
      <c r="O165" s="13">
        <f>N165*VLOOKUP('Données projet'!$B$9,Paramètres!$A$1:$I$89,3,0)*VLOOKUP('Données projet'!$B$9,Paramètres!$A$1:$I$89,5,0)</f>
        <v>1.9065282685915009E-13</v>
      </c>
      <c r="P165" s="13">
        <f t="shared" si="141"/>
        <v>2.6568987209435707E-12</v>
      </c>
      <c r="Q165" s="20">
        <f t="shared" si="162"/>
        <v>4.959485612423072E-12</v>
      </c>
      <c r="R165" s="59">
        <f t="shared" si="109"/>
        <v>293.33333333333826</v>
      </c>
      <c r="S165" s="59">
        <f ca="1">AVERAGE(OFFSET($R$3,0,0,'Données projet'!$E$9+1,1))-AVERAGE(OFFSET($H$3,0,0,'Données projet'!$E$9+1,1))</f>
        <v>324.69474275039357</v>
      </c>
      <c r="T165" s="59">
        <f t="shared" si="142"/>
        <v>437.68177084535927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29.063354473916647</v>
      </c>
      <c r="AA165" s="21">
        <f>EXP(-LN(2)/25)*AA164+(1-EXP(-LN(2)/25))/(LN(2)/25)*Calculateur!V165*Calculateur!X165*VLOOKUP('Données projet'!$B$9,Paramètres!$A$1:$I$89,3,0)*0.475*44/12</f>
        <v>4.2557200160919395</v>
      </c>
      <c r="AB165" s="21">
        <f>EXP(-LN(2)/2)*AB164+(1-EXP(-LN(2)/2))/(LN(2)/2)*V165*Y165*VLOOKUP('Données projet'!$B$9,Paramètres!$A$1:$I$89,3,0)*0.475*44/12</f>
        <v>5.0797207114015032E-15</v>
      </c>
      <c r="AC165" s="22">
        <f t="shared" si="163"/>
        <v>33.319074490008596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1.1368683772161603E-13</v>
      </c>
      <c r="AJ165" s="13">
        <f>AI165*VLOOKUP('Données projet'!$B$10,Paramètres!$A$1:$I$89,3,0)*VLOOKUP('Données projet'!$B$10,Paramètres!$A$1:$I$89,5,0)</f>
        <v>6.7984728957526396E-14</v>
      </c>
      <c r="AK165" s="13">
        <f t="shared" si="164"/>
        <v>1.0682447123141398E-12</v>
      </c>
      <c r="AL165" s="20">
        <f t="shared" si="165"/>
        <v>1.978932943548152E-12</v>
      </c>
      <c r="AM165" s="59">
        <f t="shared" si="113"/>
        <v>293.3333333333353</v>
      </c>
      <c r="AN165" s="59">
        <f ca="1">AVERAGE(OFFSET($AM$3,0,0,'Données projet'!$E$10+1,1))-AVERAGE(OFFSET($H$3,0,0,'Données projet'!$E$10+1,1))</f>
        <v>214.93913810439858</v>
      </c>
      <c r="AO165" s="59">
        <f t="shared" si="144"/>
        <v>210.65603079265924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18.421213365504521</v>
      </c>
      <c r="AV165" s="21">
        <f>EXP(-LN(2)/25)*AV164+(1-EXP(-LN(2)/25))/(LN(2)/25)*Calculateur!AQ165*Calculateur!AS165*VLOOKUP('Données projet'!$B$10,Paramètres!$A$1:$I$89,3,0)*0.475*44/12</f>
        <v>2.8642201401149681</v>
      </c>
      <c r="AW165" s="21">
        <f>EXP(-LN(2)/2)*AW164+(1-EXP(-LN(2)/2))/(LN(2)/2)*AQ165*AT165*VLOOKUP('Données projet'!$B$10,Paramètres!$A$1:$I$89,3,0)*0.475*44/12</f>
        <v>2.6628229764892761E-14</v>
      </c>
      <c r="AX165" s="21">
        <f t="shared" si="166"/>
        <v>21.285433505619512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3.979039320256561E-13</v>
      </c>
      <c r="BE165" s="13">
        <f>BD165*VLOOKUP('Données projet'!$B$11,Paramètres!$A$1:$I$89,3,0)*VLOOKUP('Données projet'!$B$11,Paramètres!$A$1:$I$89,5,0)</f>
        <v>3.6002347769681362E-13</v>
      </c>
      <c r="BF165" s="13">
        <f t="shared" si="167"/>
        <v>4.6593569189922594E-12</v>
      </c>
      <c r="BG165" s="20">
        <f t="shared" si="168"/>
        <v>8.7420875242334695E-12</v>
      </c>
      <c r="BH165" s="59">
        <f t="shared" si="116"/>
        <v>293.33333333334207</v>
      </c>
      <c r="BI165" s="59">
        <f ca="1">AVERAGE(OFFSET($BH$3,0,0,'Données projet'!$E$11+1,1))-AVERAGE(OFFSET($H$3,0,0,'Données projet'!$E$11+1,1))</f>
        <v>507.69556381324213</v>
      </c>
      <c r="BJ165" s="59">
        <f t="shared" si="146"/>
        <v>129.52638237044044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164.22001112765099</v>
      </c>
      <c r="BQ165" s="21">
        <f>EXP(-LN(2)/25)*BQ164+(1-EXP(-LN(2)/25))/(LN(2)/25)*Calculateur!BL165*Calculateur!BN165*VLOOKUP('Données projet'!$B$11,Paramètres!$A$1:$I$89,3,0)*0.475*44/12</f>
        <v>27.987459816778184</v>
      </c>
      <c r="BR165" s="21">
        <f>EXP(-LN(2)/2)*BR164+(1-EXP(-LN(2)/2))/(LN(2)/2)*BL165*BO165*VLOOKUP('Données projet'!$B$11,Paramètres!$A$1:$I$89,3,0)*0.475*44/12</f>
        <v>4.0242411782225984</v>
      </c>
      <c r="BS165" s="22">
        <f t="shared" si="169"/>
        <v>196.2317121226518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7.6783333333333319</v>
      </c>
      <c r="BY165" s="12">
        <f>IF('Données projet'!$A$114&gt;35,BY164+BX165-CG164,IF(A165&lt;'Données projet'!$A$114,$BV$205^A165,IF(A165='Données projet'!$A$114,'Données projet'!$B$114,BY164+BX165-CG164)))</f>
        <v>389.57999999999964</v>
      </c>
      <c r="BZ165" s="13">
        <f>BY165*VLOOKUP('Données projet'!$B$12,Paramètres!$A$1:$I$89,3,0)*VLOOKUP('Données projet'!$B$12,Paramètres!$A$1:$I$89,5,0)</f>
        <v>376.80177599999968</v>
      </c>
      <c r="CA165" s="13">
        <f t="shared" si="170"/>
        <v>87.057353288824828</v>
      </c>
      <c r="CB165" s="20">
        <f t="shared" si="171"/>
        <v>807.88798351136938</v>
      </c>
      <c r="CC165" s="59">
        <f t="shared" si="119"/>
        <v>1101.2213168447026</v>
      </c>
      <c r="CD165" s="59">
        <f ca="1">AVERAGE(OFFSET($CC$3,0,0,'Données projet'!$E$12+1,1))-AVERAGE(OFFSET($H$3,0,0,'Données projet'!$E$12+1,1))</f>
        <v>292.52253679467469</v>
      </c>
      <c r="CE165" s="59">
        <f t="shared" si="148"/>
        <v>155.7114133976541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35.633628625997048</v>
      </c>
      <c r="CL165" s="21">
        <f>EXP(-LN(2)/25)*CL164+(1-EXP(-LN(2)/25))/(LN(2)/25)*Calculateur!CG165*Calculateur!CI165*VLOOKUP('Données projet'!$B$12,Paramètres!$A$1:$I$89,3,0)*0.475*44/12</f>
        <v>18.464476609696675</v>
      </c>
      <c r="CM165" s="21">
        <f>EXP(-LN(2)/2)*CM164+(1-EXP(-LN(2)/2))/(LN(2)/2)*CG165*CJ165*VLOOKUP('Données projet'!$B$12,Paramètres!$A$1:$I$89,3,0)*0.475*44/12</f>
        <v>1.1003397960710173E-2</v>
      </c>
      <c r="CN165" s="22">
        <f t="shared" si="172"/>
        <v>54.109108633654429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-1.1368683772161603E-13</v>
      </c>
      <c r="CU165" s="17">
        <f>CT165*VLOOKUP('Données projet'!$B$13,Paramètres!$A$1:$I$89,3,0)*VLOOKUP('Données projet'!$B$13,Paramètres!$A$1:$I$89,5,0)</f>
        <v>-8.8675733422860506E-14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100.54865094989304</v>
      </c>
      <c r="CZ165" s="59">
        <f t="shared" si="150"/>
        <v>99.95654161405389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4.3696818069342989</v>
      </c>
      <c r="DG165" s="21">
        <f>EXP(-LN(2)/25)*DG164+(1-EXP(-LN(2)/25))/(LN(2)/25)*Calculateur!DB165*Calculateur!DD165*VLOOKUP('Données projet'!$B$13,Paramètres!$A$1:$I$89,3,0)*0.475*44/12</f>
        <v>2.0594215271342162</v>
      </c>
      <c r="DH165" s="21">
        <f>EXP(-LN(2)/2)*DH164+(1-EXP(-LN(2)/2))/(LN(2)/2)*DB165*DE165*VLOOKUP('Données projet'!$B$13,Paramètres!$A$1:$I$89,3,0)*0.475*44/12</f>
        <v>3.913541391485064E-13</v>
      </c>
      <c r="DI165" s="22">
        <f t="shared" si="175"/>
        <v>6.4291033340689063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4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142.39680000000001</v>
      </c>
      <c r="D166" s="11">
        <f t="shared" si="140"/>
        <v>36.845535084476985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1383.6250427573666</v>
      </c>
      <c r="H166" s="67">
        <f t="shared" si="110"/>
        <v>605.51373360546404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3.4106051316484809E-13</v>
      </c>
      <c r="O166" s="13">
        <f>N166*VLOOKUP('Données projet'!$B$9,Paramètres!$A$1:$I$89,3,0)*VLOOKUP('Données projet'!$B$9,Paramètres!$A$1:$I$89,5,0)</f>
        <v>1.9065282685915009E-13</v>
      </c>
      <c r="P166" s="13">
        <f t="shared" si="141"/>
        <v>2.6568987209435707E-12</v>
      </c>
      <c r="Q166" s="20">
        <f t="shared" si="162"/>
        <v>4.959485612423072E-12</v>
      </c>
      <c r="R166" s="59">
        <f t="shared" si="109"/>
        <v>293.33333333333826</v>
      </c>
      <c r="S166" s="59">
        <f ca="1">AVERAGE(OFFSET($R$3,0,0,'Données projet'!$E$9+1,1))-AVERAGE(OFFSET($H$3,0,0,'Données projet'!$E$9+1,1))</f>
        <v>324.69474275039357</v>
      </c>
      <c r="T166" s="59">
        <f t="shared" si="142"/>
        <v>437.68177084535927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28.493439819578985</v>
      </c>
      <c r="AA166" s="21">
        <f>EXP(-LN(2)/25)*AA165+(1-EXP(-LN(2)/25))/(LN(2)/25)*Calculateur!V166*Calculateur!X166*VLOOKUP('Données projet'!$B$9,Paramètres!$A$1:$I$89,3,0)*0.475*44/12</f>
        <v>4.1393471284533163</v>
      </c>
      <c r="AB166" s="21">
        <f>EXP(-LN(2)/2)*AB165+(1-EXP(-LN(2)/2))/(LN(2)/2)*V166*Y166*VLOOKUP('Données projet'!$B$9,Paramètres!$A$1:$I$89,3,0)*0.475*44/12</f>
        <v>3.5919049615657561E-15</v>
      </c>
      <c r="AC166" s="22">
        <f t="shared" si="163"/>
        <v>32.632786948032312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1.1368683772161603E-13</v>
      </c>
      <c r="AJ166" s="13">
        <f>AI166*VLOOKUP('Données projet'!$B$10,Paramètres!$A$1:$I$89,3,0)*VLOOKUP('Données projet'!$B$10,Paramètres!$A$1:$I$89,5,0)</f>
        <v>6.7984728957526396E-14</v>
      </c>
      <c r="AK166" s="13">
        <f t="shared" si="164"/>
        <v>1.0682447123141398E-12</v>
      </c>
      <c r="AL166" s="20">
        <f t="shared" si="165"/>
        <v>1.978932943548152E-12</v>
      </c>
      <c r="AM166" s="59">
        <f t="shared" si="113"/>
        <v>293.3333333333353</v>
      </c>
      <c r="AN166" s="59">
        <f ca="1">AVERAGE(OFFSET($AM$3,0,0,'Données projet'!$E$10+1,1))-AVERAGE(OFFSET($H$3,0,0,'Données projet'!$E$10+1,1))</f>
        <v>214.93913810439858</v>
      </c>
      <c r="AO166" s="59">
        <f t="shared" si="144"/>
        <v>210.65603079265924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18.059984607237684</v>
      </c>
      <c r="AV166" s="21">
        <f>EXP(-LN(2)/25)*AV165+(1-EXP(-LN(2)/25))/(LN(2)/25)*Calculateur!AQ166*Calculateur!AS166*VLOOKUP('Données projet'!$B$10,Paramètres!$A$1:$I$89,3,0)*0.475*44/12</f>
        <v>2.7858978897607334</v>
      </c>
      <c r="AW166" s="21">
        <f>EXP(-LN(2)/2)*AW165+(1-EXP(-LN(2)/2))/(LN(2)/2)*AQ166*AT166*VLOOKUP('Données projet'!$B$10,Paramètres!$A$1:$I$89,3,0)*0.475*44/12</f>
        <v>1.8829001837749137E-14</v>
      </c>
      <c r="AX166" s="21">
        <f t="shared" si="166"/>
        <v>20.845882496998435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3.979039320256561E-13</v>
      </c>
      <c r="BE166" s="13">
        <f>BD166*VLOOKUP('Données projet'!$B$11,Paramètres!$A$1:$I$89,3,0)*VLOOKUP('Données projet'!$B$11,Paramètres!$A$1:$I$89,5,0)</f>
        <v>3.6002347769681362E-13</v>
      </c>
      <c r="BF166" s="13">
        <f t="shared" si="167"/>
        <v>4.6593569189922594E-12</v>
      </c>
      <c r="BG166" s="20">
        <f t="shared" si="168"/>
        <v>8.7420875242334695E-12</v>
      </c>
      <c r="BH166" s="59">
        <f t="shared" si="116"/>
        <v>293.33333333334207</v>
      </c>
      <c r="BI166" s="59">
        <f ca="1">AVERAGE(OFFSET($BH$3,0,0,'Données projet'!$E$11+1,1))-AVERAGE(OFFSET($H$3,0,0,'Données projet'!$E$11+1,1))</f>
        <v>507.69556381324213</v>
      </c>
      <c r="BJ166" s="59">
        <f t="shared" si="146"/>
        <v>129.52638237044044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160.99975687375414</v>
      </c>
      <c r="BQ166" s="21">
        <f>EXP(-LN(2)/25)*BQ165+(1-EXP(-LN(2)/25))/(LN(2)/25)*Calculateur!BL166*Calculateur!BN166*VLOOKUP('Données projet'!$B$11,Paramètres!$A$1:$I$89,3,0)*0.475*44/12</f>
        <v>27.222141256291838</v>
      </c>
      <c r="BR166" s="21">
        <f>EXP(-LN(2)/2)*BR165+(1-EXP(-LN(2)/2))/(LN(2)/2)*BL166*BO166*VLOOKUP('Données projet'!$B$11,Paramètres!$A$1:$I$89,3,0)*0.475*44/12</f>
        <v>2.8455682262513413</v>
      </c>
      <c r="BS166" s="22">
        <f t="shared" si="169"/>
        <v>191.06746635629733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7.6783333333333319</v>
      </c>
      <c r="BY166" s="12">
        <f>IF('Données projet'!$A$114&gt;35,BY165+BX166-CG165,IF(A166&lt;'Données projet'!$A$114,$BV$205^A166,IF(A166='Données projet'!$A$114,'Données projet'!$B$114,BY165+BX166-CG165)))</f>
        <v>397.25833333333298</v>
      </c>
      <c r="BZ166" s="13">
        <f>BY166*VLOOKUP('Données projet'!$B$12,Paramètres!$A$1:$I$89,3,0)*VLOOKUP('Données projet'!$B$12,Paramètres!$A$1:$I$89,5,0)</f>
        <v>384.22825999999969</v>
      </c>
      <c r="CA166" s="13">
        <f t="shared" si="170"/>
        <v>88.571739476126965</v>
      </c>
      <c r="CB166" s="20">
        <f t="shared" si="171"/>
        <v>823.45999908758722</v>
      </c>
      <c r="CC166" s="59">
        <f t="shared" si="119"/>
        <v>1116.7933324209205</v>
      </c>
      <c r="CD166" s="59">
        <f ca="1">AVERAGE(OFFSET($CC$3,0,0,'Données projet'!$E$12+1,1))-AVERAGE(OFFSET($H$3,0,0,'Données projet'!$E$12+1,1))</f>
        <v>292.52253679467469</v>
      </c>
      <c r="CE166" s="59">
        <f t="shared" si="148"/>
        <v>155.7114133976541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34.93487490300862</v>
      </c>
      <c r="CL166" s="21">
        <f>EXP(-LN(2)/25)*CL165+(1-EXP(-LN(2)/25))/(LN(2)/25)*Calculateur!CG166*Calculateur!CI166*VLOOKUP('Données projet'!$B$12,Paramètres!$A$1:$I$89,3,0)*0.475*44/12</f>
        <v>17.959564525799895</v>
      </c>
      <c r="CM166" s="21">
        <f>EXP(-LN(2)/2)*CM165+(1-EXP(-LN(2)/2))/(LN(2)/2)*CG166*CJ166*VLOOKUP('Données projet'!$B$12,Paramètres!$A$1:$I$89,3,0)*0.475*44/12</f>
        <v>7.7805773141123918E-3</v>
      </c>
      <c r="CN166" s="22">
        <f t="shared" si="172"/>
        <v>52.902220006122626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-1.1368683772161603E-13</v>
      </c>
      <c r="CU166" s="17">
        <f>CT166*VLOOKUP('Données projet'!$B$13,Paramètres!$A$1:$I$89,3,0)*VLOOKUP('Données projet'!$B$13,Paramètres!$A$1:$I$89,5,0)</f>
        <v>-8.8675733422860506E-14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100.54865094989304</v>
      </c>
      <c r="CZ166" s="59">
        <f t="shared" si="150"/>
        <v>99.95654161405389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4.2839950119430483</v>
      </c>
      <c r="DG166" s="21">
        <f>EXP(-LN(2)/25)*DG165+(1-EXP(-LN(2)/25))/(LN(2)/25)*Calculateur!DB166*Calculateur!DD166*VLOOKUP('Données projet'!$B$13,Paramètres!$A$1:$I$89,3,0)*0.475*44/12</f>
        <v>2.0031065371744599</v>
      </c>
      <c r="DH166" s="21">
        <f>EXP(-LN(2)/2)*DH165+(1-EXP(-LN(2)/2))/(LN(2)/2)*DB166*DE166*VLOOKUP('Données projet'!$B$13,Paramètres!$A$1:$I$89,3,0)*0.475*44/12</f>
        <v>2.7672916563733258E-13</v>
      </c>
      <c r="DI166" s="22">
        <f t="shared" si="175"/>
        <v>6.2871015491177857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4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143.27040000000002</v>
      </c>
      <c r="D167" s="11">
        <f t="shared" si="140"/>
        <v>37.045198377171303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1391.9098822097437</v>
      </c>
      <c r="H167" s="67">
        <f t="shared" si="110"/>
        <v>607.38300050690668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3.4106051316484809E-13</v>
      </c>
      <c r="O167" s="13">
        <f>N167*VLOOKUP('Données projet'!$B$9,Paramètres!$A$1:$I$89,3,0)*VLOOKUP('Données projet'!$B$9,Paramètres!$A$1:$I$89,5,0)</f>
        <v>1.9065282685915009E-13</v>
      </c>
      <c r="P167" s="13">
        <f t="shared" si="141"/>
        <v>2.6568987209435707E-12</v>
      </c>
      <c r="Q167" s="20">
        <f t="shared" si="162"/>
        <v>4.959485612423072E-12</v>
      </c>
      <c r="R167" s="59">
        <f t="shared" si="109"/>
        <v>293.33333333333826</v>
      </c>
      <c r="S167" s="59">
        <f ca="1">AVERAGE(OFFSET($R$3,0,0,'Données projet'!$E$9+1,1))-AVERAGE(OFFSET($H$3,0,0,'Données projet'!$E$9+1,1))</f>
        <v>324.69474275039357</v>
      </c>
      <c r="T167" s="59">
        <f t="shared" si="142"/>
        <v>437.68177084535927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27.93470084399927</v>
      </c>
      <c r="AA167" s="21">
        <f>EXP(-LN(2)/25)*AA166+(1-EXP(-LN(2)/25))/(LN(2)/25)*Calculateur!V167*Calculateur!X167*VLOOKUP('Données projet'!$B$9,Paramètres!$A$1:$I$89,3,0)*0.475*44/12</f>
        <v>4.0261564635469558</v>
      </c>
      <c r="AB167" s="21">
        <f>EXP(-LN(2)/2)*AB166+(1-EXP(-LN(2)/2))/(LN(2)/2)*V167*Y167*VLOOKUP('Données projet'!$B$9,Paramètres!$A$1:$I$89,3,0)*0.475*44/12</f>
        <v>2.5398603557007516E-15</v>
      </c>
      <c r="AC167" s="22">
        <f t="shared" si="163"/>
        <v>31.960857307546231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1.1368683772161603E-13</v>
      </c>
      <c r="AJ167" s="13">
        <f>AI167*VLOOKUP('Données projet'!$B$10,Paramètres!$A$1:$I$89,3,0)*VLOOKUP('Données projet'!$B$10,Paramètres!$A$1:$I$89,5,0)</f>
        <v>6.7984728957526396E-14</v>
      </c>
      <c r="AK167" s="13">
        <f t="shared" si="164"/>
        <v>1.0682447123141398E-12</v>
      </c>
      <c r="AL167" s="20">
        <f t="shared" si="165"/>
        <v>1.978932943548152E-12</v>
      </c>
      <c r="AM167" s="59">
        <f t="shared" si="113"/>
        <v>293.3333333333353</v>
      </c>
      <c r="AN167" s="59">
        <f ca="1">AVERAGE(OFFSET($AM$3,0,0,'Données projet'!$E$10+1,1))-AVERAGE(OFFSET($H$3,0,0,'Données projet'!$E$10+1,1))</f>
        <v>214.93913810439858</v>
      </c>
      <c r="AO167" s="59">
        <f t="shared" si="144"/>
        <v>210.65603079265924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17.705839324592674</v>
      </c>
      <c r="AV167" s="21">
        <f>EXP(-LN(2)/25)*AV166+(1-EXP(-LN(2)/25))/(LN(2)/25)*Calculateur!AQ167*Calculateur!AS167*VLOOKUP('Données projet'!$B$10,Paramètres!$A$1:$I$89,3,0)*0.475*44/12</f>
        <v>2.7097173654612234</v>
      </c>
      <c r="AW167" s="21">
        <f>EXP(-LN(2)/2)*AW166+(1-EXP(-LN(2)/2))/(LN(2)/2)*AQ167*AT167*VLOOKUP('Données projet'!$B$10,Paramètres!$A$1:$I$89,3,0)*0.475*44/12</f>
        <v>1.331411488244638E-14</v>
      </c>
      <c r="AX167" s="21">
        <f t="shared" si="166"/>
        <v>20.415556690053911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3.979039320256561E-13</v>
      </c>
      <c r="BE167" s="13">
        <f>BD167*VLOOKUP('Données projet'!$B$11,Paramètres!$A$1:$I$89,3,0)*VLOOKUP('Données projet'!$B$11,Paramètres!$A$1:$I$89,5,0)</f>
        <v>3.6002347769681362E-13</v>
      </c>
      <c r="BF167" s="13">
        <f t="shared" si="167"/>
        <v>4.6593569189922594E-12</v>
      </c>
      <c r="BG167" s="20">
        <f t="shared" si="168"/>
        <v>8.7420875242334695E-12</v>
      </c>
      <c r="BH167" s="59">
        <f t="shared" si="116"/>
        <v>293.33333333334207</v>
      </c>
      <c r="BI167" s="59">
        <f ca="1">AVERAGE(OFFSET($BH$3,0,0,'Données projet'!$E$11+1,1))-AVERAGE(OFFSET($H$3,0,0,'Données projet'!$E$11+1,1))</f>
        <v>507.69556381324213</v>
      </c>
      <c r="BJ167" s="59">
        <f t="shared" si="146"/>
        <v>129.52638237044044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157.84264984161504</v>
      </c>
      <c r="BQ167" s="21">
        <f>EXP(-LN(2)/25)*BQ166+(1-EXP(-LN(2)/25))/(LN(2)/25)*Calculateur!BL167*Calculateur!BN167*VLOOKUP('Données projet'!$B$11,Paramètres!$A$1:$I$89,3,0)*0.475*44/12</f>
        <v>26.477750372088344</v>
      </c>
      <c r="BR167" s="21">
        <f>EXP(-LN(2)/2)*BR166+(1-EXP(-LN(2)/2))/(LN(2)/2)*BL167*BO167*VLOOKUP('Données projet'!$B$11,Paramètres!$A$1:$I$89,3,0)*0.475*44/12</f>
        <v>2.0121205891112997</v>
      </c>
      <c r="BS167" s="22">
        <f t="shared" si="169"/>
        <v>186.33252080281468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7.6783333333333319</v>
      </c>
      <c r="BY167" s="12">
        <f>IF('Données projet'!$A$114&gt;35,BY166+BX167-CG166,IF(A167&lt;'Données projet'!$A$114,$BV$205^A167,IF(A167='Données projet'!$A$114,'Données projet'!$B$114,BY166+BX167-CG166)))</f>
        <v>404.93666666666633</v>
      </c>
      <c r="BZ167" s="13">
        <f>BY167*VLOOKUP('Données projet'!$B$12,Paramètres!$A$1:$I$89,3,0)*VLOOKUP('Données projet'!$B$12,Paramètres!$A$1:$I$89,5,0)</f>
        <v>391.65474399999971</v>
      </c>
      <c r="CA167" s="13">
        <f t="shared" si="170"/>
        <v>90.082722179516836</v>
      </c>
      <c r="CB167" s="20">
        <f t="shared" si="171"/>
        <v>839.02608692932472</v>
      </c>
      <c r="CC167" s="59">
        <f t="shared" si="119"/>
        <v>1132.359420262658</v>
      </c>
      <c r="CD167" s="59">
        <f ca="1">AVERAGE(OFFSET($CC$3,0,0,'Données projet'!$E$12+1,1))-AVERAGE(OFFSET($H$3,0,0,'Données projet'!$E$12+1,1))</f>
        <v>292.52253679467469</v>
      </c>
      <c r="CE167" s="59">
        <f t="shared" si="148"/>
        <v>155.7114133976541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34.249823314330307</v>
      </c>
      <c r="CL167" s="21">
        <f>EXP(-LN(2)/25)*CL166+(1-EXP(-LN(2)/25))/(LN(2)/25)*Calculateur!CG167*Calculateur!CI167*VLOOKUP('Données projet'!$B$12,Paramètres!$A$1:$I$89,3,0)*0.475*44/12</f>
        <v>17.468459289389447</v>
      </c>
      <c r="CM167" s="21">
        <f>EXP(-LN(2)/2)*CM166+(1-EXP(-LN(2)/2))/(LN(2)/2)*CG167*CJ167*VLOOKUP('Données projet'!$B$12,Paramètres!$A$1:$I$89,3,0)*0.475*44/12</f>
        <v>5.5016989803550872E-3</v>
      </c>
      <c r="CN167" s="22">
        <f t="shared" si="172"/>
        <v>51.723784302700111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-1.1368683772161603E-13</v>
      </c>
      <c r="CU167" s="17">
        <f>CT167*VLOOKUP('Données projet'!$B$13,Paramètres!$A$1:$I$89,3,0)*VLOOKUP('Données projet'!$B$13,Paramètres!$A$1:$I$89,5,0)</f>
        <v>-8.8675733422860506E-14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100.54865094989304</v>
      </c>
      <c r="CZ167" s="59">
        <f t="shared" si="150"/>
        <v>99.95654161405389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4.1999884827377922</v>
      </c>
      <c r="DG167" s="21">
        <f>EXP(-LN(2)/25)*DG166+(1-EXP(-LN(2)/25))/(LN(2)/25)*Calculateur!DB167*Calculateur!DD167*VLOOKUP('Données projet'!$B$13,Paramètres!$A$1:$I$89,3,0)*0.475*44/12</f>
        <v>1.9483314835766297</v>
      </c>
      <c r="DH167" s="21">
        <f>EXP(-LN(2)/2)*DH166+(1-EXP(-LN(2)/2))/(LN(2)/2)*DB167*DE167*VLOOKUP('Données projet'!$B$13,Paramètres!$A$1:$I$89,3,0)*0.475*44/12</f>
        <v>1.956770695742532E-13</v>
      </c>
      <c r="DI167" s="22">
        <f t="shared" si="175"/>
        <v>6.1483199663146175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4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144.14400000000003</v>
      </c>
      <c r="D168" s="11">
        <f t="shared" si="140"/>
        <v>37.244720006976252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1400.1936281240276</v>
      </c>
      <c r="H168" s="67">
        <f t="shared" si="110"/>
        <v>609.25202067881696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3.4106051316484809E-13</v>
      </c>
      <c r="O168" s="13">
        <f>N168*VLOOKUP('Données projet'!$B$9,Paramètres!$A$1:$I$89,3,0)*VLOOKUP('Données projet'!$B$9,Paramètres!$A$1:$I$89,5,0)</f>
        <v>1.9065282685915009E-13</v>
      </c>
      <c r="P168" s="13">
        <f t="shared" si="141"/>
        <v>2.6568987209435707E-12</v>
      </c>
      <c r="Q168" s="20">
        <f t="shared" si="162"/>
        <v>4.959485612423072E-12</v>
      </c>
      <c r="R168" s="59">
        <f t="shared" si="109"/>
        <v>293.33333333333826</v>
      </c>
      <c r="S168" s="59">
        <f ca="1">AVERAGE(OFFSET($R$3,0,0,'Données projet'!$E$9+1,1))-AVERAGE(OFFSET($H$3,0,0,'Données projet'!$E$9+1,1))</f>
        <v>324.69474275039357</v>
      </c>
      <c r="T168" s="59">
        <f t="shared" si="142"/>
        <v>437.68177084535927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27.386918398933549</v>
      </c>
      <c r="AA168" s="21">
        <f>EXP(-LN(2)/25)*AA167+(1-EXP(-LN(2)/25))/(LN(2)/25)*Calculateur!V168*Calculateur!X168*VLOOKUP('Données projet'!$B$9,Paramètres!$A$1:$I$89,3,0)*0.475*44/12</f>
        <v>3.9160610033248977</v>
      </c>
      <c r="AB168" s="21">
        <f>EXP(-LN(2)/2)*AB167+(1-EXP(-LN(2)/2))/(LN(2)/2)*V168*Y168*VLOOKUP('Données projet'!$B$9,Paramètres!$A$1:$I$89,3,0)*0.475*44/12</f>
        <v>1.7959524807828781E-15</v>
      </c>
      <c r="AC168" s="22">
        <f t="shared" si="163"/>
        <v>31.302979402258451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1.1368683772161603E-13</v>
      </c>
      <c r="AJ168" s="13">
        <f>AI168*VLOOKUP('Données projet'!$B$10,Paramètres!$A$1:$I$89,3,0)*VLOOKUP('Données projet'!$B$10,Paramètres!$A$1:$I$89,5,0)</f>
        <v>6.7984728957526396E-14</v>
      </c>
      <c r="AK168" s="13">
        <f t="shared" si="164"/>
        <v>1.0682447123141398E-12</v>
      </c>
      <c r="AL168" s="20">
        <f t="shared" si="165"/>
        <v>1.978932943548152E-12</v>
      </c>
      <c r="AM168" s="59">
        <f t="shared" si="113"/>
        <v>293.3333333333353</v>
      </c>
      <c r="AN168" s="59">
        <f ca="1">AVERAGE(OFFSET($AM$3,0,0,'Données projet'!$E$10+1,1))-AVERAGE(OFFSET($H$3,0,0,'Données projet'!$E$10+1,1))</f>
        <v>214.93913810439858</v>
      </c>
      <c r="AO168" s="59">
        <f t="shared" si="144"/>
        <v>210.65603079265924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17.358638614933039</v>
      </c>
      <c r="AV168" s="21">
        <f>EXP(-LN(2)/25)*AV167+(1-EXP(-LN(2)/25))/(LN(2)/25)*Calculateur!AQ168*Calculateur!AS168*VLOOKUP('Données projet'!$B$10,Paramètres!$A$1:$I$89,3,0)*0.475*44/12</f>
        <v>2.6356200016048432</v>
      </c>
      <c r="AW168" s="21">
        <f>EXP(-LN(2)/2)*AW167+(1-EXP(-LN(2)/2))/(LN(2)/2)*AQ168*AT168*VLOOKUP('Données projet'!$B$10,Paramètres!$A$1:$I$89,3,0)*0.475*44/12</f>
        <v>9.4145009188745685E-15</v>
      </c>
      <c r="AX168" s="21">
        <f t="shared" si="166"/>
        <v>19.994258616537891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3.979039320256561E-13</v>
      </c>
      <c r="BE168" s="13">
        <f>BD168*VLOOKUP('Données projet'!$B$11,Paramètres!$A$1:$I$89,3,0)*VLOOKUP('Données projet'!$B$11,Paramètres!$A$1:$I$89,5,0)</f>
        <v>3.6002347769681362E-13</v>
      </c>
      <c r="BF168" s="13">
        <f t="shared" si="167"/>
        <v>4.6593569189922594E-12</v>
      </c>
      <c r="BG168" s="20">
        <f t="shared" si="168"/>
        <v>8.7420875242334695E-12</v>
      </c>
      <c r="BH168" s="59">
        <f t="shared" si="116"/>
        <v>293.33333333334207</v>
      </c>
      <c r="BI168" s="59">
        <f ca="1">AVERAGE(OFFSET($BH$3,0,0,'Données projet'!$E$11+1,1))-AVERAGE(OFFSET($H$3,0,0,'Données projet'!$E$11+1,1))</f>
        <v>507.69556381324213</v>
      </c>
      <c r="BJ168" s="59">
        <f t="shared" si="146"/>
        <v>129.52638237044044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154.74745175273105</v>
      </c>
      <c r="BQ168" s="21">
        <f>EXP(-LN(2)/25)*BQ167+(1-EXP(-LN(2)/25))/(LN(2)/25)*Calculateur!BL168*Calculateur!BN168*VLOOKUP('Données projet'!$B$11,Paramètres!$A$1:$I$89,3,0)*0.475*44/12</f>
        <v>25.753714895759213</v>
      </c>
      <c r="BR168" s="21">
        <f>EXP(-LN(2)/2)*BR167+(1-EXP(-LN(2)/2))/(LN(2)/2)*BL168*BO168*VLOOKUP('Données projet'!$B$11,Paramètres!$A$1:$I$89,3,0)*0.475*44/12</f>
        <v>1.4227841131256709</v>
      </c>
      <c r="BS168" s="22">
        <f t="shared" si="169"/>
        <v>181.92395076161591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7.6783333333333319</v>
      </c>
      <c r="BY168" s="12">
        <f>IF('Données projet'!$A$114&gt;35,BY167+BX168-CG167,IF(A168&lt;'Données projet'!$A$114,$BV$205^A168,IF(A168='Données projet'!$A$114,'Données projet'!$B$114,BY167+BX168-CG167)))</f>
        <v>412.61499999999967</v>
      </c>
      <c r="BZ168" s="13">
        <f>BY168*VLOOKUP('Données projet'!$B$12,Paramètres!$A$1:$I$89,3,0)*VLOOKUP('Données projet'!$B$12,Paramètres!$A$1:$I$89,5,0)</f>
        <v>399.08122799999967</v>
      </c>
      <c r="CA168" s="13">
        <f t="shared" si="170"/>
        <v>91.590373376485019</v>
      </c>
      <c r="CB168" s="20">
        <f t="shared" si="171"/>
        <v>854.58637239737743</v>
      </c>
      <c r="CC168" s="59">
        <f t="shared" si="119"/>
        <v>1147.9197057307108</v>
      </c>
      <c r="CD168" s="59">
        <f ca="1">AVERAGE(OFFSET($CC$3,0,0,'Données projet'!$E$12+1,1))-AVERAGE(OFFSET($H$3,0,0,'Données projet'!$E$12+1,1))</f>
        <v>292.52253679467469</v>
      </c>
      <c r="CE168" s="59">
        <f t="shared" si="148"/>
        <v>155.7114133976541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33.578205169465761</v>
      </c>
      <c r="CL168" s="21">
        <f>EXP(-LN(2)/25)*CL167+(1-EXP(-LN(2)/25))/(LN(2)/25)*Calculateur!CG168*Calculateur!CI168*VLOOKUP('Données projet'!$B$12,Paramètres!$A$1:$I$89,3,0)*0.475*44/12</f>
        <v>16.990783351494745</v>
      </c>
      <c r="CM168" s="21">
        <f>EXP(-LN(2)/2)*CM167+(1-EXP(-LN(2)/2))/(LN(2)/2)*CG168*CJ168*VLOOKUP('Données projet'!$B$12,Paramètres!$A$1:$I$89,3,0)*0.475*44/12</f>
        <v>3.8902886570561963E-3</v>
      </c>
      <c r="CN168" s="22">
        <f t="shared" si="172"/>
        <v>50.572878809617556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-1.1368683772161603E-13</v>
      </c>
      <c r="CU168" s="17">
        <f>CT168*VLOOKUP('Données projet'!$B$13,Paramètres!$A$1:$I$89,3,0)*VLOOKUP('Données projet'!$B$13,Paramètres!$A$1:$I$89,5,0)</f>
        <v>-8.8675733422860506E-14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100.54865094989304</v>
      </c>
      <c r="CZ168" s="59">
        <f t="shared" si="150"/>
        <v>99.95654161405389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4.117629270331328</v>
      </c>
      <c r="DG168" s="21">
        <f>EXP(-LN(2)/25)*DG167+(1-EXP(-LN(2)/25))/(LN(2)/25)*Calculateur!DB168*Calculateur!DD168*VLOOKUP('Données projet'!$B$13,Paramètres!$A$1:$I$89,3,0)*0.475*44/12</f>
        <v>1.8950542566999269</v>
      </c>
      <c r="DH168" s="21">
        <f>EXP(-LN(2)/2)*DH167+(1-EXP(-LN(2)/2))/(LN(2)/2)*DB168*DE168*VLOOKUP('Données projet'!$B$13,Paramètres!$A$1:$I$89,3,0)*0.475*44/12</f>
        <v>1.3836458281866629E-13</v>
      </c>
      <c r="DI168" s="22">
        <f t="shared" si="175"/>
        <v>6.0126835270313936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4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145.01760000000004</v>
      </c>
      <c r="D169" s="11">
        <f t="shared" si="140"/>
        <v>37.444100932065233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1408.4762878966442</v>
      </c>
      <c r="H169" s="67">
        <f t="shared" si="110"/>
        <v>611.12079579001363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3.4106051316484809E-13</v>
      </c>
      <c r="O169" s="13">
        <f>N169*VLOOKUP('Données projet'!$B$9,Paramètres!$A$1:$I$89,3,0)*VLOOKUP('Données projet'!$B$9,Paramètres!$A$1:$I$89,5,0)</f>
        <v>1.9065282685915009E-13</v>
      </c>
      <c r="P169" s="13">
        <f t="shared" si="141"/>
        <v>2.6568987209435707E-12</v>
      </c>
      <c r="Q169" s="20">
        <f t="shared" si="162"/>
        <v>4.959485612423072E-12</v>
      </c>
      <c r="R169" s="59">
        <f t="shared" si="109"/>
        <v>293.33333333333826</v>
      </c>
      <c r="S169" s="59">
        <f ca="1">AVERAGE(OFFSET($R$3,0,0,'Données projet'!$E$9+1,1))-AVERAGE(OFFSET($H$3,0,0,'Données projet'!$E$9+1,1))</f>
        <v>324.69474275039357</v>
      </c>
      <c r="T169" s="59">
        <f t="shared" si="142"/>
        <v>437.68177084535927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26.849877633501265</v>
      </c>
      <c r="AA169" s="21">
        <f>EXP(-LN(2)/25)*AA168+(1-EXP(-LN(2)/25))/(LN(2)/25)*Calculateur!V169*Calculateur!X169*VLOOKUP('Données projet'!$B$9,Paramètres!$A$1:$I$89,3,0)*0.475*44/12</f>
        <v>3.8089761092522805</v>
      </c>
      <c r="AB169" s="21">
        <f>EXP(-LN(2)/2)*AB168+(1-EXP(-LN(2)/2))/(LN(2)/2)*V169*Y169*VLOOKUP('Données projet'!$B$9,Paramètres!$A$1:$I$89,3,0)*0.475*44/12</f>
        <v>1.2699301778503758E-15</v>
      </c>
      <c r="AC169" s="22">
        <f t="shared" si="163"/>
        <v>30.658853742753546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1.1368683772161603E-13</v>
      </c>
      <c r="AJ169" s="13">
        <f>AI169*VLOOKUP('Données projet'!$B$10,Paramètres!$A$1:$I$89,3,0)*VLOOKUP('Données projet'!$B$10,Paramètres!$A$1:$I$89,5,0)</f>
        <v>6.7984728957526396E-14</v>
      </c>
      <c r="AK169" s="13">
        <f t="shared" si="164"/>
        <v>1.0682447123141398E-12</v>
      </c>
      <c r="AL169" s="20">
        <f t="shared" si="165"/>
        <v>1.978932943548152E-12</v>
      </c>
      <c r="AM169" s="59">
        <f t="shared" si="113"/>
        <v>293.3333333333353</v>
      </c>
      <c r="AN169" s="59">
        <f ca="1">AVERAGE(OFFSET($AM$3,0,0,'Données projet'!$E$10+1,1))-AVERAGE(OFFSET($H$3,0,0,'Données projet'!$E$10+1,1))</f>
        <v>214.93913810439858</v>
      </c>
      <c r="AO169" s="59">
        <f t="shared" si="144"/>
        <v>210.65603079265924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17.018246299418305</v>
      </c>
      <c r="AV169" s="21">
        <f>EXP(-LN(2)/25)*AV168+(1-EXP(-LN(2)/25))/(LN(2)/25)*Calculateur!AQ169*Calculateur!AS169*VLOOKUP('Données projet'!$B$10,Paramètres!$A$1:$I$89,3,0)*0.475*44/12</f>
        <v>2.5635488340597266</v>
      </c>
      <c r="AW169" s="21">
        <f>EXP(-LN(2)/2)*AW168+(1-EXP(-LN(2)/2))/(LN(2)/2)*AQ169*AT169*VLOOKUP('Données projet'!$B$10,Paramètres!$A$1:$I$89,3,0)*0.475*44/12</f>
        <v>6.6570574412231902E-15</v>
      </c>
      <c r="AX169" s="21">
        <f t="shared" si="166"/>
        <v>19.581795133478039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3.979039320256561E-13</v>
      </c>
      <c r="BE169" s="13">
        <f>BD169*VLOOKUP('Données projet'!$B$11,Paramètres!$A$1:$I$89,3,0)*VLOOKUP('Données projet'!$B$11,Paramètres!$A$1:$I$89,5,0)</f>
        <v>3.6002347769681362E-13</v>
      </c>
      <c r="BF169" s="13">
        <f t="shared" si="167"/>
        <v>4.6593569189922594E-12</v>
      </c>
      <c r="BG169" s="20">
        <f t="shared" si="168"/>
        <v>8.7420875242334695E-12</v>
      </c>
      <c r="BH169" s="59">
        <f t="shared" si="116"/>
        <v>293.33333333334207</v>
      </c>
      <c r="BI169" s="59">
        <f ca="1">AVERAGE(OFFSET($BH$3,0,0,'Données projet'!$E$11+1,1))-AVERAGE(OFFSET($H$3,0,0,'Données projet'!$E$11+1,1))</f>
        <v>507.69556381324213</v>
      </c>
      <c r="BJ169" s="59">
        <f t="shared" si="146"/>
        <v>129.52638237044044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151.71294861048565</v>
      </c>
      <c r="BQ169" s="21">
        <f>EXP(-LN(2)/25)*BQ168+(1-EXP(-LN(2)/25))/(LN(2)/25)*Calculateur!BL169*Calculateur!BN169*VLOOKUP('Données projet'!$B$11,Paramètres!$A$1:$I$89,3,0)*0.475*44/12</f>
        <v>25.04947820760567</v>
      </c>
      <c r="BR169" s="21">
        <f>EXP(-LN(2)/2)*BR168+(1-EXP(-LN(2)/2))/(LN(2)/2)*BL169*BO169*VLOOKUP('Données projet'!$B$11,Paramètres!$A$1:$I$89,3,0)*0.475*44/12</f>
        <v>1.0060602945556498</v>
      </c>
      <c r="BS169" s="22">
        <f t="shared" si="169"/>
        <v>177.76848711264697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7.6783333333333319</v>
      </c>
      <c r="BY169" s="12">
        <f>IF('Données projet'!$A$114&gt;35,BY168+BX169-CG168,IF(A169&lt;'Données projet'!$A$114,$BV$205^A169,IF(A169='Données projet'!$A$114,'Données projet'!$B$114,BY168+BX169-CG168)))</f>
        <v>420.29333333333301</v>
      </c>
      <c r="BZ169" s="13">
        <f>BY169*VLOOKUP('Données projet'!$B$12,Paramètres!$A$1:$I$89,3,0)*VLOOKUP('Données projet'!$B$12,Paramètres!$A$1:$I$89,5,0)</f>
        <v>406.50771199999974</v>
      </c>
      <c r="CA169" s="13">
        <f t="shared" si="170"/>
        <v>93.094762212339802</v>
      </c>
      <c r="CB169" s="20">
        <f t="shared" si="171"/>
        <v>870.14097591982454</v>
      </c>
      <c r="CC169" s="59">
        <f t="shared" si="119"/>
        <v>1163.4743092531578</v>
      </c>
      <c r="CD169" s="59">
        <f ca="1">AVERAGE(OFFSET($CC$3,0,0,'Données projet'!$E$12+1,1))-AVERAGE(OFFSET($H$3,0,0,'Données projet'!$E$12+1,1))</f>
        <v>292.52253679467469</v>
      </c>
      <c r="CE169" s="59">
        <f t="shared" si="148"/>
        <v>155.7114133976541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32.919757046775395</v>
      </c>
      <c r="CL169" s="21">
        <f>EXP(-LN(2)/25)*CL168+(1-EXP(-LN(2)/25))/(LN(2)/25)*Calculateur!CG169*Calculateur!CI169*VLOOKUP('Données projet'!$B$12,Paramètres!$A$1:$I$89,3,0)*0.475*44/12</f>
        <v>16.526169487241656</v>
      </c>
      <c r="CM169" s="21">
        <f>EXP(-LN(2)/2)*CM168+(1-EXP(-LN(2)/2))/(LN(2)/2)*CG169*CJ169*VLOOKUP('Données projet'!$B$12,Paramètres!$A$1:$I$89,3,0)*0.475*44/12</f>
        <v>2.750849490177544E-3</v>
      </c>
      <c r="CN169" s="22">
        <f t="shared" si="172"/>
        <v>49.448677383507224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-1.1368683772161603E-13</v>
      </c>
      <c r="CU169" s="17">
        <f>CT169*VLOOKUP('Données projet'!$B$13,Paramètres!$A$1:$I$89,3,0)*VLOOKUP('Données projet'!$B$13,Paramètres!$A$1:$I$89,5,0)</f>
        <v>-8.8675733422860506E-14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100.54865094989304</v>
      </c>
      <c r="CZ169" s="59">
        <f t="shared" si="150"/>
        <v>99.95654161405389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4.0368850718459948</v>
      </c>
      <c r="DG169" s="21">
        <f>EXP(-LN(2)/25)*DG168+(1-EXP(-LN(2)/25))/(LN(2)/25)*Calculateur!DB169*Calculateur!DD169*VLOOKUP('Données projet'!$B$13,Paramètres!$A$1:$I$89,3,0)*0.475*44/12</f>
        <v>1.8432338983938952</v>
      </c>
      <c r="DH169" s="21">
        <f>EXP(-LN(2)/2)*DH168+(1-EXP(-LN(2)/2))/(LN(2)/2)*DB169*DE169*VLOOKUP('Données projet'!$B$13,Paramètres!$A$1:$I$89,3,0)*0.475*44/12</f>
        <v>9.7838534787126599E-14</v>
      </c>
      <c r="DI169" s="22">
        <f t="shared" si="175"/>
        <v>5.8801189702399874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4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145.89120000000005</v>
      </c>
      <c r="D170" s="11">
        <f t="shared" si="140"/>
        <v>37.643342098399685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1416.7578688297526</v>
      </c>
      <c r="H170" s="67">
        <f t="shared" si="110"/>
        <v>612.98932748804623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3.4106051316484809E-13</v>
      </c>
      <c r="O170" s="13">
        <f>N170*VLOOKUP('Données projet'!$B$9,Paramètres!$A$1:$I$89,3,0)*VLOOKUP('Données projet'!$B$9,Paramètres!$A$1:$I$89,5,0)</f>
        <v>1.9065282685915009E-13</v>
      </c>
      <c r="P170" s="13">
        <f t="shared" si="141"/>
        <v>2.6568987209435707E-12</v>
      </c>
      <c r="Q170" s="20">
        <f t="shared" si="162"/>
        <v>4.959485612423072E-12</v>
      </c>
      <c r="R170" s="59">
        <f t="shared" si="109"/>
        <v>293.33333333333826</v>
      </c>
      <c r="S170" s="59">
        <f ca="1">AVERAGE(OFFSET($R$3,0,0,'Données projet'!$E$9+1,1))-AVERAGE(OFFSET($H$3,0,0,'Données projet'!$E$9+1,1))</f>
        <v>324.69474275039357</v>
      </c>
      <c r="T170" s="59">
        <f t="shared" si="142"/>
        <v>437.68177084535927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26.323367909916588</v>
      </c>
      <c r="AA170" s="21">
        <f>EXP(-LN(2)/25)*AA169+(1-EXP(-LN(2)/25))/(LN(2)/25)*Calculateur!V170*Calculateur!X170*VLOOKUP('Données projet'!$B$9,Paramètres!$A$1:$I$89,3,0)*0.475*44/12</f>
        <v>3.7048194572394286</v>
      </c>
      <c r="AB170" s="21">
        <f>EXP(-LN(2)/2)*AB169+(1-EXP(-LN(2)/2))/(LN(2)/2)*V170*Y170*VLOOKUP('Données projet'!$B$9,Paramètres!$A$1:$I$89,3,0)*0.475*44/12</f>
        <v>8.9797624039143903E-16</v>
      </c>
      <c r="AC170" s="22">
        <f t="shared" si="163"/>
        <v>30.028187367156015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1.1368683772161603E-13</v>
      </c>
      <c r="AJ170" s="13">
        <f>AI170*VLOOKUP('Données projet'!$B$10,Paramètres!$A$1:$I$89,3,0)*VLOOKUP('Données projet'!$B$10,Paramètres!$A$1:$I$89,5,0)</f>
        <v>6.7984728957526396E-14</v>
      </c>
      <c r="AK170" s="13">
        <f t="shared" si="164"/>
        <v>1.0682447123141398E-12</v>
      </c>
      <c r="AL170" s="20">
        <f t="shared" si="165"/>
        <v>1.978932943548152E-12</v>
      </c>
      <c r="AM170" s="59">
        <f t="shared" si="113"/>
        <v>293.3333333333353</v>
      </c>
      <c r="AN170" s="59">
        <f ca="1">AVERAGE(OFFSET($AM$3,0,0,'Données projet'!$E$10+1,1))-AVERAGE(OFFSET($H$3,0,0,'Données projet'!$E$10+1,1))</f>
        <v>214.93913810439858</v>
      </c>
      <c r="AO170" s="59">
        <f t="shared" si="144"/>
        <v>210.65603079265924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16.684528869592004</v>
      </c>
      <c r="AV170" s="21">
        <f>EXP(-LN(2)/25)*AV169+(1-EXP(-LN(2)/25))/(LN(2)/25)*Calculateur!AQ170*Calculateur!AS170*VLOOKUP('Données projet'!$B$10,Paramètres!$A$1:$I$89,3,0)*0.475*44/12</f>
        <v>2.4934484563811892</v>
      </c>
      <c r="AW170" s="21">
        <f>EXP(-LN(2)/2)*AW169+(1-EXP(-LN(2)/2))/(LN(2)/2)*AQ170*AT170*VLOOKUP('Données projet'!$B$10,Paramètres!$A$1:$I$89,3,0)*0.475*44/12</f>
        <v>4.7072504594372843E-15</v>
      </c>
      <c r="AX170" s="21">
        <f t="shared" si="166"/>
        <v>19.177977325973195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3.979039320256561E-13</v>
      </c>
      <c r="BE170" s="13">
        <f>BD170*VLOOKUP('Données projet'!$B$11,Paramètres!$A$1:$I$89,3,0)*VLOOKUP('Données projet'!$B$11,Paramètres!$A$1:$I$89,5,0)</f>
        <v>3.6002347769681362E-13</v>
      </c>
      <c r="BF170" s="13">
        <f t="shared" si="167"/>
        <v>4.6593569189922594E-12</v>
      </c>
      <c r="BG170" s="20">
        <f t="shared" si="168"/>
        <v>8.7420875242334695E-12</v>
      </c>
      <c r="BH170" s="59">
        <f t="shared" si="116"/>
        <v>293.33333333334207</v>
      </c>
      <c r="BI170" s="59">
        <f ca="1">AVERAGE(OFFSET($BH$3,0,0,'Données projet'!$E$11+1,1))-AVERAGE(OFFSET($H$3,0,0,'Données projet'!$E$11+1,1))</f>
        <v>507.69556381324213</v>
      </c>
      <c r="BJ170" s="59">
        <f t="shared" si="146"/>
        <v>129.52638237044044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148.73795022399554</v>
      </c>
      <c r="BQ170" s="21">
        <f>EXP(-LN(2)/25)*BQ169+(1-EXP(-LN(2)/25))/(LN(2)/25)*Calculateur!BL170*Calculateur!BN170*VLOOKUP('Données projet'!$B$11,Paramètres!$A$1:$I$89,3,0)*0.475*44/12</f>
        <v>24.364498908723885</v>
      </c>
      <c r="BR170" s="21">
        <f>EXP(-LN(2)/2)*BR169+(1-EXP(-LN(2)/2))/(LN(2)/2)*BL170*BO170*VLOOKUP('Données projet'!$B$11,Paramètres!$A$1:$I$89,3,0)*0.475*44/12</f>
        <v>0.71139205656283544</v>
      </c>
      <c r="BS170" s="22">
        <f t="shared" si="169"/>
        <v>173.81384118928224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7.6783333333333319</v>
      </c>
      <c r="BY170" s="12">
        <f>IF('Données projet'!$A$114&gt;35,BY169+BX170-CG169,IF(A170&lt;'Données projet'!$A$114,$BV$205^A170,IF(A170='Données projet'!$A$114,'Données projet'!$B$114,BY169+BX170-CG169)))</f>
        <v>427.97166666666635</v>
      </c>
      <c r="BZ170" s="13">
        <f>BY170*VLOOKUP('Données projet'!$B$12,Paramètres!$A$1:$I$89,3,0)*VLOOKUP('Données projet'!$B$12,Paramètres!$A$1:$I$89,5,0)</f>
        <v>413.9341959999997</v>
      </c>
      <c r="CA170" s="13">
        <f t="shared" si="170"/>
        <v>94.595955161317576</v>
      </c>
      <c r="CB170" s="20">
        <f t="shared" si="171"/>
        <v>885.69001327262743</v>
      </c>
      <c r="CC170" s="59">
        <f t="shared" si="119"/>
        <v>1179.0233466059608</v>
      </c>
      <c r="CD170" s="59">
        <f ca="1">AVERAGE(OFFSET($CC$3,0,0,'Données projet'!$E$12+1,1))-AVERAGE(OFFSET($H$3,0,0,'Données projet'!$E$12+1,1))</f>
        <v>292.52253679467469</v>
      </c>
      <c r="CE170" s="59">
        <f t="shared" si="148"/>
        <v>155.7114133976541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32.274220690157286</v>
      </c>
      <c r="CL170" s="21">
        <f>EXP(-LN(2)/25)*CL169+(1-EXP(-LN(2)/25))/(LN(2)/25)*Calculateur!CG170*Calculateur!CI170*VLOOKUP('Données projet'!$B$12,Paramètres!$A$1:$I$89,3,0)*0.475*44/12</f>
        <v>16.074260513539549</v>
      </c>
      <c r="CM170" s="21">
        <f>EXP(-LN(2)/2)*CM169+(1-EXP(-LN(2)/2))/(LN(2)/2)*CG170*CJ170*VLOOKUP('Données projet'!$B$12,Paramètres!$A$1:$I$89,3,0)*0.475*44/12</f>
        <v>1.9451443285280986E-3</v>
      </c>
      <c r="CN170" s="22">
        <f t="shared" si="172"/>
        <v>48.350426348025366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-1.1368683772161603E-13</v>
      </c>
      <c r="CU170" s="17">
        <f>CT170*VLOOKUP('Données projet'!$B$13,Paramètres!$A$1:$I$89,3,0)*VLOOKUP('Données projet'!$B$13,Paramètres!$A$1:$I$89,5,0)</f>
        <v>-8.8675733422860506E-14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100.54865094989304</v>
      </c>
      <c r="CZ170" s="59">
        <f t="shared" si="150"/>
        <v>99.95654161405389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3.957724217843861</v>
      </c>
      <c r="DG170" s="21">
        <f>EXP(-LN(2)/25)*DG169+(1-EXP(-LN(2)/25))/(LN(2)/25)*Calculateur!DB170*Calculateur!DD170*VLOOKUP('Données projet'!$B$13,Paramètres!$A$1:$I$89,3,0)*0.475*44/12</f>
        <v>1.7928305705108563</v>
      </c>
      <c r="DH170" s="21">
        <f>EXP(-LN(2)/2)*DH169+(1-EXP(-LN(2)/2))/(LN(2)/2)*DB170*DE170*VLOOKUP('Données projet'!$B$13,Paramètres!$A$1:$I$89,3,0)*0.475*44/12</f>
        <v>6.9182291409333145E-14</v>
      </c>
      <c r="DI170" s="22">
        <f t="shared" si="175"/>
        <v>5.750554788354787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4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146.76480000000006</v>
      </c>
      <c r="D171" s="11">
        <f t="shared" si="140"/>
        <v>37.842444439956665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1425.0383781329995</v>
      </c>
      <c r="H171" s="67">
        <f t="shared" si="110"/>
        <v>614.85761739959128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3.4106051316484809E-13</v>
      </c>
      <c r="O171" s="13">
        <f>N171*VLOOKUP('Données projet'!$B$9,Paramètres!$A$1:$I$89,3,0)*VLOOKUP('Données projet'!$B$9,Paramètres!$A$1:$I$89,5,0)</f>
        <v>1.9065282685915009E-13</v>
      </c>
      <c r="P171" s="13">
        <f t="shared" si="141"/>
        <v>2.6568987209435707E-12</v>
      </c>
      <c r="Q171" s="20">
        <f t="shared" si="162"/>
        <v>4.959485612423072E-12</v>
      </c>
      <c r="R171" s="59">
        <f t="shared" si="109"/>
        <v>293.33333333333826</v>
      </c>
      <c r="S171" s="59">
        <f ca="1">AVERAGE(OFFSET($R$3,0,0,'Données projet'!$E$9+1,1))-AVERAGE(OFFSET($H$3,0,0,'Données projet'!$E$9+1,1))</f>
        <v>324.69474275039357</v>
      </c>
      <c r="T171" s="59">
        <f t="shared" si="142"/>
        <v>437.68177084535927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25.807182720872184</v>
      </c>
      <c r="AA171" s="21">
        <f>EXP(-LN(2)/25)*AA170+(1-EXP(-LN(2)/25))/(LN(2)/25)*Calculateur!V171*Calculateur!X171*VLOOKUP('Données projet'!$B$9,Paramètres!$A$1:$I$89,3,0)*0.475*44/12</f>
        <v>3.6035109743532288</v>
      </c>
      <c r="AB171" s="21">
        <f>EXP(-LN(2)/2)*AB170+(1-EXP(-LN(2)/2))/(LN(2)/2)*V171*Y171*VLOOKUP('Données projet'!$B$9,Paramètres!$A$1:$I$89,3,0)*0.475*44/12</f>
        <v>6.349650889251879E-16</v>
      </c>
      <c r="AC171" s="22">
        <f t="shared" si="163"/>
        <v>29.410693695225412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1.1368683772161603E-13</v>
      </c>
      <c r="AJ171" s="13">
        <f>AI171*VLOOKUP('Données projet'!$B$10,Paramètres!$A$1:$I$89,3,0)*VLOOKUP('Données projet'!$B$10,Paramètres!$A$1:$I$89,5,0)</f>
        <v>6.7984728957526396E-14</v>
      </c>
      <c r="AK171" s="13">
        <f t="shared" si="164"/>
        <v>1.0682447123141398E-12</v>
      </c>
      <c r="AL171" s="20">
        <f t="shared" si="165"/>
        <v>1.978932943548152E-12</v>
      </c>
      <c r="AM171" s="59">
        <f t="shared" si="113"/>
        <v>293.3333333333353</v>
      </c>
      <c r="AN171" s="59">
        <f ca="1">AVERAGE(OFFSET($AM$3,0,0,'Données projet'!$E$10+1,1))-AVERAGE(OFFSET($H$3,0,0,'Données projet'!$E$10+1,1))</f>
        <v>214.93913810439858</v>
      </c>
      <c r="AO171" s="59">
        <f t="shared" si="144"/>
        <v>210.65603079265924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16.357355435017062</v>
      </c>
      <c r="AV171" s="21">
        <f>EXP(-LN(2)/25)*AV170+(1-EXP(-LN(2)/25))/(LN(2)/25)*Calculateur!AQ171*Calculateur!AS171*VLOOKUP('Données projet'!$B$10,Paramètres!$A$1:$I$89,3,0)*0.475*44/12</f>
        <v>2.4252649772166901</v>
      </c>
      <c r="AW171" s="21">
        <f>EXP(-LN(2)/2)*AW170+(1-EXP(-LN(2)/2))/(LN(2)/2)*AQ171*AT171*VLOOKUP('Données projet'!$B$10,Paramètres!$A$1:$I$89,3,0)*0.475*44/12</f>
        <v>3.3285287206115951E-15</v>
      </c>
      <c r="AX171" s="21">
        <f t="shared" si="166"/>
        <v>18.782620412233758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3.979039320256561E-13</v>
      </c>
      <c r="BE171" s="13">
        <f>BD171*VLOOKUP('Données projet'!$B$11,Paramètres!$A$1:$I$89,3,0)*VLOOKUP('Données projet'!$B$11,Paramètres!$A$1:$I$89,5,0)</f>
        <v>3.6002347769681362E-13</v>
      </c>
      <c r="BF171" s="13">
        <f t="shared" si="167"/>
        <v>4.6593569189922594E-12</v>
      </c>
      <c r="BG171" s="20">
        <f t="shared" si="168"/>
        <v>8.7420875242334695E-12</v>
      </c>
      <c r="BH171" s="59">
        <f t="shared" si="116"/>
        <v>293.33333333334207</v>
      </c>
      <c r="BI171" s="59">
        <f ca="1">AVERAGE(OFFSET($BH$3,0,0,'Données projet'!$E$11+1,1))-AVERAGE(OFFSET($H$3,0,0,'Données projet'!$E$11+1,1))</f>
        <v>507.69556381324213</v>
      </c>
      <c r="BJ171" s="59">
        <f t="shared" si="146"/>
        <v>129.52638237044044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145.82128974129466</v>
      </c>
      <c r="BQ171" s="21">
        <f>EXP(-LN(2)/25)*BQ170+(1-EXP(-LN(2)/25))/(LN(2)/25)*Calculateur!BL171*Calculateur!BN171*VLOOKUP('Données projet'!$B$11,Paramètres!$A$1:$I$89,3,0)*0.475*44/12</f>
        <v>23.698250404791519</v>
      </c>
      <c r="BR171" s="21">
        <f>EXP(-LN(2)/2)*BR170+(1-EXP(-LN(2)/2))/(LN(2)/2)*BL171*BO171*VLOOKUP('Données projet'!$B$11,Paramètres!$A$1:$I$89,3,0)*0.475*44/12</f>
        <v>0.50303014727782491</v>
      </c>
      <c r="BS171" s="22">
        <f t="shared" si="169"/>
        <v>170.022570293364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>
        <f>VLOOKUP(A171,'Données projet'!$A$113:$I$133,2,0)</f>
        <v>435.65</v>
      </c>
      <c r="BW171" s="12">
        <f>VLOOKUP(A171,'Données projet'!$A$113:$I$133,9,0)</f>
        <v>7.6783333333333319</v>
      </c>
      <c r="BX171" s="12">
        <f t="array" ref="BX171">INDEX(BW:BW,MIN(IF(ISNUMBER(BW171:BW367),ROW(BW171:BW367),"")))</f>
        <v>7.6783333333333319</v>
      </c>
      <c r="BY171" s="12">
        <f>IF('Données projet'!$A$114&gt;35,BY170+BX171-CG170,IF(A171&lt;'Données projet'!$A$114,$BV$205^A171,IF(A171='Données projet'!$A$114,'Données projet'!$B$114,BY170+BX171-CG170)))</f>
        <v>435.64999999999969</v>
      </c>
      <c r="BZ171" s="13">
        <f>BY171*VLOOKUP('Données projet'!$B$12,Paramètres!$A$1:$I$89,3,0)*VLOOKUP('Données projet'!$B$12,Paramètres!$A$1:$I$89,5,0)</f>
        <v>421.36067999999966</v>
      </c>
      <c r="CA171" s="13">
        <f t="shared" si="170"/>
        <v>96.094016175803517</v>
      </c>
      <c r="CB171" s="20">
        <f t="shared" si="171"/>
        <v>901.23359583952379</v>
      </c>
      <c r="CC171" s="59">
        <f t="shared" si="119"/>
        <v>1194.566929172857</v>
      </c>
      <c r="CD171" s="59">
        <f ca="1">AVERAGE(OFFSET($CC$3,0,0,'Données projet'!$E$12+1,1))-AVERAGE(OFFSET($H$3,0,0,'Données projet'!$E$12+1,1))</f>
        <v>292.52253679467469</v>
      </c>
      <c r="CE171" s="59">
        <f t="shared" si="148"/>
        <v>155.7114133976541</v>
      </c>
      <c r="CF171" s="15">
        <f>IF(ISNA(VLOOKUP(A171,'Données projet'!$A$113:$I$133,3,0)),0,VLOOKUP(A171,'Données projet'!$A$113:$I$133,3,0))</f>
        <v>12</v>
      </c>
      <c r="CG171" s="15">
        <f>IF(ISNA(VLOOKUP(A171,'Données projet'!$A$113:$I$133,4,0)),0,VLOOKUP(A171,'Données projet'!$A$113:$I$133,4,0))</f>
        <v>71.37</v>
      </c>
      <c r="CH171" s="16">
        <f>IF(ISNA(VLOOKUP(A171,'Données projet'!$A$113:$I$133,5,0)),0%,VLOOKUP(A171,'Données projet'!$A$113:$I$133,5,0)*VLOOKUP('Données projet'!$B$12,Paramètres!$A$1:$I$89,7,0))</f>
        <v>0.215</v>
      </c>
      <c r="CI171" s="16">
        <f>IF(ISNA(VLOOKUP(A171,'Données projet'!$A$113:$I$133,6,0)),0%,VLOOKUP(A171,'Données projet'!$A$113:$I$133,6,0)*VLOOKUP('Données projet'!$B$12,Paramètres!$A$1:$I$89,7,0))</f>
        <v>8.6000000000000007E-2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48.047903807214283</v>
      </c>
      <c r="CL171" s="21">
        <f>EXP(-LN(2)/25)*CL170+(1-EXP(-LN(2)/25))/(LN(2)/25)*Calculateur!CG171*Calculateur!CI171*VLOOKUP('Données projet'!$B$12,Paramètres!$A$1:$I$89,3,0)*0.475*44/12</f>
        <v>22.171493821611847</v>
      </c>
      <c r="CM171" s="21">
        <f>EXP(-LN(2)/2)*CM170+(1-EXP(-LN(2)/2))/(LN(2)/2)*CG171*CJ171*VLOOKUP('Données projet'!$B$12,Paramètres!$A$1:$I$89,3,0)*0.475*44/12</f>
        <v>1.3754247450887722E-3</v>
      </c>
      <c r="CN171" s="22">
        <f t="shared" si="172"/>
        <v>70.220773053571222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-1.1368683772161603E-13</v>
      </c>
      <c r="CU171" s="17">
        <f>CT171*VLOOKUP('Données projet'!$B$13,Paramètres!$A$1:$I$89,3,0)*VLOOKUP('Données projet'!$B$13,Paramètres!$A$1:$I$89,5,0)</f>
        <v>-8.8675733422860506E-14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100.54865094989304</v>
      </c>
      <c r="CZ171" s="59">
        <f t="shared" si="150"/>
        <v>99.95654161405389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3.8801156599053557</v>
      </c>
      <c r="DG171" s="21">
        <f>EXP(-LN(2)/25)*DG170+(1-EXP(-LN(2)/25))/(LN(2)/25)*Calculateur!DB171*Calculateur!DD171*VLOOKUP('Données projet'!$B$13,Paramètres!$A$1:$I$89,3,0)*0.475*44/12</f>
        <v>1.7438055242793749</v>
      </c>
      <c r="DH171" s="21">
        <f>EXP(-LN(2)/2)*DH170+(1-EXP(-LN(2)/2))/(LN(2)/2)*DB171*DE171*VLOOKUP('Données projet'!$B$13,Paramètres!$A$1:$I$89,3,0)*0.475*44/12</f>
        <v>4.89192673935633E-14</v>
      </c>
      <c r="DI171" s="22">
        <f t="shared" si="175"/>
        <v>5.6239211841847796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4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147.63840000000008</v>
      </c>
      <c r="D172" s="11">
        <f t="shared" si="140"/>
        <v>38.04140887895133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1433.3178229252389</v>
      </c>
      <c r="H172" s="67">
        <f t="shared" si="110"/>
        <v>616.72566713084029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3.4106051316484809E-13</v>
      </c>
      <c r="O172" s="13">
        <f>N172*VLOOKUP('Données projet'!$B$9,Paramètres!$A$1:$I$89,3,0)*VLOOKUP('Données projet'!$B$9,Paramètres!$A$1:$I$89,5,0)</f>
        <v>1.9065282685915009E-13</v>
      </c>
      <c r="P172" s="13">
        <f t="shared" si="141"/>
        <v>2.6568987209435707E-12</v>
      </c>
      <c r="Q172" s="20">
        <f t="shared" si="162"/>
        <v>4.959485612423072E-12</v>
      </c>
      <c r="R172" s="59">
        <f t="shared" si="109"/>
        <v>293.33333333333826</v>
      </c>
      <c r="S172" s="59">
        <f ca="1">AVERAGE(OFFSET($R$3,0,0,'Données projet'!$E$9+1,1))-AVERAGE(OFFSET($H$3,0,0,'Données projet'!$E$9+1,1))</f>
        <v>324.69474275039357</v>
      </c>
      <c r="T172" s="59">
        <f t="shared" si="142"/>
        <v>437.68177084535927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25.301119608543061</v>
      </c>
      <c r="AA172" s="21">
        <f>EXP(-LN(2)/25)*AA171+(1-EXP(-LN(2)/25))/(LN(2)/25)*Calculateur!V172*Calculateur!X172*VLOOKUP('Données projet'!$B$9,Paramètres!$A$1:$I$89,3,0)*0.475*44/12</f>
        <v>3.5049727772591335</v>
      </c>
      <c r="AB172" s="21">
        <f>EXP(-LN(2)/2)*AB171+(1-EXP(-LN(2)/2))/(LN(2)/2)*V172*Y172*VLOOKUP('Données projet'!$B$9,Paramètres!$A$1:$I$89,3,0)*0.475*44/12</f>
        <v>4.4898812019571951E-16</v>
      </c>
      <c r="AC172" s="22">
        <f t="shared" si="163"/>
        <v>28.806092385802195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1.1368683772161603E-13</v>
      </c>
      <c r="AJ172" s="13">
        <f>AI172*VLOOKUP('Données projet'!$B$10,Paramètres!$A$1:$I$89,3,0)*VLOOKUP('Données projet'!$B$10,Paramètres!$A$1:$I$89,5,0)</f>
        <v>6.7984728957526396E-14</v>
      </c>
      <c r="AK172" s="13">
        <f t="shared" si="164"/>
        <v>1.0682447123141398E-12</v>
      </c>
      <c r="AL172" s="20">
        <f t="shared" si="165"/>
        <v>1.978932943548152E-12</v>
      </c>
      <c r="AM172" s="59">
        <f t="shared" si="113"/>
        <v>293.3333333333353</v>
      </c>
      <c r="AN172" s="59">
        <f ca="1">AVERAGE(OFFSET($AM$3,0,0,'Données projet'!$E$10+1,1))-AVERAGE(OFFSET($H$3,0,0,'Données projet'!$E$10+1,1))</f>
        <v>214.93913810439858</v>
      </c>
      <c r="AO172" s="59">
        <f t="shared" si="144"/>
        <v>210.65603079265924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16.036597671938047</v>
      </c>
      <c r="AV172" s="21">
        <f>EXP(-LN(2)/25)*AV171+(1-EXP(-LN(2)/25))/(LN(2)/25)*Calculateur!AQ172*Calculateur!AS172*VLOOKUP('Données projet'!$B$10,Paramètres!$A$1:$I$89,3,0)*0.475*44/12</f>
        <v>2.3589459788755578</v>
      </c>
      <c r="AW172" s="21">
        <f>EXP(-LN(2)/2)*AW171+(1-EXP(-LN(2)/2))/(LN(2)/2)*AQ172*AT172*VLOOKUP('Données projet'!$B$10,Paramètres!$A$1:$I$89,3,0)*0.475*44/12</f>
        <v>2.3536252297186421E-15</v>
      </c>
      <c r="AX172" s="21">
        <f t="shared" si="166"/>
        <v>18.395543650813607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3.979039320256561E-13</v>
      </c>
      <c r="BE172" s="13">
        <f>BD172*VLOOKUP('Données projet'!$B$11,Paramètres!$A$1:$I$89,3,0)*VLOOKUP('Données projet'!$B$11,Paramètres!$A$1:$I$89,5,0)</f>
        <v>3.6002347769681362E-13</v>
      </c>
      <c r="BF172" s="13">
        <f t="shared" si="167"/>
        <v>4.6593569189922594E-12</v>
      </c>
      <c r="BG172" s="20">
        <f t="shared" si="168"/>
        <v>8.7420875242334695E-12</v>
      </c>
      <c r="BH172" s="59">
        <f t="shared" si="116"/>
        <v>293.33333333334207</v>
      </c>
      <c r="BI172" s="59">
        <f ca="1">AVERAGE(OFFSET($BH$3,0,0,'Données projet'!$E$11+1,1))-AVERAGE(OFFSET($H$3,0,0,'Données projet'!$E$11+1,1))</f>
        <v>507.69556381324213</v>
      </c>
      <c r="BJ172" s="59">
        <f t="shared" si="146"/>
        <v>129.52638237044044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142.96182319167229</v>
      </c>
      <c r="BQ172" s="21">
        <f>EXP(-LN(2)/25)*BQ171+(1-EXP(-LN(2)/25))/(LN(2)/25)*Calculateur!BL172*Calculateur!BN172*VLOOKUP('Données projet'!$B$11,Paramètres!$A$1:$I$89,3,0)*0.475*44/12</f>
        <v>23.050220501235671</v>
      </c>
      <c r="BR172" s="21">
        <f>EXP(-LN(2)/2)*BR171+(1-EXP(-LN(2)/2))/(LN(2)/2)*BL172*BO172*VLOOKUP('Données projet'!$B$11,Paramètres!$A$1:$I$89,3,0)*0.475*44/12</f>
        <v>0.35569602828141772</v>
      </c>
      <c r="BS172" s="22">
        <f t="shared" si="169"/>
        <v>166.36773972118939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7.688333333333337</v>
      </c>
      <c r="BY172" s="12">
        <f>IF('Données projet'!$A$114&gt;35,BY171+BX172-CG171,IF(A172&lt;'Données projet'!$A$114,$BV$205^A172,IF(A172='Données projet'!$A$114,'Données projet'!$B$114,BY171+BX172-CG171)))</f>
        <v>371.96833333333302</v>
      </c>
      <c r="BZ172" s="13">
        <f>BY172*VLOOKUP('Données projet'!$B$12,Paramètres!$A$1:$I$89,3,0)*VLOOKUP('Données projet'!$B$12,Paramètres!$A$1:$I$89,5,0)</f>
        <v>359.76777199999975</v>
      </c>
      <c r="CA172" s="13">
        <f t="shared" si="170"/>
        <v>83.570563558559556</v>
      </c>
      <c r="CB172" s="20">
        <f t="shared" si="171"/>
        <v>772.14760109782401</v>
      </c>
      <c r="CC172" s="59">
        <f t="shared" si="119"/>
        <v>1065.4809344311573</v>
      </c>
      <c r="CD172" s="59">
        <f ca="1">AVERAGE(OFFSET($CC$3,0,0,'Données projet'!$E$12+1,1))-AVERAGE(OFFSET($H$3,0,0,'Données projet'!$E$12+1,1))</f>
        <v>292.52253679467469</v>
      </c>
      <c r="CE172" s="59">
        <f t="shared" si="148"/>
        <v>155.7114133976541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47.105713719882374</v>
      </c>
      <c r="CL172" s="21">
        <f>EXP(-LN(2)/25)*CL171+(1-EXP(-LN(2)/25))/(LN(2)/25)*Calculateur!CG172*Calculateur!CI172*VLOOKUP('Données projet'!$B$12,Paramètres!$A$1:$I$89,3,0)*0.475*44/12</f>
        <v>21.565213157111685</v>
      </c>
      <c r="CM172" s="21">
        <f>EXP(-LN(2)/2)*CM171+(1-EXP(-LN(2)/2))/(LN(2)/2)*CG172*CJ172*VLOOKUP('Données projet'!$B$12,Paramètres!$A$1:$I$89,3,0)*0.475*44/12</f>
        <v>9.7257216426404941E-4</v>
      </c>
      <c r="CN172" s="22">
        <f t="shared" si="172"/>
        <v>68.671899449158317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-1.1368683772161603E-13</v>
      </c>
      <c r="CU172" s="17">
        <f>CT172*VLOOKUP('Données projet'!$B$13,Paramètres!$A$1:$I$89,3,0)*VLOOKUP('Données projet'!$B$13,Paramètres!$A$1:$I$89,5,0)</f>
        <v>-8.8675733422860506E-14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100.54865094989304</v>
      </c>
      <c r="CZ172" s="59">
        <f t="shared" si="150"/>
        <v>99.95654161405389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3.8040289584514784</v>
      </c>
      <c r="DG172" s="21">
        <f>EXP(-LN(2)/25)*DG171+(1-EXP(-LN(2)/25))/(LN(2)/25)*Calculateur!DB172*Calculateur!DD172*VLOOKUP('Données projet'!$B$13,Paramètres!$A$1:$I$89,3,0)*0.475*44/12</f>
        <v>1.6961210705152083</v>
      </c>
      <c r="DH172" s="21">
        <f>EXP(-LN(2)/2)*DH171+(1-EXP(-LN(2)/2))/(LN(2)/2)*DB172*DE172*VLOOKUP('Données projet'!$B$13,Paramètres!$A$1:$I$89,3,0)*0.475*44/12</f>
        <v>3.4591145704666573E-14</v>
      </c>
      <c r="DI172" s="22">
        <f t="shared" si="175"/>
        <v>5.5001500289667211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4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148.51200000000009</v>
      </c>
      <c r="D173" s="11">
        <f t="shared" si="140"/>
        <v>38.240236326053541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1441.5962102362037</v>
      </c>
      <c r="H173" s="67">
        <f t="shared" si="110"/>
        <v>618.59347826787666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3.4106051316484809E-13</v>
      </c>
      <c r="O173" s="13">
        <f>N173*VLOOKUP('Données projet'!$B$9,Paramètres!$A$1:$I$89,3,0)*VLOOKUP('Données projet'!$B$9,Paramètres!$A$1:$I$89,5,0)</f>
        <v>1.9065282685915009E-13</v>
      </c>
      <c r="P173" s="13">
        <f t="shared" si="141"/>
        <v>2.6568987209435707E-12</v>
      </c>
      <c r="Q173" s="20">
        <f t="shared" si="162"/>
        <v>4.959485612423072E-12</v>
      </c>
      <c r="R173" s="59">
        <f t="shared" si="109"/>
        <v>293.33333333333826</v>
      </c>
      <c r="S173" s="59">
        <f ca="1">AVERAGE(OFFSET($R$3,0,0,'Données projet'!$E$9+1,1))-AVERAGE(OFFSET($H$3,0,0,'Données projet'!$E$9+1,1))</f>
        <v>324.69474275039357</v>
      </c>
      <c r="T173" s="59">
        <f t="shared" si="142"/>
        <v>437.68177084535927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24.804980085178695</v>
      </c>
      <c r="AA173" s="21">
        <f>EXP(-LN(2)/25)*AA172+(1-EXP(-LN(2)/25))/(LN(2)/25)*Calculateur!V173*Calculateur!X173*VLOOKUP('Données projet'!$B$9,Paramètres!$A$1:$I$89,3,0)*0.475*44/12</f>
        <v>3.4091291123464749</v>
      </c>
      <c r="AB173" s="21">
        <f>EXP(-LN(2)/2)*AB172+(1-EXP(-LN(2)/2))/(LN(2)/2)*V173*Y173*VLOOKUP('Données projet'!$B$9,Paramètres!$A$1:$I$89,3,0)*0.475*44/12</f>
        <v>3.1748254446259395E-16</v>
      </c>
      <c r="AC173" s="22">
        <f t="shared" si="163"/>
        <v>28.214109197525168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1.1368683772161603E-13</v>
      </c>
      <c r="AJ173" s="13">
        <f>AI173*VLOOKUP('Données projet'!$B$10,Paramètres!$A$1:$I$89,3,0)*VLOOKUP('Données projet'!$B$10,Paramètres!$A$1:$I$89,5,0)</f>
        <v>6.7984728957526396E-14</v>
      </c>
      <c r="AK173" s="13">
        <f t="shared" si="164"/>
        <v>1.0682447123141398E-12</v>
      </c>
      <c r="AL173" s="20">
        <f t="shared" si="165"/>
        <v>1.978932943548152E-12</v>
      </c>
      <c r="AM173" s="59">
        <f t="shared" si="113"/>
        <v>293.3333333333353</v>
      </c>
      <c r="AN173" s="59">
        <f ca="1">AVERAGE(OFFSET($AM$3,0,0,'Données projet'!$E$10+1,1))-AVERAGE(OFFSET($H$3,0,0,'Données projet'!$E$10+1,1))</f>
        <v>214.93913810439858</v>
      </c>
      <c r="AO173" s="59">
        <f t="shared" si="144"/>
        <v>210.65603079265924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15.722129772950092</v>
      </c>
      <c r="AV173" s="21">
        <f>EXP(-LN(2)/25)*AV172+(1-EXP(-LN(2)/25))/(LN(2)/25)*Calculateur!AQ173*Calculateur!AS173*VLOOKUP('Données projet'!$B$10,Paramètres!$A$1:$I$89,3,0)*0.475*44/12</f>
        <v>2.2944404770316282</v>
      </c>
      <c r="AW173" s="21">
        <f>EXP(-LN(2)/2)*AW172+(1-EXP(-LN(2)/2))/(LN(2)/2)*AQ173*AT173*VLOOKUP('Données projet'!$B$10,Paramètres!$A$1:$I$89,3,0)*0.475*44/12</f>
        <v>1.6642643603057975E-15</v>
      </c>
      <c r="AX173" s="21">
        <f t="shared" si="166"/>
        <v>18.016570249981719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3.979039320256561E-13</v>
      </c>
      <c r="BE173" s="13">
        <f>BD173*VLOOKUP('Données projet'!$B$11,Paramètres!$A$1:$I$89,3,0)*VLOOKUP('Données projet'!$B$11,Paramètres!$A$1:$I$89,5,0)</f>
        <v>3.6002347769681362E-13</v>
      </c>
      <c r="BF173" s="13">
        <f t="shared" si="167"/>
        <v>4.6593569189922594E-12</v>
      </c>
      <c r="BG173" s="20">
        <f t="shared" si="168"/>
        <v>8.7420875242334695E-12</v>
      </c>
      <c r="BH173" s="59">
        <f t="shared" si="116"/>
        <v>293.33333333334207</v>
      </c>
      <c r="BI173" s="59">
        <f ca="1">AVERAGE(OFFSET($BH$3,0,0,'Données projet'!$E$11+1,1))-AVERAGE(OFFSET($H$3,0,0,'Données projet'!$E$11+1,1))</f>
        <v>507.69556381324213</v>
      </c>
      <c r="BJ173" s="59">
        <f t="shared" si="146"/>
        <v>129.52638237044044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140.15842903698564</v>
      </c>
      <c r="BQ173" s="21">
        <f>EXP(-LN(2)/25)*BQ172+(1-EXP(-LN(2)/25))/(LN(2)/25)*Calculateur!BL173*Calculateur!BN173*VLOOKUP('Données projet'!$B$11,Paramètres!$A$1:$I$89,3,0)*0.475*44/12</f>
        <v>22.419911009470969</v>
      </c>
      <c r="BR173" s="21">
        <f>EXP(-LN(2)/2)*BR172+(1-EXP(-LN(2)/2))/(LN(2)/2)*BL173*BO173*VLOOKUP('Données projet'!$B$11,Paramètres!$A$1:$I$89,3,0)*0.475*44/12</f>
        <v>0.25151507363891246</v>
      </c>
      <c r="BS173" s="22">
        <f t="shared" si="169"/>
        <v>162.82985512009552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7.688333333333337</v>
      </c>
      <c r="BY173" s="12">
        <f>IF('Données projet'!$A$114&gt;35,BY172+BX173-CG172,IF(A173&lt;'Données projet'!$A$114,$BV$205^A173,IF(A173='Données projet'!$A$114,'Données projet'!$B$114,BY172+BX173-CG172)))</f>
        <v>379.65666666666635</v>
      </c>
      <c r="BZ173" s="13">
        <f>BY173*VLOOKUP('Données projet'!$B$12,Paramètres!$A$1:$I$89,3,0)*VLOOKUP('Données projet'!$B$12,Paramètres!$A$1:$I$89,5,0)</f>
        <v>367.20392799999973</v>
      </c>
      <c r="CA173" s="13">
        <f t="shared" si="170"/>
        <v>85.095025204163747</v>
      </c>
      <c r="CB173" s="20">
        <f t="shared" si="171"/>
        <v>787.754010163918</v>
      </c>
      <c r="CC173" s="59">
        <f t="shared" si="119"/>
        <v>1081.0873434972514</v>
      </c>
      <c r="CD173" s="59">
        <f ca="1">AVERAGE(OFFSET($CC$3,0,0,'Données projet'!$E$12+1,1))-AVERAGE(OFFSET($H$3,0,0,'Données projet'!$E$12+1,1))</f>
        <v>292.52253679467469</v>
      </c>
      <c r="CE173" s="59">
        <f t="shared" si="148"/>
        <v>155.7114133976541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46.181999405483836</v>
      </c>
      <c r="CL173" s="21">
        <f>EXP(-LN(2)/25)*CL172+(1-EXP(-LN(2)/25))/(LN(2)/25)*Calculateur!CG173*Calculateur!CI173*VLOOKUP('Données projet'!$B$12,Paramètres!$A$1:$I$89,3,0)*0.475*44/12</f>
        <v>20.975511269265194</v>
      </c>
      <c r="CM173" s="21">
        <f>EXP(-LN(2)/2)*CM172+(1-EXP(-LN(2)/2))/(LN(2)/2)*CG173*CJ173*VLOOKUP('Données projet'!$B$12,Paramètres!$A$1:$I$89,3,0)*0.475*44/12</f>
        <v>6.8771237254438623E-4</v>
      </c>
      <c r="CN173" s="22">
        <f t="shared" si="172"/>
        <v>67.158198387121573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-1.1368683772161603E-13</v>
      </c>
      <c r="CU173" s="17">
        <f>CT173*VLOOKUP('Données projet'!$B$13,Paramètres!$A$1:$I$89,3,0)*VLOOKUP('Données projet'!$B$13,Paramètres!$A$1:$I$89,5,0)</f>
        <v>-8.8675733422860506E-14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100.54865094989304</v>
      </c>
      <c r="CZ173" s="59">
        <f t="shared" si="150"/>
        <v>99.95654161405389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3.7294342708048061</v>
      </c>
      <c r="DG173" s="21">
        <f>EXP(-LN(2)/25)*DG172+(1-EXP(-LN(2)/25))/(LN(2)/25)*Calculateur!DB173*Calculateur!DD173*VLOOKUP('Données projet'!$B$13,Paramètres!$A$1:$I$89,3,0)*0.475*44/12</f>
        <v>1.6497405506468394</v>
      </c>
      <c r="DH173" s="21">
        <f>EXP(-LN(2)/2)*DH172+(1-EXP(-LN(2)/2))/(LN(2)/2)*DB173*DE173*VLOOKUP('Données projet'!$B$13,Paramètres!$A$1:$I$89,3,0)*0.475*44/12</f>
        <v>2.445963369678165E-14</v>
      </c>
      <c r="DI173" s="22">
        <f t="shared" si="175"/>
        <v>5.3791748214516701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4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149.3856000000001</v>
      </c>
      <c r="D174" s="11">
        <f t="shared" si="140"/>
        <v>38.438927680599626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1449.8735470081381</v>
      </c>
      <c r="H174" s="67">
        <f t="shared" si="110"/>
        <v>620.46105237704444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3.4106051316484809E-13</v>
      </c>
      <c r="O174" s="13">
        <f>N174*VLOOKUP('Données projet'!$B$9,Paramètres!$A$1:$I$89,3,0)*VLOOKUP('Données projet'!$B$9,Paramètres!$A$1:$I$89,5,0)</f>
        <v>1.9065282685915009E-13</v>
      </c>
      <c r="P174" s="13">
        <f t="shared" si="141"/>
        <v>2.6568987209435707E-12</v>
      </c>
      <c r="Q174" s="20">
        <f t="shared" si="162"/>
        <v>4.959485612423072E-12</v>
      </c>
      <c r="R174" s="59">
        <f t="shared" si="109"/>
        <v>293.33333333333826</v>
      </c>
      <c r="S174" s="59">
        <f ca="1">AVERAGE(OFFSET($R$3,0,0,'Données projet'!$E$9+1,1))-AVERAGE(OFFSET($H$3,0,0,'Données projet'!$E$9+1,1))</f>
        <v>324.69474275039357</v>
      </c>
      <c r="T174" s="59">
        <f t="shared" si="142"/>
        <v>437.68177084535927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24.318569555252274</v>
      </c>
      <c r="AA174" s="21">
        <f>EXP(-LN(2)/25)*AA173+(1-EXP(-LN(2)/25))/(LN(2)/25)*Calculateur!V174*Calculateur!X174*VLOOKUP('Données projet'!$B$9,Paramètres!$A$1:$I$89,3,0)*0.475*44/12</f>
        <v>3.3159062974910523</v>
      </c>
      <c r="AB174" s="21">
        <f>EXP(-LN(2)/2)*AB173+(1-EXP(-LN(2)/2))/(LN(2)/2)*V174*Y174*VLOOKUP('Données projet'!$B$9,Paramètres!$A$1:$I$89,3,0)*0.475*44/12</f>
        <v>2.2449406009785976E-16</v>
      </c>
      <c r="AC174" s="22">
        <f t="shared" si="163"/>
        <v>27.634475852743329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1.1368683772161603E-13</v>
      </c>
      <c r="AJ174" s="13">
        <f>AI174*VLOOKUP('Données projet'!$B$10,Paramètres!$A$1:$I$89,3,0)*VLOOKUP('Données projet'!$B$10,Paramètres!$A$1:$I$89,5,0)</f>
        <v>6.7984728957526396E-14</v>
      </c>
      <c r="AK174" s="13">
        <f t="shared" si="164"/>
        <v>1.0682447123141398E-12</v>
      </c>
      <c r="AL174" s="20">
        <f t="shared" si="165"/>
        <v>1.978932943548152E-12</v>
      </c>
      <c r="AM174" s="59">
        <f t="shared" si="113"/>
        <v>293.3333333333353</v>
      </c>
      <c r="AN174" s="59">
        <f ca="1">AVERAGE(OFFSET($AM$3,0,0,'Données projet'!$E$10+1,1))-AVERAGE(OFFSET($H$3,0,0,'Données projet'!$E$10+1,1))</f>
        <v>214.93913810439858</v>
      </c>
      <c r="AO174" s="59">
        <f t="shared" si="144"/>
        <v>210.65603079265924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15.413828397654813</v>
      </c>
      <c r="AV174" s="21">
        <f>EXP(-LN(2)/25)*AV173+(1-EXP(-LN(2)/25))/(LN(2)/25)*Calculateur!AQ174*Calculateur!AS174*VLOOKUP('Données projet'!$B$10,Paramètres!$A$1:$I$89,3,0)*0.475*44/12</f>
        <v>2.2316988815278176</v>
      </c>
      <c r="AW174" s="21">
        <f>EXP(-LN(2)/2)*AW173+(1-EXP(-LN(2)/2))/(LN(2)/2)*AQ174*AT174*VLOOKUP('Données projet'!$B$10,Paramètres!$A$1:$I$89,3,0)*0.475*44/12</f>
        <v>1.1768126148593211E-15</v>
      </c>
      <c r="AX174" s="21">
        <f t="shared" si="166"/>
        <v>17.64552727918263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3.979039320256561E-13</v>
      </c>
      <c r="BE174" s="13">
        <f>BD174*VLOOKUP('Données projet'!$B$11,Paramètres!$A$1:$I$89,3,0)*VLOOKUP('Données projet'!$B$11,Paramètres!$A$1:$I$89,5,0)</f>
        <v>3.6002347769681362E-13</v>
      </c>
      <c r="BF174" s="13">
        <f t="shared" si="167"/>
        <v>4.6593569189922594E-12</v>
      </c>
      <c r="BG174" s="20">
        <f t="shared" si="168"/>
        <v>8.7420875242334695E-12</v>
      </c>
      <c r="BH174" s="59">
        <f t="shared" si="116"/>
        <v>293.33333333334207</v>
      </c>
      <c r="BI174" s="59">
        <f ca="1">AVERAGE(OFFSET($BH$3,0,0,'Données projet'!$E$11+1,1))-AVERAGE(OFFSET($H$3,0,0,'Données projet'!$E$11+1,1))</f>
        <v>507.69556381324213</v>
      </c>
      <c r="BJ174" s="59">
        <f t="shared" si="146"/>
        <v>129.52638237044044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137.4100077317708</v>
      </c>
      <c r="BQ174" s="21">
        <f>EXP(-LN(2)/25)*BQ173+(1-EXP(-LN(2)/25))/(LN(2)/25)*Calculateur!BL174*Calculateur!BN174*VLOOKUP('Données projet'!$B$11,Paramètres!$A$1:$I$89,3,0)*0.475*44/12</f>
        <v>21.806837363905107</v>
      </c>
      <c r="BR174" s="21">
        <f>EXP(-LN(2)/2)*BR173+(1-EXP(-LN(2)/2))/(LN(2)/2)*BL174*BO174*VLOOKUP('Données projet'!$B$11,Paramètres!$A$1:$I$89,3,0)*0.475*44/12</f>
        <v>0.17784801414070886</v>
      </c>
      <c r="BS174" s="22">
        <f t="shared" si="169"/>
        <v>159.39469310981664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7.688333333333337</v>
      </c>
      <c r="BY174" s="12">
        <f>IF('Données projet'!$A$114&gt;35,BY173+BX174-CG173,IF(A174&lt;'Données projet'!$A$114,$BV$205^A174,IF(A174='Données projet'!$A$114,'Données projet'!$B$114,BY173+BX174-CG173)))</f>
        <v>387.34499999999969</v>
      </c>
      <c r="BZ174" s="13">
        <f>BY174*VLOOKUP('Données projet'!$B$12,Paramètres!$A$1:$I$89,3,0)*VLOOKUP('Données projet'!$B$12,Paramètres!$A$1:$I$89,5,0)</f>
        <v>374.64008399999972</v>
      </c>
      <c r="CA174" s="13">
        <f t="shared" si="170"/>
        <v>86.615897380176207</v>
      </c>
      <c r="CB174" s="20">
        <f t="shared" si="171"/>
        <v>803.35416757047312</v>
      </c>
      <c r="CC174" s="59">
        <f t="shared" si="119"/>
        <v>1096.6875009038065</v>
      </c>
      <c r="CD174" s="59">
        <f ca="1">AVERAGE(OFFSET($CC$3,0,0,'Données projet'!$E$12+1,1))-AVERAGE(OFFSET($H$3,0,0,'Données projet'!$E$12+1,1))</f>
        <v>292.52253679467469</v>
      </c>
      <c r="CE174" s="59">
        <f t="shared" si="148"/>
        <v>155.7114133976541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45.276398565380553</v>
      </c>
      <c r="CL174" s="21">
        <f>EXP(-LN(2)/25)*CL173+(1-EXP(-LN(2)/25))/(LN(2)/25)*Calculateur!CG174*Calculateur!CI174*VLOOKUP('Données projet'!$B$12,Paramètres!$A$1:$I$89,3,0)*0.475*44/12</f>
        <v>20.401934810552941</v>
      </c>
      <c r="CM174" s="21">
        <f>EXP(-LN(2)/2)*CM173+(1-EXP(-LN(2)/2))/(LN(2)/2)*CG174*CJ174*VLOOKUP('Données projet'!$B$12,Paramètres!$A$1:$I$89,3,0)*0.475*44/12</f>
        <v>4.8628608213202481E-4</v>
      </c>
      <c r="CN174" s="22">
        <f t="shared" si="172"/>
        <v>65.678819662015627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-1.1368683772161603E-13</v>
      </c>
      <c r="CU174" s="17">
        <f>CT174*VLOOKUP('Données projet'!$B$13,Paramètres!$A$1:$I$89,3,0)*VLOOKUP('Données projet'!$B$13,Paramètres!$A$1:$I$89,5,0)</f>
        <v>-8.8675733422860506E-14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100.54865094989304</v>
      </c>
      <c r="CZ174" s="59">
        <f t="shared" si="150"/>
        <v>99.95654161405389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3.6563023394846179</v>
      </c>
      <c r="DG174" s="21">
        <f>EXP(-LN(2)/25)*DG173+(1-EXP(-LN(2)/25))/(LN(2)/25)*Calculateur!DB174*Calculateur!DD174*VLOOKUP('Données projet'!$B$13,Paramètres!$A$1:$I$89,3,0)*0.475*44/12</f>
        <v>1.6046283085333166</v>
      </c>
      <c r="DH174" s="21">
        <f>EXP(-LN(2)/2)*DH173+(1-EXP(-LN(2)/2))/(LN(2)/2)*DB174*DE174*VLOOKUP('Données projet'!$B$13,Paramètres!$A$1:$I$89,3,0)*0.475*44/12</f>
        <v>1.7295572852333286E-14</v>
      </c>
      <c r="DI174" s="22">
        <f t="shared" si="175"/>
        <v>5.2609306480179514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4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150.25920000000011</v>
      </c>
      <c r="D175" s="11">
        <f t="shared" si="140"/>
        <v>38.637483830798757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1458.1498400973944</v>
      </c>
      <c r="H175" s="67">
        <f t="shared" si="110"/>
        <v>622.32839100530805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3.4106051316484809E-13</v>
      </c>
      <c r="O175" s="13">
        <f>N175*VLOOKUP('Données projet'!$B$9,Paramètres!$A$1:$I$89,3,0)*VLOOKUP('Données projet'!$B$9,Paramètres!$A$1:$I$89,5,0)</f>
        <v>1.9065282685915009E-13</v>
      </c>
      <c r="P175" s="13">
        <f t="shared" si="141"/>
        <v>2.6568987209435707E-12</v>
      </c>
      <c r="Q175" s="20">
        <f t="shared" si="162"/>
        <v>4.959485612423072E-12</v>
      </c>
      <c r="R175" s="59">
        <f t="shared" si="109"/>
        <v>293.33333333333826</v>
      </c>
      <c r="S175" s="59">
        <f ca="1">AVERAGE(OFFSET($R$3,0,0,'Données projet'!$E$9+1,1))-AVERAGE(OFFSET($H$3,0,0,'Données projet'!$E$9+1,1))</f>
        <v>324.69474275039357</v>
      </c>
      <c r="T175" s="59">
        <f t="shared" si="142"/>
        <v>437.68177084535927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23.841697239136582</v>
      </c>
      <c r="AA175" s="21">
        <f>EXP(-LN(2)/25)*AA174+(1-EXP(-LN(2)/25))/(LN(2)/25)*Calculateur!V175*Calculateur!X175*VLOOKUP('Données projet'!$B$9,Paramètres!$A$1:$I$89,3,0)*0.475*44/12</f>
        <v>3.2252326654102257</v>
      </c>
      <c r="AB175" s="21">
        <f>EXP(-LN(2)/2)*AB174+(1-EXP(-LN(2)/2))/(LN(2)/2)*V175*Y175*VLOOKUP('Données projet'!$B$9,Paramètres!$A$1:$I$89,3,0)*0.475*44/12</f>
        <v>1.5874127223129698E-16</v>
      </c>
      <c r="AC175" s="22">
        <f t="shared" si="163"/>
        <v>27.066929904546807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1.1368683772161603E-13</v>
      </c>
      <c r="AJ175" s="13">
        <f>AI175*VLOOKUP('Données projet'!$B$10,Paramètres!$A$1:$I$89,3,0)*VLOOKUP('Données projet'!$B$10,Paramètres!$A$1:$I$89,5,0)</f>
        <v>6.7984728957526396E-14</v>
      </c>
      <c r="AK175" s="13">
        <f t="shared" si="164"/>
        <v>1.0682447123141398E-12</v>
      </c>
      <c r="AL175" s="20">
        <f t="shared" si="165"/>
        <v>1.978932943548152E-12</v>
      </c>
      <c r="AM175" s="59">
        <f t="shared" si="113"/>
        <v>293.3333333333353</v>
      </c>
      <c r="AN175" s="59">
        <f ca="1">AVERAGE(OFFSET($AM$3,0,0,'Données projet'!$E$10+1,1))-AVERAGE(OFFSET($H$3,0,0,'Données projet'!$E$10+1,1))</f>
        <v>214.93913810439858</v>
      </c>
      <c r="AO175" s="59">
        <f t="shared" si="144"/>
        <v>210.65603079265924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15.111572624283802</v>
      </c>
      <c r="AV175" s="21">
        <f>EXP(-LN(2)/25)*AV174+(1-EXP(-LN(2)/25))/(LN(2)/25)*Calculateur!AQ175*Calculateur!AS175*VLOOKUP('Données projet'!$B$10,Paramètres!$A$1:$I$89,3,0)*0.475*44/12</f>
        <v>2.1706729582524957</v>
      </c>
      <c r="AW175" s="21">
        <f>EXP(-LN(2)/2)*AW174+(1-EXP(-LN(2)/2))/(LN(2)/2)*AQ175*AT175*VLOOKUP('Données projet'!$B$10,Paramètres!$A$1:$I$89,3,0)*0.475*44/12</f>
        <v>8.3213218015289877E-16</v>
      </c>
      <c r="AX175" s="21">
        <f t="shared" si="166"/>
        <v>17.282245582536298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3.979039320256561E-13</v>
      </c>
      <c r="BE175" s="13">
        <f>BD175*VLOOKUP('Données projet'!$B$11,Paramètres!$A$1:$I$89,3,0)*VLOOKUP('Données projet'!$B$11,Paramètres!$A$1:$I$89,5,0)</f>
        <v>3.6002347769681362E-13</v>
      </c>
      <c r="BF175" s="13">
        <f t="shared" si="167"/>
        <v>4.6593569189922594E-12</v>
      </c>
      <c r="BG175" s="20">
        <f t="shared" si="168"/>
        <v>8.7420875242334695E-12</v>
      </c>
      <c r="BH175" s="59">
        <f t="shared" si="116"/>
        <v>293.33333333334207</v>
      </c>
      <c r="BI175" s="59">
        <f ca="1">AVERAGE(OFFSET($BH$3,0,0,'Données projet'!$E$11+1,1))-AVERAGE(OFFSET($H$3,0,0,'Données projet'!$E$11+1,1))</f>
        <v>507.69556381324213</v>
      </c>
      <c r="BJ175" s="59">
        <f t="shared" si="146"/>
        <v>129.52638237044044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134.71548129197976</v>
      </c>
      <c r="BQ175" s="21">
        <f>EXP(-LN(2)/25)*BQ174+(1-EXP(-LN(2)/25))/(LN(2)/25)*Calculateur!BL175*Calculateur!BN175*VLOOKUP('Données projet'!$B$11,Paramètres!$A$1:$I$89,3,0)*0.475*44/12</f>
        <v>21.210528249417386</v>
      </c>
      <c r="BR175" s="21">
        <f>EXP(-LN(2)/2)*BR174+(1-EXP(-LN(2)/2))/(LN(2)/2)*BL175*BO175*VLOOKUP('Données projet'!$B$11,Paramètres!$A$1:$I$89,3,0)*0.475*44/12</f>
        <v>0.12575753681945623</v>
      </c>
      <c r="BS175" s="22">
        <f t="shared" si="169"/>
        <v>156.05176707821661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7.688333333333337</v>
      </c>
      <c r="BY175" s="12">
        <f>IF('Données projet'!$A$114&gt;35,BY174+BX175-CG174,IF(A175&lt;'Données projet'!$A$114,$BV$205^A175,IF(A175='Données projet'!$A$114,'Données projet'!$B$114,BY174+BX175-CG174)))</f>
        <v>395.03333333333302</v>
      </c>
      <c r="BZ175" s="13">
        <f>BY175*VLOOKUP('Données projet'!$B$12,Paramètres!$A$1:$I$89,3,0)*VLOOKUP('Données projet'!$B$12,Paramètres!$A$1:$I$89,5,0)</f>
        <v>382.0762399999997</v>
      </c>
      <c r="CA175" s="13">
        <f t="shared" si="170"/>
        <v>88.133259545087228</v>
      </c>
      <c r="CB175" s="20">
        <f t="shared" si="171"/>
        <v>818.94821170769308</v>
      </c>
      <c r="CC175" s="59">
        <f t="shared" si="119"/>
        <v>1112.2815450410264</v>
      </c>
      <c r="CD175" s="59">
        <f ca="1">AVERAGE(OFFSET($CC$3,0,0,'Données projet'!$E$12+1,1))-AVERAGE(OFFSET($H$3,0,0,'Données projet'!$E$12+1,1))</f>
        <v>292.52253679467469</v>
      </c>
      <c r="CE175" s="59">
        <f t="shared" si="148"/>
        <v>155.7114133976541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44.388556005389724</v>
      </c>
      <c r="CL175" s="21">
        <f>EXP(-LN(2)/25)*CL174+(1-EXP(-LN(2)/25))/(LN(2)/25)*Calculateur!CG175*Calculateur!CI175*VLOOKUP('Données projet'!$B$12,Paramètres!$A$1:$I$89,3,0)*0.475*44/12</f>
        <v>19.844042830267249</v>
      </c>
      <c r="CM175" s="21">
        <f>EXP(-LN(2)/2)*CM174+(1-EXP(-LN(2)/2))/(LN(2)/2)*CG175*CJ175*VLOOKUP('Données projet'!$B$12,Paramètres!$A$1:$I$89,3,0)*0.475*44/12</f>
        <v>3.4385618627219317E-4</v>
      </c>
      <c r="CN175" s="22">
        <f t="shared" si="172"/>
        <v>64.232942691843249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-1.1368683772161603E-13</v>
      </c>
      <c r="CU175" s="17">
        <f>CT175*VLOOKUP('Données projet'!$B$13,Paramètres!$A$1:$I$89,3,0)*VLOOKUP('Données projet'!$B$13,Paramètres!$A$1:$I$89,5,0)</f>
        <v>-8.8675733422860506E-14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100.54865094989304</v>
      </c>
      <c r="CZ175" s="59">
        <f t="shared" si="150"/>
        <v>99.95654161405389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3.5846044807315454</v>
      </c>
      <c r="DG175" s="21">
        <f>EXP(-LN(2)/25)*DG174+(1-EXP(-LN(2)/25))/(LN(2)/25)*Calculateur!DB175*Calculateur!DD175*VLOOKUP('Données projet'!$B$13,Paramètres!$A$1:$I$89,3,0)*0.475*44/12</f>
        <v>1.5607496630527378</v>
      </c>
      <c r="DH175" s="21">
        <f>EXP(-LN(2)/2)*DH174+(1-EXP(-LN(2)/2))/(LN(2)/2)*DB175*DE175*VLOOKUP('Données projet'!$B$13,Paramètres!$A$1:$I$89,3,0)*0.475*44/12</f>
        <v>1.2229816848390825E-14</v>
      </c>
      <c r="DI175" s="22">
        <f t="shared" si="175"/>
        <v>5.1453541437842958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4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151.13280000000012</v>
      </c>
      <c r="D176" s="11">
        <f t="shared" si="140"/>
        <v>38.835905653934461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1466.4250962759863</v>
      </c>
      <c r="H176" s="67">
        <f t="shared" si="110"/>
        <v>624.19549568060279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3.4106051316484809E-13</v>
      </c>
      <c r="O176" s="13">
        <f>N176*VLOOKUP('Données projet'!$B$9,Paramètres!$A$1:$I$89,3,0)*VLOOKUP('Données projet'!$B$9,Paramètres!$A$1:$I$89,5,0)</f>
        <v>1.9065282685915009E-13</v>
      </c>
      <c r="P176" s="13">
        <f t="shared" si="141"/>
        <v>2.6568987209435707E-12</v>
      </c>
      <c r="Q176" s="20">
        <f t="shared" si="162"/>
        <v>4.959485612423072E-12</v>
      </c>
      <c r="R176" s="59">
        <f t="shared" si="109"/>
        <v>293.33333333333826</v>
      </c>
      <c r="S176" s="59">
        <f ca="1">AVERAGE(OFFSET($R$3,0,0,'Données projet'!$E$9+1,1))-AVERAGE(OFFSET($H$3,0,0,'Données projet'!$E$9+1,1))</f>
        <v>324.69474275039357</v>
      </c>
      <c r="T176" s="59">
        <f t="shared" si="142"/>
        <v>437.68177084535927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23.374176098276529</v>
      </c>
      <c r="AA176" s="21">
        <f>EXP(-LN(2)/25)*AA175+(1-EXP(-LN(2)/25))/(LN(2)/25)*Calculateur!V176*Calculateur!X176*VLOOKUP('Données projet'!$B$9,Paramètres!$A$1:$I$89,3,0)*0.475*44/12</f>
        <v>3.1370385085669685</v>
      </c>
      <c r="AB176" s="21">
        <f>EXP(-LN(2)/2)*AB175+(1-EXP(-LN(2)/2))/(LN(2)/2)*V176*Y176*VLOOKUP('Données projet'!$B$9,Paramètres!$A$1:$I$89,3,0)*0.475*44/12</f>
        <v>1.1224703004892988E-16</v>
      </c>
      <c r="AC176" s="22">
        <f t="shared" si="163"/>
        <v>26.511214606843495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1.1368683772161603E-13</v>
      </c>
      <c r="AJ176" s="13">
        <f>AI176*VLOOKUP('Données projet'!$B$10,Paramètres!$A$1:$I$89,3,0)*VLOOKUP('Données projet'!$B$10,Paramètres!$A$1:$I$89,5,0)</f>
        <v>6.7984728957526396E-14</v>
      </c>
      <c r="AK176" s="13">
        <f t="shared" si="164"/>
        <v>1.0682447123141398E-12</v>
      </c>
      <c r="AL176" s="20">
        <f t="shared" si="165"/>
        <v>1.978932943548152E-12</v>
      </c>
      <c r="AM176" s="59">
        <f t="shared" si="113"/>
        <v>293.3333333333353</v>
      </c>
      <c r="AN176" s="59">
        <f ca="1">AVERAGE(OFFSET($AM$3,0,0,'Données projet'!$E$10+1,1))-AVERAGE(OFFSET($H$3,0,0,'Données projet'!$E$10+1,1))</f>
        <v>214.93913810439858</v>
      </c>
      <c r="AO176" s="59">
        <f t="shared" si="144"/>
        <v>210.65603079265924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14.81524390227078</v>
      </c>
      <c r="AV176" s="21">
        <f>EXP(-LN(2)/25)*AV175+(1-EXP(-LN(2)/25))/(LN(2)/25)*Calculateur!AQ176*Calculateur!AS176*VLOOKUP('Données projet'!$B$10,Paramètres!$A$1:$I$89,3,0)*0.475*44/12</f>
        <v>2.1113157920583516</v>
      </c>
      <c r="AW176" s="21">
        <f>EXP(-LN(2)/2)*AW175+(1-EXP(-LN(2)/2))/(LN(2)/2)*AQ176*AT176*VLOOKUP('Données projet'!$B$10,Paramètres!$A$1:$I$89,3,0)*0.475*44/12</f>
        <v>5.8840630742966053E-16</v>
      </c>
      <c r="AX176" s="21">
        <f t="shared" si="166"/>
        <v>16.926559694329132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3.979039320256561E-13</v>
      </c>
      <c r="BE176" s="13">
        <f>BD176*VLOOKUP('Données projet'!$B$11,Paramètres!$A$1:$I$89,3,0)*VLOOKUP('Données projet'!$B$11,Paramètres!$A$1:$I$89,5,0)</f>
        <v>3.6002347769681362E-13</v>
      </c>
      <c r="BF176" s="13">
        <f t="shared" si="167"/>
        <v>4.6593569189922594E-12</v>
      </c>
      <c r="BG176" s="20">
        <f t="shared" si="168"/>
        <v>8.7420875242334695E-12</v>
      </c>
      <c r="BH176" s="59">
        <f t="shared" si="116"/>
        <v>293.33333333334207</v>
      </c>
      <c r="BI176" s="59">
        <f ca="1">AVERAGE(OFFSET($BH$3,0,0,'Données projet'!$E$11+1,1))-AVERAGE(OFFSET($H$3,0,0,'Données projet'!$E$11+1,1))</f>
        <v>507.69556381324213</v>
      </c>
      <c r="BJ176" s="59">
        <f t="shared" si="146"/>
        <v>129.52638237044044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132.07379287217418</v>
      </c>
      <c r="BQ176" s="21">
        <f>EXP(-LN(2)/25)*BQ175+(1-EXP(-LN(2)/25))/(LN(2)/25)*Calculateur!BL176*Calculateur!BN176*VLOOKUP('Données projet'!$B$11,Paramètres!$A$1:$I$89,3,0)*0.475*44/12</f>
        <v>20.630525239023864</v>
      </c>
      <c r="BR176" s="21">
        <f>EXP(-LN(2)/2)*BR175+(1-EXP(-LN(2)/2))/(LN(2)/2)*BL176*BO176*VLOOKUP('Données projet'!$B$11,Paramètres!$A$1:$I$89,3,0)*0.475*44/12</f>
        <v>8.892400707035443E-2</v>
      </c>
      <c r="BS176" s="22">
        <f t="shared" si="169"/>
        <v>152.79324211826838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7.688333333333337</v>
      </c>
      <c r="BY176" s="12">
        <f>IF('Données projet'!$A$114&gt;35,BY175+BX176-CG175,IF(A176&lt;'Données projet'!$A$114,$BV$205^A176,IF(A176='Données projet'!$A$114,'Données projet'!$B$114,BY175+BX176-CG175)))</f>
        <v>402.72166666666635</v>
      </c>
      <c r="BZ176" s="13">
        <f>BY176*VLOOKUP('Données projet'!$B$12,Paramètres!$A$1:$I$89,3,0)*VLOOKUP('Données projet'!$B$12,Paramètres!$A$1:$I$89,5,0)</f>
        <v>389.51239599999968</v>
      </c>
      <c r="CA176" s="13">
        <f t="shared" si="170"/>
        <v>89.647187887544248</v>
      </c>
      <c r="CB176" s="20">
        <f t="shared" si="171"/>
        <v>834.53627527080562</v>
      </c>
      <c r="CC176" s="59">
        <f t="shared" si="119"/>
        <v>1127.8696086041389</v>
      </c>
      <c r="CD176" s="59">
        <f ca="1">AVERAGE(OFFSET($CC$3,0,0,'Données projet'!$E$12+1,1))-AVERAGE(OFFSET($H$3,0,0,'Données projet'!$E$12+1,1))</f>
        <v>292.52253679467469</v>
      </c>
      <c r="CE176" s="59">
        <f t="shared" si="148"/>
        <v>155.7114133976541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43.518123496469826</v>
      </c>
      <c r="CL176" s="21">
        <f>EXP(-LN(2)/25)*CL175+(1-EXP(-LN(2)/25))/(LN(2)/25)*Calculateur!CG176*Calculateur!CI176*VLOOKUP('Données projet'!$B$12,Paramètres!$A$1:$I$89,3,0)*0.475*44/12</f>
        <v>19.301406435520732</v>
      </c>
      <c r="CM176" s="21">
        <f>EXP(-LN(2)/2)*CM175+(1-EXP(-LN(2)/2))/(LN(2)/2)*CG176*CJ176*VLOOKUP('Données projet'!$B$12,Paramètres!$A$1:$I$89,3,0)*0.475*44/12</f>
        <v>2.4314304106601243E-4</v>
      </c>
      <c r="CN176" s="22">
        <f t="shared" si="172"/>
        <v>62.819773075031627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-1.1368683772161603E-13</v>
      </c>
      <c r="CU176" s="17">
        <f>CT176*VLOOKUP('Données projet'!$B$13,Paramètres!$A$1:$I$89,3,0)*VLOOKUP('Données projet'!$B$13,Paramètres!$A$1:$I$89,5,0)</f>
        <v>-8.8675733422860506E-14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100.54865094989304</v>
      </c>
      <c r="CZ176" s="59">
        <f t="shared" si="150"/>
        <v>99.95654161405389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3.5143125732572447</v>
      </c>
      <c r="DG176" s="21">
        <f>EXP(-LN(2)/25)*DG175+(1-EXP(-LN(2)/25))/(LN(2)/25)*Calculateur!DB176*Calculateur!DD176*VLOOKUP('Données projet'!$B$13,Paramètres!$A$1:$I$89,3,0)*0.475*44/12</f>
        <v>1.518070881440303</v>
      </c>
      <c r="DH176" s="21">
        <f>EXP(-LN(2)/2)*DH175+(1-EXP(-LN(2)/2))/(LN(2)/2)*DB176*DE176*VLOOKUP('Données projet'!$B$13,Paramètres!$A$1:$I$89,3,0)*0.475*44/12</f>
        <v>8.6477864261666431E-15</v>
      </c>
      <c r="DI176" s="22">
        <f t="shared" si="175"/>
        <v>5.0323834546975563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4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152.00640000000013</v>
      </c>
      <c r="D177" s="11">
        <f t="shared" si="140"/>
        <v>39.034194016561486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1474.6993222331073</v>
      </c>
      <c r="H177" s="67">
        <f t="shared" si="110"/>
        <v>626.06236791217816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3.4106051316484809E-13</v>
      </c>
      <c r="O177" s="13">
        <f>N177*VLOOKUP('Données projet'!$B$9,Paramètres!$A$1:$I$89,3,0)*VLOOKUP('Données projet'!$B$9,Paramètres!$A$1:$I$89,5,0)</f>
        <v>1.9065282685915009E-13</v>
      </c>
      <c r="P177" s="13">
        <f t="shared" si="141"/>
        <v>2.6568987209435707E-12</v>
      </c>
      <c r="Q177" s="20">
        <f t="shared" si="162"/>
        <v>4.959485612423072E-12</v>
      </c>
      <c r="R177" s="59">
        <f t="shared" si="109"/>
        <v>293.33333333333826</v>
      </c>
      <c r="S177" s="59">
        <f ca="1">AVERAGE(OFFSET($R$3,0,0,'Données projet'!$E$9+1,1))-AVERAGE(OFFSET($H$3,0,0,'Données projet'!$E$9+1,1))</f>
        <v>324.69474275039357</v>
      </c>
      <c r="T177" s="59">
        <f t="shared" si="142"/>
        <v>437.68177084535927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22.915822761828998</v>
      </c>
      <c r="AA177" s="21">
        <f>EXP(-LN(2)/25)*AA176+(1-EXP(-LN(2)/25))/(LN(2)/25)*Calculateur!V177*Calculateur!X177*VLOOKUP('Données projet'!$B$9,Paramètres!$A$1:$I$89,3,0)*0.475*44/12</f>
        <v>3.0512560255805194</v>
      </c>
      <c r="AB177" s="21">
        <f>EXP(-LN(2)/2)*AB176+(1-EXP(-LN(2)/2))/(LN(2)/2)*V177*Y177*VLOOKUP('Données projet'!$B$9,Paramètres!$A$1:$I$89,3,0)*0.475*44/12</f>
        <v>7.9370636115648488E-17</v>
      </c>
      <c r="AC177" s="22">
        <f t="shared" si="163"/>
        <v>25.96707878740952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1.1368683772161603E-13</v>
      </c>
      <c r="AJ177" s="13">
        <f>AI177*VLOOKUP('Données projet'!$B$10,Paramètres!$A$1:$I$89,3,0)*VLOOKUP('Données projet'!$B$10,Paramètres!$A$1:$I$89,5,0)</f>
        <v>6.7984728957526396E-14</v>
      </c>
      <c r="AK177" s="13">
        <f t="shared" si="164"/>
        <v>1.0682447123141398E-12</v>
      </c>
      <c r="AL177" s="20">
        <f t="shared" si="165"/>
        <v>1.978932943548152E-12</v>
      </c>
      <c r="AM177" s="59">
        <f t="shared" si="113"/>
        <v>293.3333333333353</v>
      </c>
      <c r="AN177" s="59">
        <f ca="1">AVERAGE(OFFSET($AM$3,0,0,'Données projet'!$E$10+1,1))-AVERAGE(OFFSET($H$3,0,0,'Données projet'!$E$10+1,1))</f>
        <v>214.93913810439858</v>
      </c>
      <c r="AO177" s="59">
        <f t="shared" si="144"/>
        <v>210.65603079265924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14.524726005753759</v>
      </c>
      <c r="AV177" s="21">
        <f>EXP(-LN(2)/25)*AV176+(1-EXP(-LN(2)/25))/(LN(2)/25)*Calculateur!AQ177*Calculateur!AS177*VLOOKUP('Données projet'!$B$10,Paramètres!$A$1:$I$89,3,0)*0.475*44/12</f>
        <v>2.0535817506952441</v>
      </c>
      <c r="AW177" s="21">
        <f>EXP(-LN(2)/2)*AW176+(1-EXP(-LN(2)/2))/(LN(2)/2)*AQ177*AT177*VLOOKUP('Données projet'!$B$10,Paramètres!$A$1:$I$89,3,0)*0.475*44/12</f>
        <v>4.1606609007644939E-16</v>
      </c>
      <c r="AX177" s="21">
        <f t="shared" si="166"/>
        <v>16.578307756449004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3.979039320256561E-13</v>
      </c>
      <c r="BE177" s="13">
        <f>BD177*VLOOKUP('Données projet'!$B$11,Paramètres!$A$1:$I$89,3,0)*VLOOKUP('Données projet'!$B$11,Paramètres!$A$1:$I$89,5,0)</f>
        <v>3.6002347769681362E-13</v>
      </c>
      <c r="BF177" s="13">
        <f t="shared" si="167"/>
        <v>4.6593569189922594E-12</v>
      </c>
      <c r="BG177" s="20">
        <f t="shared" si="168"/>
        <v>8.7420875242334695E-12</v>
      </c>
      <c r="BH177" s="59">
        <f t="shared" si="116"/>
        <v>293.33333333334207</v>
      </c>
      <c r="BI177" s="59">
        <f ca="1">AVERAGE(OFFSET($BH$3,0,0,'Données projet'!$E$11+1,1))-AVERAGE(OFFSET($H$3,0,0,'Données projet'!$E$11+1,1))</f>
        <v>507.69556381324213</v>
      </c>
      <c r="BJ177" s="59">
        <f t="shared" si="146"/>
        <v>129.52638237044044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129.48390635101015</v>
      </c>
      <c r="BQ177" s="21">
        <f>EXP(-LN(2)/25)*BQ176+(1-EXP(-LN(2)/25))/(LN(2)/25)*Calculateur!BL177*Calculateur!BN177*VLOOKUP('Données projet'!$B$11,Paramètres!$A$1:$I$89,3,0)*0.475*44/12</f>
        <v>20.066382441450585</v>
      </c>
      <c r="BR177" s="21">
        <f>EXP(-LN(2)/2)*BR176+(1-EXP(-LN(2)/2))/(LN(2)/2)*BL177*BO177*VLOOKUP('Données projet'!$B$11,Paramètres!$A$1:$I$89,3,0)*0.475*44/12</f>
        <v>6.2878768409728114E-2</v>
      </c>
      <c r="BS177" s="22">
        <f t="shared" si="169"/>
        <v>149.61316756087044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7.688333333333337</v>
      </c>
      <c r="BY177" s="12">
        <f>IF('Données projet'!$A$114&gt;35,BY176+BX177-CG176,IF(A177&lt;'Données projet'!$A$114,$BV$205^A177,IF(A177='Données projet'!$A$114,'Données projet'!$B$114,BY176+BX177-CG176)))</f>
        <v>410.40999999999968</v>
      </c>
      <c r="BZ177" s="13">
        <f>BY177*VLOOKUP('Données projet'!$B$12,Paramètres!$A$1:$I$89,3,0)*VLOOKUP('Données projet'!$B$12,Paramètres!$A$1:$I$89,5,0)</f>
        <v>396.94855199999972</v>
      </c>
      <c r="CA177" s="13">
        <f t="shared" si="170"/>
        <v>91.157755520722489</v>
      </c>
      <c r="CB177" s="20">
        <f t="shared" si="171"/>
        <v>850.11848559859118</v>
      </c>
      <c r="CC177" s="59">
        <f t="shared" si="119"/>
        <v>1143.4518189319244</v>
      </c>
      <c r="CD177" s="59">
        <f ca="1">AVERAGE(OFFSET($CC$3,0,0,'Données projet'!$E$12+1,1))-AVERAGE(OFFSET($H$3,0,0,'Données projet'!$E$12+1,1))</f>
        <v>292.52253679467469</v>
      </c>
      <c r="CE177" s="59">
        <f t="shared" si="148"/>
        <v>155.7114133976541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42.664759638138442</v>
      </c>
      <c r="CL177" s="21">
        <f>EXP(-LN(2)/25)*CL176+(1-EXP(-LN(2)/25))/(LN(2)/25)*Calculateur!CG177*Calculateur!CI177*VLOOKUP('Données projet'!$B$12,Paramètres!$A$1:$I$89,3,0)*0.475*44/12</f>
        <v>18.773608461524567</v>
      </c>
      <c r="CM177" s="21">
        <f>EXP(-LN(2)/2)*CM176+(1-EXP(-LN(2)/2))/(LN(2)/2)*CG177*CJ177*VLOOKUP('Données projet'!$B$12,Paramètres!$A$1:$I$89,3,0)*0.475*44/12</f>
        <v>1.7192809313609661E-4</v>
      </c>
      <c r="CN177" s="22">
        <f t="shared" si="172"/>
        <v>61.438540027756147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-1.1368683772161603E-13</v>
      </c>
      <c r="CU177" s="17">
        <f>CT177*VLOOKUP('Données projet'!$B$13,Paramètres!$A$1:$I$89,3,0)*VLOOKUP('Données projet'!$B$13,Paramètres!$A$1:$I$89,5,0)</f>
        <v>-8.8675733422860506E-14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100.54865094989304</v>
      </c>
      <c r="CZ177" s="59">
        <f t="shared" si="150"/>
        <v>99.95654161405389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3.4453990472146847</v>
      </c>
      <c r="DG177" s="21">
        <f>EXP(-LN(2)/25)*DG176+(1-EXP(-LN(2)/25))/(LN(2)/25)*Calculateur!DB177*Calculateur!DD177*VLOOKUP('Données projet'!$B$13,Paramètres!$A$1:$I$89,3,0)*0.475*44/12</f>
        <v>1.4765591533554399</v>
      </c>
      <c r="DH177" s="21">
        <f>EXP(-LN(2)/2)*DH176+(1-EXP(-LN(2)/2))/(LN(2)/2)*DB177*DE177*VLOOKUP('Données projet'!$B$13,Paramètres!$A$1:$I$89,3,0)*0.475*44/12</f>
        <v>6.1149084241954125E-15</v>
      </c>
      <c r="DI177" s="22">
        <f t="shared" si="175"/>
        <v>4.9219582005701303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4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152.88000000000014</v>
      </c>
      <c r="D178" s="11">
        <f t="shared" si="140"/>
        <v>39.232349774697887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1482.9725245766165</v>
      </c>
      <c r="H178" s="67">
        <f t="shared" si="110"/>
        <v>627.92900919093245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3.4106051316484809E-13</v>
      </c>
      <c r="O178" s="13">
        <f>N178*VLOOKUP('Données projet'!$B$9,Paramètres!$A$1:$I$89,3,0)*VLOOKUP('Données projet'!$B$9,Paramètres!$A$1:$I$89,5,0)</f>
        <v>1.9065282685915009E-13</v>
      </c>
      <c r="P178" s="13">
        <f t="shared" si="141"/>
        <v>2.6568987209435707E-12</v>
      </c>
      <c r="Q178" s="20">
        <f t="shared" si="162"/>
        <v>4.959485612423072E-12</v>
      </c>
      <c r="R178" s="59">
        <f t="shared" si="109"/>
        <v>293.33333333333826</v>
      </c>
      <c r="S178" s="59">
        <f ca="1">AVERAGE(OFFSET($R$3,0,0,'Données projet'!$E$9+1,1))-AVERAGE(OFFSET($H$3,0,0,'Données projet'!$E$9+1,1))</f>
        <v>324.69474275039357</v>
      </c>
      <c r="T178" s="59">
        <f t="shared" si="142"/>
        <v>437.68177084535927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22.466457454741274</v>
      </c>
      <c r="AA178" s="21">
        <f>EXP(-LN(2)/25)*AA177+(1-EXP(-LN(2)/25))/(LN(2)/25)*Calculateur!V178*Calculateur!X178*VLOOKUP('Données projet'!$B$9,Paramètres!$A$1:$I$89,3,0)*0.475*44/12</f>
        <v>2.9678192691024394</v>
      </c>
      <c r="AB178" s="21">
        <f>EXP(-LN(2)/2)*AB177+(1-EXP(-LN(2)/2))/(LN(2)/2)*V178*Y178*VLOOKUP('Données projet'!$B$9,Paramètres!$A$1:$I$89,3,0)*0.475*44/12</f>
        <v>5.6123515024464939E-17</v>
      </c>
      <c r="AC178" s="22">
        <f t="shared" si="163"/>
        <v>25.434276723843713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1.1368683772161603E-13</v>
      </c>
      <c r="AJ178" s="13">
        <f>AI178*VLOOKUP('Données projet'!$B$10,Paramètres!$A$1:$I$89,3,0)*VLOOKUP('Données projet'!$B$10,Paramètres!$A$1:$I$89,5,0)</f>
        <v>6.7984728957526396E-14</v>
      </c>
      <c r="AK178" s="13">
        <f t="shared" si="164"/>
        <v>1.0682447123141398E-12</v>
      </c>
      <c r="AL178" s="20">
        <f t="shared" si="165"/>
        <v>1.978932943548152E-12</v>
      </c>
      <c r="AM178" s="59">
        <f t="shared" si="113"/>
        <v>293.3333333333353</v>
      </c>
      <c r="AN178" s="59">
        <f ca="1">AVERAGE(OFFSET($AM$3,0,0,'Données projet'!$E$10+1,1))-AVERAGE(OFFSET($H$3,0,0,'Données projet'!$E$10+1,1))</f>
        <v>214.93913810439858</v>
      </c>
      <c r="AO178" s="59">
        <f t="shared" si="144"/>
        <v>210.65603079265924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14.239904987989018</v>
      </c>
      <c r="AV178" s="21">
        <f>EXP(-LN(2)/25)*AV177+(1-EXP(-LN(2)/25))/(LN(2)/25)*Calculateur!AQ178*Calculateur!AS178*VLOOKUP('Données projet'!$B$10,Paramètres!$A$1:$I$89,3,0)*0.475*44/12</f>
        <v>1.9974264497293119</v>
      </c>
      <c r="AW178" s="21">
        <f>EXP(-LN(2)/2)*AW177+(1-EXP(-LN(2)/2))/(LN(2)/2)*AQ178*AT178*VLOOKUP('Données projet'!$B$10,Paramètres!$A$1:$I$89,3,0)*0.475*44/12</f>
        <v>2.9420315371483027E-16</v>
      </c>
      <c r="AX178" s="21">
        <f t="shared" si="166"/>
        <v>16.237331437718328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3.979039320256561E-13</v>
      </c>
      <c r="BE178" s="13">
        <f>BD178*VLOOKUP('Données projet'!$B$11,Paramètres!$A$1:$I$89,3,0)*VLOOKUP('Données projet'!$B$11,Paramètres!$A$1:$I$89,5,0)</f>
        <v>3.6002347769681362E-13</v>
      </c>
      <c r="BF178" s="13">
        <f t="shared" si="167"/>
        <v>4.6593569189922594E-12</v>
      </c>
      <c r="BG178" s="20">
        <f t="shared" si="168"/>
        <v>8.7420875242334695E-12</v>
      </c>
      <c r="BH178" s="59">
        <f t="shared" si="116"/>
        <v>293.33333333334207</v>
      </c>
      <c r="BI178" s="59">
        <f ca="1">AVERAGE(OFFSET($BH$3,0,0,'Données projet'!$E$11+1,1))-AVERAGE(OFFSET($H$3,0,0,'Données projet'!$E$11+1,1))</f>
        <v>507.69556381324213</v>
      </c>
      <c r="BJ178" s="59">
        <f t="shared" si="146"/>
        <v>129.52638237044044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126.94480592485134</v>
      </c>
      <c r="BQ178" s="21">
        <f>EXP(-LN(2)/25)*BQ177+(1-EXP(-LN(2)/25))/(LN(2)/25)*Calculateur!BL178*Calculateur!BN178*VLOOKUP('Données projet'!$B$11,Paramètres!$A$1:$I$89,3,0)*0.475*44/12</f>
        <v>19.517666158343928</v>
      </c>
      <c r="BR178" s="21">
        <f>EXP(-LN(2)/2)*BR177+(1-EXP(-LN(2)/2))/(LN(2)/2)*BL178*BO178*VLOOKUP('Données projet'!$B$11,Paramètres!$A$1:$I$89,3,0)*0.475*44/12</f>
        <v>4.4462003535177215E-2</v>
      </c>
      <c r="BS178" s="22">
        <f t="shared" si="169"/>
        <v>146.50693408673047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7.688333333333337</v>
      </c>
      <c r="BY178" s="12">
        <f>IF('Données projet'!$A$114&gt;35,BY177+BX178-CG177,IF(A178&lt;'Données projet'!$A$114,$BV$205^A178,IF(A178='Données projet'!$A$114,'Données projet'!$B$114,BY177+BX178-CG177)))</f>
        <v>418.09833333333302</v>
      </c>
      <c r="BZ178" s="13">
        <f>BY178*VLOOKUP('Données projet'!$B$12,Paramètres!$A$1:$I$89,3,0)*VLOOKUP('Données projet'!$B$12,Paramètres!$A$1:$I$89,5,0)</f>
        <v>404.3847079999997</v>
      </c>
      <c r="CA178" s="13">
        <f t="shared" si="170"/>
        <v>92.665032661718087</v>
      </c>
      <c r="CB178" s="20">
        <f t="shared" si="171"/>
        <v>865.6949649858251</v>
      </c>
      <c r="CC178" s="59">
        <f t="shared" si="119"/>
        <v>1159.0282983191585</v>
      </c>
      <c r="CD178" s="59">
        <f ca="1">AVERAGE(OFFSET($CC$3,0,0,'Données projet'!$E$12+1,1))-AVERAGE(OFFSET($H$3,0,0,'Données projet'!$E$12+1,1))</f>
        <v>292.52253679467469</v>
      </c>
      <c r="CE178" s="59">
        <f t="shared" si="148"/>
        <v>155.7114133976541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41.828129724568377</v>
      </c>
      <c r="CL178" s="21">
        <f>EXP(-LN(2)/25)*CL177+(1-EXP(-LN(2)/25))/(LN(2)/25)*Calculateur!CG178*Calculateur!CI178*VLOOKUP('Données projet'!$B$12,Paramètres!$A$1:$I$89,3,0)*0.475*44/12</f>
        <v>18.260243150883017</v>
      </c>
      <c r="CM178" s="21">
        <f>EXP(-LN(2)/2)*CM177+(1-EXP(-LN(2)/2))/(LN(2)/2)*CG178*CJ178*VLOOKUP('Données projet'!$B$12,Paramètres!$A$1:$I$89,3,0)*0.475*44/12</f>
        <v>1.2157152053300624E-4</v>
      </c>
      <c r="CN178" s="22">
        <f t="shared" si="172"/>
        <v>60.088494446971929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-1.1368683772161603E-13</v>
      </c>
      <c r="CU178" s="17">
        <f>CT178*VLOOKUP('Données projet'!$B$13,Paramètres!$A$1:$I$89,3,0)*VLOOKUP('Données projet'!$B$13,Paramètres!$A$1:$I$89,5,0)</f>
        <v>-8.8675733422860506E-14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100.54865094989304</v>
      </c>
      <c r="CZ178" s="59">
        <f t="shared" si="150"/>
        <v>99.95654161405389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3.3778368733847191</v>
      </c>
      <c r="DG178" s="21">
        <f>EXP(-LN(2)/25)*DG177+(1-EXP(-LN(2)/25))/(LN(2)/25)*Calculateur!DB178*Calculateur!DD178*VLOOKUP('Données projet'!$B$13,Paramètres!$A$1:$I$89,3,0)*0.475*44/12</f>
        <v>1.4361825656580642</v>
      </c>
      <c r="DH178" s="21">
        <f>EXP(-LN(2)/2)*DH177+(1-EXP(-LN(2)/2))/(LN(2)/2)*DB178*DE178*VLOOKUP('Données projet'!$B$13,Paramètres!$A$1:$I$89,3,0)*0.475*44/12</f>
        <v>4.3238932130833216E-15</v>
      </c>
      <c r="DI178" s="22">
        <f t="shared" si="175"/>
        <v>4.814019439042788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4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153.75360000000015</v>
      </c>
      <c r="D179" s="11">
        <f t="shared" si="140"/>
        <v>39.430373774012395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1491.2447098344828</v>
      </c>
      <c r="H179" s="67">
        <f t="shared" si="110"/>
        <v>629.79542098973843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3.4106051316484809E-13</v>
      </c>
      <c r="O179" s="13">
        <f>N179*VLOOKUP('Données projet'!$B$9,Paramètres!$A$1:$I$89,3,0)*VLOOKUP('Données projet'!$B$9,Paramètres!$A$1:$I$89,5,0)</f>
        <v>1.9065282685915009E-13</v>
      </c>
      <c r="P179" s="13">
        <f t="shared" si="141"/>
        <v>2.6568987209435707E-12</v>
      </c>
      <c r="Q179" s="20">
        <f t="shared" si="162"/>
        <v>4.959485612423072E-12</v>
      </c>
      <c r="R179" s="59">
        <f t="shared" si="109"/>
        <v>293.33333333333826</v>
      </c>
      <c r="S179" s="59">
        <f ca="1">AVERAGE(OFFSET($R$3,0,0,'Données projet'!$E$9+1,1))-AVERAGE(OFFSET($H$3,0,0,'Données projet'!$E$9+1,1))</f>
        <v>324.69474275039357</v>
      </c>
      <c r="T179" s="59">
        <f t="shared" si="142"/>
        <v>437.68177084535927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22.025903927239767</v>
      </c>
      <c r="AA179" s="21">
        <f>EXP(-LN(2)/25)*AA178+(1-EXP(-LN(2)/25))/(LN(2)/25)*Calculateur!V179*Calculateur!X179*VLOOKUP('Données projet'!$B$9,Paramètres!$A$1:$I$89,3,0)*0.475*44/12</f>
        <v>2.8866640951180007</v>
      </c>
      <c r="AB179" s="21">
        <f>EXP(-LN(2)/2)*AB178+(1-EXP(-LN(2)/2))/(LN(2)/2)*V179*Y179*VLOOKUP('Données projet'!$B$9,Paramètres!$A$1:$I$89,3,0)*0.475*44/12</f>
        <v>3.9685318057824244E-17</v>
      </c>
      <c r="AC179" s="22">
        <f t="shared" si="163"/>
        <v>24.912568022357767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1.1368683772161603E-13</v>
      </c>
      <c r="AJ179" s="13">
        <f>AI179*VLOOKUP('Données projet'!$B$10,Paramètres!$A$1:$I$89,3,0)*VLOOKUP('Données projet'!$B$10,Paramètres!$A$1:$I$89,5,0)</f>
        <v>6.7984728957526396E-14</v>
      </c>
      <c r="AK179" s="13">
        <f t="shared" si="164"/>
        <v>1.0682447123141398E-12</v>
      </c>
      <c r="AL179" s="20">
        <f t="shared" si="165"/>
        <v>1.978932943548152E-12</v>
      </c>
      <c r="AM179" s="59">
        <f t="shared" si="113"/>
        <v>293.3333333333353</v>
      </c>
      <c r="AN179" s="59">
        <f ca="1">AVERAGE(OFFSET($AM$3,0,0,'Données projet'!$E$10+1,1))-AVERAGE(OFFSET($H$3,0,0,'Données projet'!$E$10+1,1))</f>
        <v>214.93913810439858</v>
      </c>
      <c r="AO179" s="59">
        <f t="shared" si="144"/>
        <v>210.65603079265924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13.960669136658975</v>
      </c>
      <c r="AV179" s="21">
        <f>EXP(-LN(2)/25)*AV178+(1-EXP(-LN(2)/25))/(LN(2)/25)*Calculateur!AQ179*Calculateur!AS179*VLOOKUP('Données projet'!$B$10,Paramètres!$A$1:$I$89,3,0)*0.475*44/12</f>
        <v>1.942806718421372</v>
      </c>
      <c r="AW179" s="21">
        <f>EXP(-LN(2)/2)*AW178+(1-EXP(-LN(2)/2))/(LN(2)/2)*AQ179*AT179*VLOOKUP('Données projet'!$B$10,Paramètres!$A$1:$I$89,3,0)*0.475*44/12</f>
        <v>2.0803304503822469E-16</v>
      </c>
      <c r="AX179" s="21">
        <f t="shared" si="166"/>
        <v>15.903475855080346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3.979039320256561E-13</v>
      </c>
      <c r="BE179" s="13">
        <f>BD179*VLOOKUP('Données projet'!$B$11,Paramètres!$A$1:$I$89,3,0)*VLOOKUP('Données projet'!$B$11,Paramètres!$A$1:$I$89,5,0)</f>
        <v>3.6002347769681362E-13</v>
      </c>
      <c r="BF179" s="13">
        <f t="shared" si="167"/>
        <v>4.6593569189922594E-12</v>
      </c>
      <c r="BG179" s="20">
        <f t="shared" si="168"/>
        <v>8.7420875242334695E-12</v>
      </c>
      <c r="BH179" s="59">
        <f t="shared" si="116"/>
        <v>293.33333333334207</v>
      </c>
      <c r="BI179" s="59">
        <f ca="1">AVERAGE(OFFSET($BH$3,0,0,'Données projet'!$E$11+1,1))-AVERAGE(OFFSET($H$3,0,0,'Données projet'!$E$11+1,1))</f>
        <v>507.69556381324213</v>
      </c>
      <c r="BJ179" s="59">
        <f t="shared" si="146"/>
        <v>129.52638237044044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124.45549570935117</v>
      </c>
      <c r="BQ179" s="21">
        <f>EXP(-LN(2)/25)*BQ178+(1-EXP(-LN(2)/25))/(LN(2)/25)*Calculateur!BL179*Calculateur!BN179*VLOOKUP('Données projet'!$B$11,Paramètres!$A$1:$I$89,3,0)*0.475*44/12</f>
        <v>18.983954550854559</v>
      </c>
      <c r="BR179" s="21">
        <f>EXP(-LN(2)/2)*BR178+(1-EXP(-LN(2)/2))/(LN(2)/2)*BL179*BO179*VLOOKUP('Données projet'!$B$11,Paramètres!$A$1:$I$89,3,0)*0.475*44/12</f>
        <v>3.1439384204864057E-2</v>
      </c>
      <c r="BS179" s="22">
        <f t="shared" si="169"/>
        <v>143.47088964441059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7.688333333333337</v>
      </c>
      <c r="BY179" s="12">
        <f>IF('Données projet'!$A$114&gt;35,BY178+BX179-CG178,IF(A179&lt;'Données projet'!$A$114,$BV$205^A179,IF(A179='Données projet'!$A$114,'Données projet'!$B$114,BY178+BX179-CG178)))</f>
        <v>425.78666666666635</v>
      </c>
      <c r="BZ179" s="13">
        <f>BY179*VLOOKUP('Données projet'!$B$12,Paramètres!$A$1:$I$89,3,0)*VLOOKUP('Données projet'!$B$12,Paramètres!$A$1:$I$89,5,0)</f>
        <v>411.82086399999974</v>
      </c>
      <c r="CA179" s="13">
        <f t="shared" si="170"/>
        <v>94.169086797374149</v>
      </c>
      <c r="CB179" s="20">
        <f t="shared" si="171"/>
        <v>881.26583097209289</v>
      </c>
      <c r="CC179" s="59">
        <f t="shared" si="119"/>
        <v>1174.5991643054263</v>
      </c>
      <c r="CD179" s="59">
        <f ca="1">AVERAGE(OFFSET($CC$3,0,0,'Données projet'!$E$12+1,1))-AVERAGE(OFFSET($H$3,0,0,'Données projet'!$E$12+1,1))</f>
        <v>292.52253679467469</v>
      </c>
      <c r="CE179" s="59">
        <f t="shared" si="148"/>
        <v>155.7114133976541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41.007905613309561</v>
      </c>
      <c r="CL179" s="21">
        <f>EXP(-LN(2)/25)*CL178+(1-EXP(-LN(2)/25))/(LN(2)/25)*Calculateur!CG179*Calculateur!CI179*VLOOKUP('Données projet'!$B$12,Paramètres!$A$1:$I$89,3,0)*0.475*44/12</f>
        <v>17.760915841657667</v>
      </c>
      <c r="CM179" s="21">
        <f>EXP(-LN(2)/2)*CM178+(1-EXP(-LN(2)/2))/(LN(2)/2)*CG179*CJ179*VLOOKUP('Données projet'!$B$12,Paramètres!$A$1:$I$89,3,0)*0.475*44/12</f>
        <v>8.5964046568048319E-5</v>
      </c>
      <c r="CN179" s="22">
        <f t="shared" si="172"/>
        <v>58.768907419013793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-1.1368683772161603E-13</v>
      </c>
      <c r="CU179" s="17">
        <f>CT179*VLOOKUP('Données projet'!$B$13,Paramètres!$A$1:$I$89,3,0)*VLOOKUP('Données projet'!$B$13,Paramètres!$A$1:$I$89,5,0)</f>
        <v>-8.8675733422860506E-14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100.54865094989304</v>
      </c>
      <c r="CZ179" s="59">
        <f t="shared" si="150"/>
        <v>99.95654161405389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3.3115995525747022</v>
      </c>
      <c r="DG179" s="21">
        <f>EXP(-LN(2)/25)*DG178+(1-EXP(-LN(2)/25))/(LN(2)/25)*Calculateur!DB179*Calculateur!DD179*VLOOKUP('Données projet'!$B$13,Paramètres!$A$1:$I$89,3,0)*0.475*44/12</f>
        <v>1.3969100778745858</v>
      </c>
      <c r="DH179" s="21">
        <f>EXP(-LN(2)/2)*DH178+(1-EXP(-LN(2)/2))/(LN(2)/2)*DB179*DE179*VLOOKUP('Données projet'!$B$13,Paramètres!$A$1:$I$89,3,0)*0.475*44/12</f>
        <v>3.0574542120977062E-15</v>
      </c>
      <c r="DI179" s="22">
        <f t="shared" si="175"/>
        <v>4.7085096304492904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4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154.62720000000016</v>
      </c>
      <c r="D180" s="11">
        <f t="shared" si="140"/>
        <v>39.628266850007975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1499.5158844562031</v>
      </c>
      <c r="H180" s="67">
        <f t="shared" si="110"/>
        <v>631.6616047637641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3.4106051316484809E-13</v>
      </c>
      <c r="O180" s="13">
        <f>N180*VLOOKUP('Données projet'!$B$9,Paramètres!$A$1:$I$89,3,0)*VLOOKUP('Données projet'!$B$9,Paramètres!$A$1:$I$89,5,0)</f>
        <v>1.9065282685915009E-13</v>
      </c>
      <c r="P180" s="13">
        <f t="shared" si="141"/>
        <v>2.6568987209435707E-12</v>
      </c>
      <c r="Q180" s="20">
        <f t="shared" si="162"/>
        <v>4.959485612423072E-12</v>
      </c>
      <c r="R180" s="59">
        <f t="shared" si="109"/>
        <v>293.33333333333826</v>
      </c>
      <c r="S180" s="59">
        <f ca="1">AVERAGE(OFFSET($R$3,0,0,'Données projet'!$E$9+1,1))-AVERAGE(OFFSET($H$3,0,0,'Données projet'!$E$9+1,1))</f>
        <v>324.69474275039357</v>
      </c>
      <c r="T180" s="59">
        <f t="shared" si="142"/>
        <v>437.68177084535927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21.593989385701448</v>
      </c>
      <c r="AA180" s="21">
        <f>EXP(-LN(2)/25)*AA179+(1-EXP(-LN(2)/25))/(LN(2)/25)*Calculateur!V180*Calculateur!X180*VLOOKUP('Données projet'!$B$9,Paramètres!$A$1:$I$89,3,0)*0.475*44/12</f>
        <v>2.8077281136339316</v>
      </c>
      <c r="AB180" s="21">
        <f>EXP(-LN(2)/2)*AB179+(1-EXP(-LN(2)/2))/(LN(2)/2)*V180*Y180*VLOOKUP('Données projet'!$B$9,Paramètres!$A$1:$I$89,3,0)*0.475*44/12</f>
        <v>2.806175751223247E-17</v>
      </c>
      <c r="AC180" s="22">
        <f t="shared" si="163"/>
        <v>24.40171749933538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1.1368683772161603E-13</v>
      </c>
      <c r="AJ180" s="13">
        <f>AI180*VLOOKUP('Données projet'!$B$10,Paramètres!$A$1:$I$89,3,0)*VLOOKUP('Données projet'!$B$10,Paramètres!$A$1:$I$89,5,0)</f>
        <v>6.7984728957526396E-14</v>
      </c>
      <c r="AK180" s="13">
        <f t="shared" si="164"/>
        <v>1.0682447123141398E-12</v>
      </c>
      <c r="AL180" s="20">
        <f t="shared" si="165"/>
        <v>1.978932943548152E-12</v>
      </c>
      <c r="AM180" s="59">
        <f t="shared" si="113"/>
        <v>293.3333333333353</v>
      </c>
      <c r="AN180" s="59">
        <f ca="1">AVERAGE(OFFSET($AM$3,0,0,'Données projet'!$E$10+1,1))-AVERAGE(OFFSET($H$3,0,0,'Données projet'!$E$10+1,1))</f>
        <v>214.93913810439858</v>
      </c>
      <c r="AO180" s="59">
        <f t="shared" si="144"/>
        <v>210.65603079265924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13.686908930056463</v>
      </c>
      <c r="AV180" s="21">
        <f>EXP(-LN(2)/25)*AV179+(1-EXP(-LN(2)/25))/(LN(2)/25)*Calculateur!AQ180*Calculateur!AS180*VLOOKUP('Données projet'!$B$10,Paramètres!$A$1:$I$89,3,0)*0.475*44/12</f>
        <v>1.8896805665383747</v>
      </c>
      <c r="AW180" s="21">
        <f>EXP(-LN(2)/2)*AW179+(1-EXP(-LN(2)/2))/(LN(2)/2)*AQ180*AT180*VLOOKUP('Données projet'!$B$10,Paramètres!$A$1:$I$89,3,0)*0.475*44/12</f>
        <v>1.4710157685741513E-16</v>
      </c>
      <c r="AX180" s="21">
        <f t="shared" si="166"/>
        <v>15.576589496594838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3.979039320256561E-13</v>
      </c>
      <c r="BE180" s="13">
        <f>BD180*VLOOKUP('Données projet'!$B$11,Paramètres!$A$1:$I$89,3,0)*VLOOKUP('Données projet'!$B$11,Paramètres!$A$1:$I$89,5,0)</f>
        <v>3.6002347769681362E-13</v>
      </c>
      <c r="BF180" s="13">
        <f t="shared" si="167"/>
        <v>4.6593569189922594E-12</v>
      </c>
      <c r="BG180" s="20">
        <f t="shared" si="168"/>
        <v>8.7420875242334695E-12</v>
      </c>
      <c r="BH180" s="59">
        <f t="shared" si="116"/>
        <v>293.33333333334207</v>
      </c>
      <c r="BI180" s="59">
        <f ca="1">AVERAGE(OFFSET($BH$3,0,0,'Données projet'!$E$11+1,1))-AVERAGE(OFFSET($H$3,0,0,'Données projet'!$E$11+1,1))</f>
        <v>507.69556381324213</v>
      </c>
      <c r="BJ180" s="59">
        <f t="shared" si="146"/>
        <v>129.52638237044044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122.01499934884765</v>
      </c>
      <c r="BQ180" s="21">
        <f>EXP(-LN(2)/25)*BQ179+(1-EXP(-LN(2)/25))/(LN(2)/25)*Calculateur!BL180*Calculateur!BN180*VLOOKUP('Données projet'!$B$11,Paramètres!$A$1:$I$89,3,0)*0.475*44/12</f>
        <v>18.464837315338659</v>
      </c>
      <c r="BR180" s="21">
        <f>EXP(-LN(2)/2)*BR179+(1-EXP(-LN(2)/2))/(LN(2)/2)*BL180*BO180*VLOOKUP('Données projet'!$B$11,Paramètres!$A$1:$I$89,3,0)*0.475*44/12</f>
        <v>2.2231001767588607E-2</v>
      </c>
      <c r="BS180" s="22">
        <f t="shared" si="169"/>
        <v>140.50206766595389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7.688333333333337</v>
      </c>
      <c r="BY180" s="12">
        <f>IF('Données projet'!$A$114&gt;35,BY179+BX180-CG179,IF(A180&lt;'Données projet'!$A$114,$BV$205^A180,IF(A180='Données projet'!$A$114,'Données projet'!$B$114,BY179+BX180-CG179)))</f>
        <v>433.47499999999968</v>
      </c>
      <c r="BZ180" s="13">
        <f>BY180*VLOOKUP('Données projet'!$B$12,Paramètres!$A$1:$I$89,3,0)*VLOOKUP('Données projet'!$B$12,Paramètres!$A$1:$I$89,5,0)</f>
        <v>419.25701999999967</v>
      </c>
      <c r="CA180" s="13">
        <f t="shared" si="170"/>
        <v>95.669982837789078</v>
      </c>
      <c r="CB180" s="20">
        <f t="shared" si="171"/>
        <v>896.83119660914872</v>
      </c>
      <c r="CC180" s="59">
        <f t="shared" si="119"/>
        <v>1190.164529942482</v>
      </c>
      <c r="CD180" s="59">
        <f ca="1">AVERAGE(OFFSET($CC$3,0,0,'Données projet'!$E$12+1,1))-AVERAGE(OFFSET($H$3,0,0,'Données projet'!$E$12+1,1))</f>
        <v>292.52253679467469</v>
      </c>
      <c r="CE180" s="59">
        <f t="shared" si="148"/>
        <v>155.7114133976541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40.203765596585221</v>
      </c>
      <c r="CL180" s="21">
        <f>EXP(-LN(2)/25)*CL179+(1-EXP(-LN(2)/25))/(LN(2)/25)*Calculateur!CG180*Calculateur!CI180*VLOOKUP('Données projet'!$B$12,Paramètres!$A$1:$I$89,3,0)*0.475*44/12</f>
        <v>17.275242663961567</v>
      </c>
      <c r="CM180" s="21">
        <f>EXP(-LN(2)/2)*CM179+(1-EXP(-LN(2)/2))/(LN(2)/2)*CG180*CJ180*VLOOKUP('Données projet'!$B$12,Paramètres!$A$1:$I$89,3,0)*0.475*44/12</f>
        <v>6.0785760266503129E-5</v>
      </c>
      <c r="CN180" s="22">
        <f t="shared" si="172"/>
        <v>57.47906904630706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-1.1368683772161603E-13</v>
      </c>
      <c r="CU180" s="17">
        <f>CT180*VLOOKUP('Données projet'!$B$13,Paramètres!$A$1:$I$89,3,0)*VLOOKUP('Données projet'!$B$13,Paramètres!$A$1:$I$89,5,0)</f>
        <v>-8.8675733422860506E-14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100.54865094989304</v>
      </c>
      <c r="CZ180" s="59">
        <f t="shared" si="150"/>
        <v>99.95654161405389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3.2466611052249932</v>
      </c>
      <c r="DG180" s="21">
        <f>EXP(-LN(2)/25)*DG179+(1-EXP(-LN(2)/25))/(LN(2)/25)*Calculateur!DB180*Calculateur!DD180*VLOOKUP('Données projet'!$B$13,Paramètres!$A$1:$I$89,3,0)*0.475*44/12</f>
        <v>1.358711498334797</v>
      </c>
      <c r="DH180" s="21">
        <f>EXP(-LN(2)/2)*DH179+(1-EXP(-LN(2)/2))/(LN(2)/2)*DB180*DE180*VLOOKUP('Données projet'!$B$13,Paramètres!$A$1:$I$89,3,0)*0.475*44/12</f>
        <v>2.1619466065416608E-15</v>
      </c>
      <c r="DI180" s="22">
        <f t="shared" si="175"/>
        <v>4.6053726035597915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4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155.50080000000017</v>
      </c>
      <c r="D181" s="11">
        <f t="shared" si="140"/>
        <v>39.826029828200369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1507.7860548141798</v>
      </c>
      <c r="H181" s="67">
        <f t="shared" si="110"/>
        <v>633.52756195078257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3.4106051316484809E-13</v>
      </c>
      <c r="O181" s="13">
        <f>N181*VLOOKUP('Données projet'!$B$9,Paramètres!$A$1:$I$89,3,0)*VLOOKUP('Données projet'!$B$9,Paramètres!$A$1:$I$89,5,0)</f>
        <v>1.9065282685915009E-13</v>
      </c>
      <c r="P181" s="13">
        <f t="shared" si="141"/>
        <v>2.6568987209435707E-12</v>
      </c>
      <c r="Q181" s="20">
        <f t="shared" si="162"/>
        <v>4.959485612423072E-12</v>
      </c>
      <c r="R181" s="59">
        <f t="shared" si="109"/>
        <v>293.33333333333826</v>
      </c>
      <c r="S181" s="59">
        <f ca="1">AVERAGE(OFFSET($R$3,0,0,'Données projet'!$E$9+1,1))-AVERAGE(OFFSET($H$3,0,0,'Données projet'!$E$9+1,1))</f>
        <v>324.69474275039357</v>
      </c>
      <c r="T181" s="59">
        <f t="shared" si="142"/>
        <v>437.68177084535927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21.170544424880838</v>
      </c>
      <c r="AA181" s="21">
        <f>EXP(-LN(2)/25)*AA180+(1-EXP(-LN(2)/25))/(LN(2)/25)*Calculateur!V181*Calculateur!X181*VLOOKUP('Données projet'!$B$9,Paramètres!$A$1:$I$89,3,0)*0.475*44/12</f>
        <v>2.7309506407146076</v>
      </c>
      <c r="AB181" s="21">
        <f>EXP(-LN(2)/2)*AB180+(1-EXP(-LN(2)/2))/(LN(2)/2)*V181*Y181*VLOOKUP('Données projet'!$B$9,Paramètres!$A$1:$I$89,3,0)*0.475*44/12</f>
        <v>1.9842659028912122E-17</v>
      </c>
      <c r="AC181" s="22">
        <f t="shared" si="163"/>
        <v>23.901495065595444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1.1368683772161603E-13</v>
      </c>
      <c r="AJ181" s="13">
        <f>AI181*VLOOKUP('Données projet'!$B$10,Paramètres!$A$1:$I$89,3,0)*VLOOKUP('Données projet'!$B$10,Paramètres!$A$1:$I$89,5,0)</f>
        <v>6.7984728957526396E-14</v>
      </c>
      <c r="AK181" s="13">
        <f t="shared" si="164"/>
        <v>1.0682447123141398E-12</v>
      </c>
      <c r="AL181" s="20">
        <f t="shared" si="165"/>
        <v>1.978932943548152E-12</v>
      </c>
      <c r="AM181" s="59">
        <f t="shared" si="113"/>
        <v>293.3333333333353</v>
      </c>
      <c r="AN181" s="59">
        <f ca="1">AVERAGE(OFFSET($AM$3,0,0,'Données projet'!$E$10+1,1))-AVERAGE(OFFSET($H$3,0,0,'Données projet'!$E$10+1,1))</f>
        <v>214.93913810439858</v>
      </c>
      <c r="AO181" s="59">
        <f t="shared" si="144"/>
        <v>210.65603079265924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13.418516994128188</v>
      </c>
      <c r="AV181" s="21">
        <f>EXP(-LN(2)/25)*AV180+(1-EXP(-LN(2)/25))/(LN(2)/25)*Calculateur!AQ181*Calculateur!AS181*VLOOKUP('Données projet'!$B$10,Paramètres!$A$1:$I$89,3,0)*0.475*44/12</f>
        <v>1.8380071520724008</v>
      </c>
      <c r="AW181" s="21">
        <f>EXP(-LN(2)/2)*AW180+(1-EXP(-LN(2)/2))/(LN(2)/2)*AQ181*AT181*VLOOKUP('Données projet'!$B$10,Paramètres!$A$1:$I$89,3,0)*0.475*44/12</f>
        <v>1.0401652251911235E-16</v>
      </c>
      <c r="AX181" s="21">
        <f t="shared" si="166"/>
        <v>15.256524146200588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3.979039320256561E-13</v>
      </c>
      <c r="BE181" s="13">
        <f>BD181*VLOOKUP('Données projet'!$B$11,Paramètres!$A$1:$I$89,3,0)*VLOOKUP('Données projet'!$B$11,Paramètres!$A$1:$I$89,5,0)</f>
        <v>3.6002347769681362E-13</v>
      </c>
      <c r="BF181" s="13">
        <f t="shared" si="167"/>
        <v>4.6593569189922594E-12</v>
      </c>
      <c r="BG181" s="20">
        <f t="shared" si="168"/>
        <v>8.7420875242334695E-12</v>
      </c>
      <c r="BH181" s="59">
        <f t="shared" si="116"/>
        <v>293.33333333334207</v>
      </c>
      <c r="BI181" s="59">
        <f ca="1">AVERAGE(OFFSET($BH$3,0,0,'Données projet'!$E$11+1,1))-AVERAGE(OFFSET($H$3,0,0,'Données projet'!$E$11+1,1))</f>
        <v>507.69556381324213</v>
      </c>
      <c r="BJ181" s="59">
        <f t="shared" si="146"/>
        <v>129.52638237044044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119.62235963341782</v>
      </c>
      <c r="BQ181" s="21">
        <f>EXP(-LN(2)/25)*BQ180+(1-EXP(-LN(2)/25))/(LN(2)/25)*Calculateur!BL181*Calculateur!BN181*VLOOKUP('Données projet'!$B$11,Paramètres!$A$1:$I$89,3,0)*0.475*44/12</f>
        <v>17.959915367927131</v>
      </c>
      <c r="BR181" s="21">
        <f>EXP(-LN(2)/2)*BR180+(1-EXP(-LN(2)/2))/(LN(2)/2)*BL181*BO181*VLOOKUP('Données projet'!$B$11,Paramètres!$A$1:$I$89,3,0)*0.475*44/12</f>
        <v>1.5719692102432029E-2</v>
      </c>
      <c r="BS181" s="22">
        <f t="shared" si="169"/>
        <v>137.59799469344739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7.688333333333337</v>
      </c>
      <c r="BY181" s="12">
        <f>IF('Données projet'!$A$114&gt;35,BY180+BX181-CG180,IF(A181&lt;'Données projet'!$A$114,$BV$205^A181,IF(A181='Données projet'!$A$114,'Données projet'!$B$114,BY180+BX181-CG180)))</f>
        <v>441.16333333333301</v>
      </c>
      <c r="BZ181" s="13">
        <f>BY181*VLOOKUP('Données projet'!$B$12,Paramètres!$A$1:$I$89,3,0)*VLOOKUP('Données projet'!$B$12,Paramètres!$A$1:$I$89,5,0)</f>
        <v>426.69317599999971</v>
      </c>
      <c r="CA181" s="13">
        <f t="shared" si="170"/>
        <v>97.167783258626656</v>
      </c>
      <c r="CB181" s="20">
        <f t="shared" si="171"/>
        <v>912.39117070877421</v>
      </c>
      <c r="CC181" s="59">
        <f t="shared" si="119"/>
        <v>1205.7245040421076</v>
      </c>
      <c r="CD181" s="59">
        <f ca="1">AVERAGE(OFFSET($CC$3,0,0,'Données projet'!$E$12+1,1))-AVERAGE(OFFSET($H$3,0,0,'Données projet'!$E$12+1,1))</f>
        <v>292.52253679467469</v>
      </c>
      <c r="CE181" s="59">
        <f t="shared" si="148"/>
        <v>155.7114133976541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39.415394275111865</v>
      </c>
      <c r="CL181" s="21">
        <f>EXP(-LN(2)/25)*CL180+(1-EXP(-LN(2)/25))/(LN(2)/25)*Calculateur!CG181*Calculateur!CI181*VLOOKUP('Données projet'!$B$12,Paramètres!$A$1:$I$89,3,0)*0.475*44/12</f>
        <v>16.80285024485001</v>
      </c>
      <c r="CM181" s="21">
        <f>EXP(-LN(2)/2)*CM180+(1-EXP(-LN(2)/2))/(LN(2)/2)*CG181*CJ181*VLOOKUP('Données projet'!$B$12,Paramètres!$A$1:$I$89,3,0)*0.475*44/12</f>
        <v>4.2982023284024166E-5</v>
      </c>
      <c r="CN181" s="22">
        <f t="shared" si="172"/>
        <v>56.218287501985152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-1.1368683772161603E-13</v>
      </c>
      <c r="CU181" s="17">
        <f>CT181*VLOOKUP('Données projet'!$B$13,Paramètres!$A$1:$I$89,3,0)*VLOOKUP('Données projet'!$B$13,Paramètres!$A$1:$I$89,5,0)</f>
        <v>-8.8675733422860506E-14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100.54865094989304</v>
      </c>
      <c r="CZ181" s="59">
        <f t="shared" si="150"/>
        <v>99.95654161405389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3.1829960612192703</v>
      </c>
      <c r="DG181" s="21">
        <f>EXP(-LN(2)/25)*DG180+(1-EXP(-LN(2)/25))/(LN(2)/25)*Calculateur!DB181*Calculateur!DD181*VLOOKUP('Données projet'!$B$13,Paramètres!$A$1:$I$89,3,0)*0.475*44/12</f>
        <v>1.3215574609612997</v>
      </c>
      <c r="DH181" s="21">
        <f>EXP(-LN(2)/2)*DH180+(1-EXP(-LN(2)/2))/(LN(2)/2)*DB181*DE181*VLOOKUP('Données projet'!$B$13,Paramètres!$A$1:$I$89,3,0)*0.475*44/12</f>
        <v>1.5287271060488531E-15</v>
      </c>
      <c r="DI181" s="22">
        <f t="shared" si="175"/>
        <v>4.5045535221805721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4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156.37440000000018</v>
      </c>
      <c r="D182" s="11">
        <f t="shared" si="140"/>
        <v>40.023663524293241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1516.055227205072</v>
      </c>
      <c r="H182" s="67">
        <f t="shared" si="110"/>
        <v>635.39329397147765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3.4106051316484809E-13</v>
      </c>
      <c r="O182" s="13">
        <f>N182*VLOOKUP('Données projet'!$B$9,Paramètres!$A$1:$I$89,3,0)*VLOOKUP('Données projet'!$B$9,Paramètres!$A$1:$I$89,5,0)</f>
        <v>1.9065282685915009E-13</v>
      </c>
      <c r="P182" s="13">
        <f t="shared" si="141"/>
        <v>2.6568987209435707E-12</v>
      </c>
      <c r="Q182" s="20">
        <f t="shared" si="162"/>
        <v>4.959485612423072E-12</v>
      </c>
      <c r="R182" s="59">
        <f t="shared" si="109"/>
        <v>293.33333333333826</v>
      </c>
      <c r="S182" s="59">
        <f ca="1">AVERAGE(OFFSET($R$3,0,0,'Données projet'!$E$9+1,1))-AVERAGE(OFFSET($H$3,0,0,'Données projet'!$E$9+1,1))</f>
        <v>324.69474275039357</v>
      </c>
      <c r="T182" s="59">
        <f t="shared" si="142"/>
        <v>437.68177084535927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20.755402961465993</v>
      </c>
      <c r="AA182" s="21">
        <f>EXP(-LN(2)/25)*AA181+(1-EXP(-LN(2)/25))/(LN(2)/25)*Calculateur!V182*Calculateur!X182*VLOOKUP('Données projet'!$B$9,Paramètres!$A$1:$I$89,3,0)*0.475*44/12</f>
        <v>2.6562726518298141</v>
      </c>
      <c r="AB182" s="21">
        <f>EXP(-LN(2)/2)*AB181+(1-EXP(-LN(2)/2))/(LN(2)/2)*V182*Y182*VLOOKUP('Données projet'!$B$9,Paramètres!$A$1:$I$89,3,0)*0.475*44/12</f>
        <v>1.4030878756116235E-17</v>
      </c>
      <c r="AC182" s="22">
        <f t="shared" si="163"/>
        <v>23.411675613295806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1.1368683772161603E-13</v>
      </c>
      <c r="AJ182" s="13">
        <f>AI182*VLOOKUP('Données projet'!$B$10,Paramètres!$A$1:$I$89,3,0)*VLOOKUP('Données projet'!$B$10,Paramètres!$A$1:$I$89,5,0)</f>
        <v>6.7984728957526396E-14</v>
      </c>
      <c r="AK182" s="13">
        <f t="shared" si="164"/>
        <v>1.0682447123141398E-12</v>
      </c>
      <c r="AL182" s="20">
        <f t="shared" si="165"/>
        <v>1.978932943548152E-12</v>
      </c>
      <c r="AM182" s="59">
        <f t="shared" si="113"/>
        <v>293.3333333333353</v>
      </c>
      <c r="AN182" s="59">
        <f ca="1">AVERAGE(OFFSET($AM$3,0,0,'Données projet'!$E$10+1,1))-AVERAGE(OFFSET($H$3,0,0,'Données projet'!$E$10+1,1))</f>
        <v>214.93913810439858</v>
      </c>
      <c r="AO182" s="59">
        <f t="shared" si="144"/>
        <v>210.65603079265924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13.155388060360551</v>
      </c>
      <c r="AV182" s="21">
        <f>EXP(-LN(2)/25)*AV181+(1-EXP(-LN(2)/25))/(LN(2)/25)*Calculateur!AQ182*Calculateur!AS182*VLOOKUP('Données projet'!$B$10,Paramètres!$A$1:$I$89,3,0)*0.475*44/12</f>
        <v>1.7877467498423858</v>
      </c>
      <c r="AW182" s="21">
        <f>EXP(-LN(2)/2)*AW181+(1-EXP(-LN(2)/2))/(LN(2)/2)*AQ182*AT182*VLOOKUP('Données projet'!$B$10,Paramètres!$A$1:$I$89,3,0)*0.475*44/12</f>
        <v>7.3550788428707566E-17</v>
      </c>
      <c r="AX182" s="21">
        <f t="shared" si="166"/>
        <v>14.943134810202936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3.979039320256561E-13</v>
      </c>
      <c r="BE182" s="13">
        <f>BD182*VLOOKUP('Données projet'!$B$11,Paramètres!$A$1:$I$89,3,0)*VLOOKUP('Données projet'!$B$11,Paramètres!$A$1:$I$89,5,0)</f>
        <v>3.6002347769681362E-13</v>
      </c>
      <c r="BF182" s="13">
        <f t="shared" si="167"/>
        <v>4.6593569189922594E-12</v>
      </c>
      <c r="BG182" s="20">
        <f t="shared" si="168"/>
        <v>8.7420875242334695E-12</v>
      </c>
      <c r="BH182" s="59">
        <f t="shared" si="116"/>
        <v>293.33333333334207</v>
      </c>
      <c r="BI182" s="59">
        <f ca="1">AVERAGE(OFFSET($BH$3,0,0,'Données projet'!$E$11+1,1))-AVERAGE(OFFSET($H$3,0,0,'Données projet'!$E$11+1,1))</f>
        <v>507.69556381324213</v>
      </c>
      <c r="BJ182" s="59">
        <f t="shared" si="146"/>
        <v>129.52638237044044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117.27663812344143</v>
      </c>
      <c r="BQ182" s="21">
        <f>EXP(-LN(2)/25)*BQ181+(1-EXP(-LN(2)/25))/(LN(2)/25)*Calculateur!BL182*Calculateur!BN182*VLOOKUP('Données projet'!$B$11,Paramètres!$A$1:$I$89,3,0)*0.475*44/12</f>
        <v>17.468800537720263</v>
      </c>
      <c r="BR182" s="21">
        <f>EXP(-LN(2)/2)*BR181+(1-EXP(-LN(2)/2))/(LN(2)/2)*BL182*BO182*VLOOKUP('Données projet'!$B$11,Paramètres!$A$1:$I$89,3,0)*0.475*44/12</f>
        <v>1.1115500883794304E-2</v>
      </c>
      <c r="BS182" s="22">
        <f t="shared" si="169"/>
        <v>134.75655416204549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7.688333333333337</v>
      </c>
      <c r="BY182" s="12">
        <f>IF('Données projet'!$A$114&gt;35,BY181+BX182-CG181,IF(A182&lt;'Données projet'!$A$114,$BV$205^A182,IF(A182='Données projet'!$A$114,'Données projet'!$B$114,BY181+BX182-CG181)))</f>
        <v>448.85166666666635</v>
      </c>
      <c r="BZ182" s="13">
        <f>BY182*VLOOKUP('Données projet'!$B$12,Paramètres!$A$1:$I$89,3,0)*VLOOKUP('Données projet'!$B$12,Paramètres!$A$1:$I$89,5,0)</f>
        <v>434.12933199999975</v>
      </c>
      <c r="CA182" s="13">
        <f t="shared" si="170"/>
        <v>98.662548233225337</v>
      </c>
      <c r="CB182" s="20">
        <f t="shared" si="171"/>
        <v>927.94585807286694</v>
      </c>
      <c r="CC182" s="59">
        <f t="shared" si="119"/>
        <v>1221.2791914062002</v>
      </c>
      <c r="CD182" s="59">
        <f ca="1">AVERAGE(OFFSET($CC$3,0,0,'Données projet'!$E$12+1,1))-AVERAGE(OFFSET($H$3,0,0,'Données projet'!$E$12+1,1))</f>
        <v>292.52253679467469</v>
      </c>
      <c r="CE182" s="59">
        <f t="shared" si="148"/>
        <v>155.7114133976541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38.642482434393578</v>
      </c>
      <c r="CL182" s="21">
        <f>EXP(-LN(2)/25)*CL181+(1-EXP(-LN(2)/25))/(LN(2)/25)*Calculateur!CG182*Calculateur!CI182*VLOOKUP('Données projet'!$B$12,Paramètres!$A$1:$I$89,3,0)*0.475*44/12</f>
        <v>16.343375421281095</v>
      </c>
      <c r="CM182" s="21">
        <f>EXP(-LN(2)/2)*CM181+(1-EXP(-LN(2)/2))/(LN(2)/2)*CG182*CJ182*VLOOKUP('Données projet'!$B$12,Paramètres!$A$1:$I$89,3,0)*0.475*44/12</f>
        <v>3.0392880133251568E-5</v>
      </c>
      <c r="CN182" s="22">
        <f t="shared" si="172"/>
        <v>54.985888248554808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-1.1368683772161603E-13</v>
      </c>
      <c r="CU182" s="17">
        <f>CT182*VLOOKUP('Données projet'!$B$13,Paramètres!$A$1:$I$89,3,0)*VLOOKUP('Données projet'!$B$13,Paramètres!$A$1:$I$89,5,0)</f>
        <v>-8.8675733422860506E-14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100.54865094989304</v>
      </c>
      <c r="CZ182" s="59">
        <f t="shared" si="150"/>
        <v>99.95654161405389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3.1205794498946569</v>
      </c>
      <c r="DG182" s="21">
        <f>EXP(-LN(2)/25)*DG181+(1-EXP(-LN(2)/25))/(LN(2)/25)*Calculateur!DB182*Calculateur!DD182*VLOOKUP('Données projet'!$B$13,Paramètres!$A$1:$I$89,3,0)*0.475*44/12</f>
        <v>1.2854194026936265</v>
      </c>
      <c r="DH182" s="21">
        <f>EXP(-LN(2)/2)*DH181+(1-EXP(-LN(2)/2))/(LN(2)/2)*DB182*DE182*VLOOKUP('Données projet'!$B$13,Paramètres!$A$1:$I$89,3,0)*0.475*44/12</f>
        <v>1.0809733032708304E-15</v>
      </c>
      <c r="DI182" s="22">
        <f t="shared" si="175"/>
        <v>4.4059988525882838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4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157.24800000000019</v>
      </c>
      <c r="D183" s="11">
        <f t="shared" si="140"/>
        <v>40.221168744348681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1524.3234078511143</v>
      </c>
      <c r="H183" s="67">
        <f t="shared" si="110"/>
        <v>637.25880222974092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3.4106051316484809E-13</v>
      </c>
      <c r="O183" s="13">
        <f>N183*VLOOKUP('Données projet'!$B$9,Paramètres!$A$1:$I$89,3,0)*VLOOKUP('Données projet'!$B$9,Paramètres!$A$1:$I$89,5,0)</f>
        <v>1.9065282685915009E-13</v>
      </c>
      <c r="P183" s="13">
        <f t="shared" si="141"/>
        <v>2.6568987209435707E-12</v>
      </c>
      <c r="Q183" s="20">
        <f t="shared" si="162"/>
        <v>4.959485612423072E-12</v>
      </c>
      <c r="R183" s="59">
        <f t="shared" si="109"/>
        <v>293.33333333333826</v>
      </c>
      <c r="S183" s="59">
        <f ca="1">AVERAGE(OFFSET($R$3,0,0,'Données projet'!$E$9+1,1))-AVERAGE(OFFSET($H$3,0,0,'Données projet'!$E$9+1,1))</f>
        <v>324.69474275039357</v>
      </c>
      <c r="T183" s="59">
        <f t="shared" si="142"/>
        <v>437.68177084535927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20.348402168937426</v>
      </c>
      <c r="AA183" s="21">
        <f>EXP(-LN(2)/25)*AA182+(1-EXP(-LN(2)/25))/(LN(2)/25)*Calculateur!V183*Calculateur!X183*VLOOKUP('Données projet'!$B$9,Paramètres!$A$1:$I$89,3,0)*0.475*44/12</f>
        <v>2.58363673647822</v>
      </c>
      <c r="AB183" s="21">
        <f>EXP(-LN(2)/2)*AB182+(1-EXP(-LN(2)/2))/(LN(2)/2)*V183*Y183*VLOOKUP('Données projet'!$B$9,Paramètres!$A$1:$I$89,3,0)*0.475*44/12</f>
        <v>9.921329514456061E-18</v>
      </c>
      <c r="AC183" s="22">
        <f t="shared" si="163"/>
        <v>22.932038905415645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1.1368683772161603E-13</v>
      </c>
      <c r="AJ183" s="13">
        <f>AI183*VLOOKUP('Données projet'!$B$10,Paramètres!$A$1:$I$89,3,0)*VLOOKUP('Données projet'!$B$10,Paramètres!$A$1:$I$89,5,0)</f>
        <v>6.7984728957526396E-14</v>
      </c>
      <c r="AK183" s="13">
        <f t="shared" si="164"/>
        <v>1.0682447123141398E-12</v>
      </c>
      <c r="AL183" s="20">
        <f t="shared" si="165"/>
        <v>1.978932943548152E-12</v>
      </c>
      <c r="AM183" s="59">
        <f t="shared" si="113"/>
        <v>293.3333333333353</v>
      </c>
      <c r="AN183" s="59">
        <f ca="1">AVERAGE(OFFSET($AM$3,0,0,'Données projet'!$E$10+1,1))-AVERAGE(OFFSET($H$3,0,0,'Données projet'!$E$10+1,1))</f>
        <v>214.93913810439858</v>
      </c>
      <c r="AO183" s="59">
        <f t="shared" si="144"/>
        <v>210.65603079265924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12.897418924491294</v>
      </c>
      <c r="AV183" s="21">
        <f>EXP(-LN(2)/25)*AV182+(1-EXP(-LN(2)/25))/(LN(2)/25)*Calculateur!AQ183*Calculateur!AS183*VLOOKUP('Données projet'!$B$10,Paramètres!$A$1:$I$89,3,0)*0.475*44/12</f>
        <v>1.7388607209544302</v>
      </c>
      <c r="AW183" s="21">
        <f>EXP(-LN(2)/2)*AW182+(1-EXP(-LN(2)/2))/(LN(2)/2)*AQ183*AT183*VLOOKUP('Données projet'!$B$10,Paramètres!$A$1:$I$89,3,0)*0.475*44/12</f>
        <v>5.2008261259556173E-17</v>
      </c>
      <c r="AX183" s="21">
        <f t="shared" si="166"/>
        <v>14.636279645445725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3.979039320256561E-13</v>
      </c>
      <c r="BE183" s="13">
        <f>BD183*VLOOKUP('Données projet'!$B$11,Paramètres!$A$1:$I$89,3,0)*VLOOKUP('Données projet'!$B$11,Paramètres!$A$1:$I$89,5,0)</f>
        <v>3.6002347769681362E-13</v>
      </c>
      <c r="BF183" s="13">
        <f t="shared" si="167"/>
        <v>4.6593569189922594E-12</v>
      </c>
      <c r="BG183" s="20">
        <f t="shared" si="168"/>
        <v>8.7420875242334695E-12</v>
      </c>
      <c r="BH183" s="59">
        <f t="shared" si="116"/>
        <v>293.33333333334207</v>
      </c>
      <c r="BI183" s="59">
        <f ca="1">AVERAGE(OFFSET($BH$3,0,0,'Données projet'!$E$11+1,1))-AVERAGE(OFFSET($H$3,0,0,'Données projet'!$E$11+1,1))</f>
        <v>507.69556381324213</v>
      </c>
      <c r="BJ183" s="59">
        <f t="shared" si="146"/>
        <v>129.52638237044044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114.97691478152683</v>
      </c>
      <c r="BQ183" s="21">
        <f>EXP(-LN(2)/25)*BQ182+(1-EXP(-LN(2)/25))/(LN(2)/25)*Calculateur!BL183*Calculateur!BN183*VLOOKUP('Données projet'!$B$11,Paramètres!$A$1:$I$89,3,0)*0.475*44/12</f>
        <v>16.991115268372006</v>
      </c>
      <c r="BR183" s="21">
        <f>EXP(-LN(2)/2)*BR182+(1-EXP(-LN(2)/2))/(LN(2)/2)*BL183*BO183*VLOOKUP('Données projet'!$B$11,Paramètres!$A$1:$I$89,3,0)*0.475*44/12</f>
        <v>7.8598460512160143E-3</v>
      </c>
      <c r="BS183" s="22">
        <f t="shared" si="169"/>
        <v>131.97588989595005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>
        <f>VLOOKUP(A183,'Données projet'!$A$113:$I$133,2,0)</f>
        <v>456.54</v>
      </c>
      <c r="BW183" s="12">
        <f>VLOOKUP(A183,'Données projet'!$A$113:$I$133,9,0)</f>
        <v>7.688333333333337</v>
      </c>
      <c r="BX183" s="12">
        <f t="array" ref="BX183">INDEX(BW:BW,MIN(IF(ISNUMBER(BW183:BW379),ROW(BW183:BW379),"")))</f>
        <v>7.688333333333337</v>
      </c>
      <c r="BY183" s="12">
        <f>IF('Données projet'!$A$114&gt;35,BY182+BX183-CG182,IF(A183&lt;'Données projet'!$A$114,$BV$205^A183,IF(A183='Données projet'!$A$114,'Données projet'!$B$114,BY182+BX183-CG182)))</f>
        <v>456.53999999999968</v>
      </c>
      <c r="BZ183" s="13">
        <f>BY183*VLOOKUP('Données projet'!$B$12,Paramètres!$A$1:$I$89,3,0)*VLOOKUP('Données projet'!$B$12,Paramètres!$A$1:$I$89,5,0)</f>
        <v>441.56548799999968</v>
      </c>
      <c r="CA183" s="13">
        <f t="shared" si="170"/>
        <v>100.15433575539794</v>
      </c>
      <c r="CB183" s="20">
        <f t="shared" si="171"/>
        <v>943.49535970731733</v>
      </c>
      <c r="CC183" s="59">
        <f t="shared" si="119"/>
        <v>1236.8286930406507</v>
      </c>
      <c r="CD183" s="59">
        <f ca="1">AVERAGE(OFFSET($CC$3,0,0,'Données projet'!$E$12+1,1))-AVERAGE(OFFSET($H$3,0,0,'Données projet'!$E$12+1,1))</f>
        <v>292.52253679467469</v>
      </c>
      <c r="CE183" s="59">
        <f t="shared" si="148"/>
        <v>155.7114133976541</v>
      </c>
      <c r="CF183" s="15">
        <f>IF(ISNA(VLOOKUP(A183,'Données projet'!$A$113:$I$133,3,0)),0,VLOOKUP(A183,'Données projet'!$A$113:$I$133,3,0))</f>
        <v>13</v>
      </c>
      <c r="CG183" s="15">
        <f>IF(ISNA(VLOOKUP(A183,'Données projet'!$A$113:$I$133,4,0)),0,VLOOKUP(A183,'Données projet'!$A$113:$I$133,4,0))</f>
        <v>175.59000000000003</v>
      </c>
      <c r="CH183" s="16">
        <f>IF(ISNA(VLOOKUP(A183,'Données projet'!$A$113:$I$133,5,0)),0%,VLOOKUP(A183,'Données projet'!$A$113:$I$133,5,0)*VLOOKUP('Données projet'!$B$12,Paramètres!$A$1:$I$89,7,0))</f>
        <v>0.215</v>
      </c>
      <c r="CI183" s="16">
        <f>IF(ISNA(VLOOKUP(A183,'Données projet'!$A$113:$I$133,6,0)),0%,VLOOKUP(A183,'Données projet'!$A$113:$I$133,6,0)*VLOOKUP('Données projet'!$B$12,Paramètres!$A$1:$I$89,7,0))</f>
        <v>8.6000000000000007E-2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78.24941836713279</v>
      </c>
      <c r="CL183" s="21">
        <f>EXP(-LN(2)/25)*CL182+(1-EXP(-LN(2)/25))/(LN(2)/25)*Calculateur!CG183*Calculateur!CI183*VLOOKUP('Données projet'!$B$12,Paramètres!$A$1:$I$89,3,0)*0.475*44/12</f>
        <v>31.978769070254863</v>
      </c>
      <c r="CM183" s="21">
        <f>EXP(-LN(2)/2)*CM182+(1-EXP(-LN(2)/2))/(LN(2)/2)*CG183*CJ183*VLOOKUP('Données projet'!$B$12,Paramètres!$A$1:$I$89,3,0)*0.475*44/12</f>
        <v>2.1491011642012087E-5</v>
      </c>
      <c r="CN183" s="22">
        <f t="shared" si="172"/>
        <v>110.22820892839928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-1.1368683772161603E-13</v>
      </c>
      <c r="CU183" s="17">
        <f>CT183*VLOOKUP('Données projet'!$B$13,Paramètres!$A$1:$I$89,3,0)*VLOOKUP('Données projet'!$B$13,Paramètres!$A$1:$I$89,5,0)</f>
        <v>-8.8675733422860506E-14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100.54865094989304</v>
      </c>
      <c r="CZ183" s="59">
        <f t="shared" si="150"/>
        <v>99.95654161405389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3.0593867902477454</v>
      </c>
      <c r="DG183" s="21">
        <f>EXP(-LN(2)/25)*DG182+(1-EXP(-LN(2)/25))/(LN(2)/25)*Calculateur!DB183*Calculateur!DD183*VLOOKUP('Données projet'!$B$13,Paramètres!$A$1:$I$89,3,0)*0.475*44/12</f>
        <v>1.2502695415297007</v>
      </c>
      <c r="DH183" s="21">
        <f>EXP(-LN(2)/2)*DH182+(1-EXP(-LN(2)/2))/(LN(2)/2)*DB183*DE183*VLOOKUP('Données projet'!$B$13,Paramètres!$A$1:$I$89,3,0)*0.475*44/12</f>
        <v>7.6436355302442656E-16</v>
      </c>
      <c r="DI183" s="22">
        <f t="shared" si="175"/>
        <v>4.3096563317774468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4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158.1216000000002</v>
      </c>
      <c r="D184" s="11">
        <f t="shared" si="140"/>
        <v>40.418546284954282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1532.5906029014031</v>
      </c>
      <c r="H184" s="67">
        <f t="shared" si="110"/>
        <v>639.12408811296234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3.4106051316484809E-13</v>
      </c>
      <c r="O184" s="13">
        <f>N184*VLOOKUP('Données projet'!$B$9,Paramètres!$A$1:$I$89,3,0)*VLOOKUP('Données projet'!$B$9,Paramètres!$A$1:$I$89,5,0)</f>
        <v>1.9065282685915009E-13</v>
      </c>
      <c r="P184" s="13">
        <f t="shared" si="141"/>
        <v>2.6568987209435707E-12</v>
      </c>
      <c r="Q184" s="20">
        <f t="shared" si="162"/>
        <v>4.959485612423072E-12</v>
      </c>
      <c r="R184" s="59">
        <f t="shared" si="109"/>
        <v>293.33333333333826</v>
      </c>
      <c r="S184" s="59">
        <f ca="1">AVERAGE(OFFSET($R$3,0,0,'Données projet'!$E$9+1,1))-AVERAGE(OFFSET($H$3,0,0,'Données projet'!$E$9+1,1))</f>
        <v>324.69474275039357</v>
      </c>
      <c r="T184" s="59">
        <f t="shared" si="142"/>
        <v>437.68177084535927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19.94938241370437</v>
      </c>
      <c r="AA184" s="21">
        <f>EXP(-LN(2)/25)*AA183+(1-EXP(-LN(2)/25))/(LN(2)/25)*Calculateur!V184*Calculateur!X184*VLOOKUP('Données projet'!$B$9,Paramètres!$A$1:$I$89,3,0)*0.475*44/12</f>
        <v>2.5129870540516719</v>
      </c>
      <c r="AB184" s="21">
        <f>EXP(-LN(2)/2)*AB183+(1-EXP(-LN(2)/2))/(LN(2)/2)*V184*Y184*VLOOKUP('Données projet'!$B$9,Paramètres!$A$1:$I$89,3,0)*0.475*44/12</f>
        <v>7.0154393780581174E-18</v>
      </c>
      <c r="AC184" s="22">
        <f t="shared" si="163"/>
        <v>22.462369467756041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1.1368683772161603E-13</v>
      </c>
      <c r="AJ184" s="13">
        <f>AI184*VLOOKUP('Données projet'!$B$10,Paramètres!$A$1:$I$89,3,0)*VLOOKUP('Données projet'!$B$10,Paramètres!$A$1:$I$89,5,0)</f>
        <v>6.7984728957526396E-14</v>
      </c>
      <c r="AK184" s="13">
        <f t="shared" si="164"/>
        <v>1.0682447123141398E-12</v>
      </c>
      <c r="AL184" s="20">
        <f t="shared" si="165"/>
        <v>1.978932943548152E-12</v>
      </c>
      <c r="AM184" s="59">
        <f t="shared" si="113"/>
        <v>293.3333333333353</v>
      </c>
      <c r="AN184" s="59">
        <f ca="1">AVERAGE(OFFSET($AM$3,0,0,'Données projet'!$E$10+1,1))-AVERAGE(OFFSET($H$3,0,0,'Données projet'!$E$10+1,1))</f>
        <v>214.93913810439858</v>
      </c>
      <c r="AO184" s="59">
        <f t="shared" si="144"/>
        <v>210.65603079265924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12.644508406030797</v>
      </c>
      <c r="AV184" s="21">
        <f>EXP(-LN(2)/25)*AV183+(1-EXP(-LN(2)/25))/(LN(2)/25)*Calculateur!AQ184*Calculateur!AS184*VLOOKUP('Données projet'!$B$10,Paramètres!$A$1:$I$89,3,0)*0.475*44/12</f>
        <v>1.6913114830972202</v>
      </c>
      <c r="AW184" s="21">
        <f>EXP(-LN(2)/2)*AW183+(1-EXP(-LN(2)/2))/(LN(2)/2)*AQ184*AT184*VLOOKUP('Données projet'!$B$10,Paramètres!$A$1:$I$89,3,0)*0.475*44/12</f>
        <v>3.6775394214353783E-17</v>
      </c>
      <c r="AX184" s="21">
        <f t="shared" si="166"/>
        <v>14.335819889128016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3.979039320256561E-13</v>
      </c>
      <c r="BE184" s="13">
        <f>BD184*VLOOKUP('Données projet'!$B$11,Paramètres!$A$1:$I$89,3,0)*VLOOKUP('Données projet'!$B$11,Paramètres!$A$1:$I$89,5,0)</f>
        <v>3.6002347769681362E-13</v>
      </c>
      <c r="BF184" s="13">
        <f t="shared" si="167"/>
        <v>4.6593569189922594E-12</v>
      </c>
      <c r="BG184" s="20">
        <f t="shared" si="168"/>
        <v>8.7420875242334695E-12</v>
      </c>
      <c r="BH184" s="59">
        <f t="shared" si="116"/>
        <v>293.33333333334207</v>
      </c>
      <c r="BI184" s="59">
        <f ca="1">AVERAGE(OFFSET($BH$3,0,0,'Données projet'!$E$11+1,1))-AVERAGE(OFFSET($H$3,0,0,'Données projet'!$E$11+1,1))</f>
        <v>507.69556381324213</v>
      </c>
      <c r="BJ184" s="59">
        <f t="shared" si="146"/>
        <v>129.52638237044044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112.72228761165444</v>
      </c>
      <c r="BQ184" s="21">
        <f>EXP(-LN(2)/25)*BQ183+(1-EXP(-LN(2)/25))/(LN(2)/25)*Calculateur!BL184*Calculateur!BN184*VLOOKUP('Données projet'!$B$11,Paramètres!$A$1:$I$89,3,0)*0.475*44/12</f>
        <v>16.526492327834454</v>
      </c>
      <c r="BR184" s="21">
        <f>EXP(-LN(2)/2)*BR183+(1-EXP(-LN(2)/2))/(LN(2)/2)*BL184*BO184*VLOOKUP('Données projet'!$B$11,Paramètres!$A$1:$I$89,3,0)*0.475*44/12</f>
        <v>5.5577504418971519E-3</v>
      </c>
      <c r="BS184" s="22">
        <f t="shared" si="169"/>
        <v>129.25433768993079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4.7974999999999994</v>
      </c>
      <c r="BY184" s="12">
        <f>IF('Données projet'!$A$114&gt;35,BY183+BX184-CG183,IF(A184&lt;'Données projet'!$A$114,$BV$205^A184,IF(A184='Données projet'!$A$114,'Données projet'!$B$114,BY183+BX184-CG183)))</f>
        <v>285.74749999999966</v>
      </c>
      <c r="BZ184" s="13">
        <f>BY184*VLOOKUP('Données projet'!$B$12,Paramètres!$A$1:$I$89,3,0)*VLOOKUP('Données projet'!$B$12,Paramètres!$A$1:$I$89,5,0)</f>
        <v>276.37498199999965</v>
      </c>
      <c r="CA184" s="13">
        <f t="shared" si="170"/>
        <v>66.200358347294468</v>
      </c>
      <c r="CB184" s="20">
        <f t="shared" si="171"/>
        <v>596.65205110487057</v>
      </c>
      <c r="CC184" s="59">
        <f t="shared" si="119"/>
        <v>889.98538443820394</v>
      </c>
      <c r="CD184" s="59">
        <f ca="1">AVERAGE(OFFSET($CC$3,0,0,'Données projet'!$E$12+1,1))-AVERAGE(OFFSET($H$3,0,0,'Données projet'!$E$12+1,1))</f>
        <v>292.52253679467469</v>
      </c>
      <c r="CE184" s="59">
        <f t="shared" si="148"/>
        <v>155.7114133976541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76.714995000385827</v>
      </c>
      <c r="CL184" s="21">
        <f>EXP(-LN(2)/25)*CL183+(1-EXP(-LN(2)/25))/(LN(2)/25)*Calculateur!CG184*Calculateur!CI184*VLOOKUP('Données projet'!$B$12,Paramètres!$A$1:$I$89,3,0)*0.475*44/12</f>
        <v>31.104307948338366</v>
      </c>
      <c r="CM184" s="21">
        <f>EXP(-LN(2)/2)*CM183+(1-EXP(-LN(2)/2))/(LN(2)/2)*CG184*CJ184*VLOOKUP('Données projet'!$B$12,Paramètres!$A$1:$I$89,3,0)*0.475*44/12</f>
        <v>1.5196440066625787E-5</v>
      </c>
      <c r="CN184" s="22">
        <f t="shared" si="172"/>
        <v>107.81931814516425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-1.1368683772161603E-13</v>
      </c>
      <c r="CU184" s="17">
        <f>CT184*VLOOKUP('Données projet'!$B$13,Paramètres!$A$1:$I$89,3,0)*VLOOKUP('Données projet'!$B$13,Paramètres!$A$1:$I$89,5,0)</f>
        <v>-8.8675733422860506E-14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100.54865094989304</v>
      </c>
      <c r="CZ184" s="59">
        <f t="shared" si="150"/>
        <v>99.95654161405389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2.9993940813326727</v>
      </c>
      <c r="DG184" s="21">
        <f>EXP(-LN(2)/25)*DG183+(1-EXP(-LN(2)/25))/(LN(2)/25)*Calculateur!DB184*Calculateur!DD184*VLOOKUP('Données projet'!$B$13,Paramètres!$A$1:$I$89,3,0)*0.475*44/12</f>
        <v>1.2160808551677533</v>
      </c>
      <c r="DH184" s="21">
        <f>EXP(-LN(2)/2)*DH183+(1-EXP(-LN(2)/2))/(LN(2)/2)*DB184*DE184*VLOOKUP('Données projet'!$B$13,Paramètres!$A$1:$I$89,3,0)*0.475*44/12</f>
        <v>5.404866516354152E-16</v>
      </c>
      <c r="DI184" s="22">
        <f t="shared" si="175"/>
        <v>4.2154749365004269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4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158.99520000000021</v>
      </c>
      <c r="D185" s="11">
        <f t="shared" si="140"/>
        <v>40.615796933386079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1540.8568184331573</v>
      </c>
      <c r="H185" s="67">
        <f t="shared" si="110"/>
        <v>640.9891529923143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3.4106051316484809E-13</v>
      </c>
      <c r="O185" s="13">
        <f>N185*VLOOKUP('Données projet'!$B$9,Paramètres!$A$1:$I$89,3,0)*VLOOKUP('Données projet'!$B$9,Paramètres!$A$1:$I$89,5,0)</f>
        <v>1.9065282685915009E-13</v>
      </c>
      <c r="P185" s="13">
        <f t="shared" si="141"/>
        <v>2.6568987209435707E-12</v>
      </c>
      <c r="Q185" s="20">
        <f t="shared" si="162"/>
        <v>4.959485612423072E-12</v>
      </c>
      <c r="R185" s="59">
        <f t="shared" si="109"/>
        <v>293.33333333333826</v>
      </c>
      <c r="S185" s="59">
        <f ca="1">AVERAGE(OFFSET($R$3,0,0,'Données projet'!$E$9+1,1))-AVERAGE(OFFSET($H$3,0,0,'Données projet'!$E$9+1,1))</f>
        <v>324.69474275039357</v>
      </c>
      <c r="T185" s="59">
        <f t="shared" si="142"/>
        <v>437.68177084535927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19.558187192493417</v>
      </c>
      <c r="AA185" s="21">
        <f>EXP(-LN(2)/25)*AA184+(1-EXP(-LN(2)/25))/(LN(2)/25)*Calculateur!V185*Calculateur!X185*VLOOKUP('Données projet'!$B$9,Paramètres!$A$1:$I$89,3,0)*0.475*44/12</f>
        <v>2.4442692909063832</v>
      </c>
      <c r="AB185" s="21">
        <f>EXP(-LN(2)/2)*AB184+(1-EXP(-LN(2)/2))/(LN(2)/2)*V185*Y185*VLOOKUP('Données projet'!$B$9,Paramètres!$A$1:$I$89,3,0)*0.475*44/12</f>
        <v>4.9606647572280305E-18</v>
      </c>
      <c r="AC185" s="22">
        <f t="shared" si="163"/>
        <v>22.002456483399801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1.1368683772161603E-13</v>
      </c>
      <c r="AJ185" s="13">
        <f>AI185*VLOOKUP('Données projet'!$B$10,Paramètres!$A$1:$I$89,3,0)*VLOOKUP('Données projet'!$B$10,Paramètres!$A$1:$I$89,5,0)</f>
        <v>6.7984728957526396E-14</v>
      </c>
      <c r="AK185" s="13">
        <f t="shared" si="164"/>
        <v>1.0682447123141398E-12</v>
      </c>
      <c r="AL185" s="20">
        <f t="shared" si="165"/>
        <v>1.978932943548152E-12</v>
      </c>
      <c r="AM185" s="59">
        <f t="shared" si="113"/>
        <v>293.3333333333353</v>
      </c>
      <c r="AN185" s="59">
        <f ca="1">AVERAGE(OFFSET($AM$3,0,0,'Données projet'!$E$10+1,1))-AVERAGE(OFFSET($H$3,0,0,'Données projet'!$E$10+1,1))</f>
        <v>214.93913810439858</v>
      </c>
      <c r="AO185" s="59">
        <f t="shared" si="144"/>
        <v>210.65603079265924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12.396557308577126</v>
      </c>
      <c r="AV185" s="21">
        <f>EXP(-LN(2)/25)*AV184+(1-EXP(-LN(2)/25))/(LN(2)/25)*Calculateur!AQ185*Calculateur!AS185*VLOOKUP('Données projet'!$B$10,Paramètres!$A$1:$I$89,3,0)*0.475*44/12</f>
        <v>1.6450624816497215</v>
      </c>
      <c r="AW185" s="21">
        <f>EXP(-LN(2)/2)*AW184+(1-EXP(-LN(2)/2))/(LN(2)/2)*AQ185*AT185*VLOOKUP('Données projet'!$B$10,Paramètres!$A$1:$I$89,3,0)*0.475*44/12</f>
        <v>2.6004130629778087E-17</v>
      </c>
      <c r="AX185" s="21">
        <f t="shared" si="166"/>
        <v>14.041619790226848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3.979039320256561E-13</v>
      </c>
      <c r="BE185" s="13">
        <f>BD185*VLOOKUP('Données projet'!$B$11,Paramètres!$A$1:$I$89,3,0)*VLOOKUP('Données projet'!$B$11,Paramètres!$A$1:$I$89,5,0)</f>
        <v>3.6002347769681362E-13</v>
      </c>
      <c r="BF185" s="13">
        <f t="shared" si="167"/>
        <v>4.6593569189922594E-12</v>
      </c>
      <c r="BG185" s="20">
        <f t="shared" si="168"/>
        <v>8.7420875242334695E-12</v>
      </c>
      <c r="BH185" s="59">
        <f t="shared" si="116"/>
        <v>293.33333333334207</v>
      </c>
      <c r="BI185" s="59">
        <f ca="1">AVERAGE(OFFSET($BH$3,0,0,'Données projet'!$E$11+1,1))-AVERAGE(OFFSET($H$3,0,0,'Données projet'!$E$11+1,1))</f>
        <v>507.69556381324213</v>
      </c>
      <c r="BJ185" s="59">
        <f t="shared" si="146"/>
        <v>129.52638237044044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110.51187230539647</v>
      </c>
      <c r="BQ185" s="21">
        <f>EXP(-LN(2)/25)*BQ184+(1-EXP(-LN(2)/25))/(LN(2)/25)*Calculateur!BL185*Calculateur!BN185*VLOOKUP('Données projet'!$B$11,Paramètres!$A$1:$I$89,3,0)*0.475*44/12</f>
        <v>16.07457452603936</v>
      </c>
      <c r="BR185" s="21">
        <f>EXP(-LN(2)/2)*BR184+(1-EXP(-LN(2)/2))/(LN(2)/2)*BL185*BO185*VLOOKUP('Données projet'!$B$11,Paramètres!$A$1:$I$89,3,0)*0.475*44/12</f>
        <v>3.9299230256080071E-3</v>
      </c>
      <c r="BS185" s="22">
        <f t="shared" si="169"/>
        <v>126.59037675446143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4.7974999999999994</v>
      </c>
      <c r="BY185" s="12">
        <f>IF('Données projet'!$A$114&gt;35,BY184+BX185-CG184,IF(A185&lt;'Données projet'!$A$114,$BV$205^A185,IF(A185='Données projet'!$A$114,'Données projet'!$B$114,BY184+BX185-CG184)))</f>
        <v>290.54499999999967</v>
      </c>
      <c r="BZ185" s="13">
        <f>BY185*VLOOKUP('Données projet'!$B$12,Paramètres!$A$1:$I$89,3,0)*VLOOKUP('Données projet'!$B$12,Paramètres!$A$1:$I$89,5,0)</f>
        <v>281.01512399999973</v>
      </c>
      <c r="CA185" s="13">
        <f t="shared" si="170"/>
        <v>67.181488559705002</v>
      </c>
      <c r="CB185" s="20">
        <f t="shared" si="171"/>
        <v>606.44243354148568</v>
      </c>
      <c r="CC185" s="59">
        <f t="shared" si="119"/>
        <v>899.77576687481906</v>
      </c>
      <c r="CD185" s="59">
        <f ca="1">AVERAGE(OFFSET($CC$3,0,0,'Données projet'!$E$12+1,1))-AVERAGE(OFFSET($H$3,0,0,'Données projet'!$E$12+1,1))</f>
        <v>292.52253679467469</v>
      </c>
      <c r="CE185" s="59">
        <f t="shared" si="148"/>
        <v>155.7114133976541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75.210660739954932</v>
      </c>
      <c r="CL185" s="21">
        <f>EXP(-LN(2)/25)*CL184+(1-EXP(-LN(2)/25))/(LN(2)/25)*Calculateur!CG185*Calculateur!CI185*VLOOKUP('Données projet'!$B$12,Paramètres!$A$1:$I$89,3,0)*0.475*44/12</f>
        <v>30.253759011786588</v>
      </c>
      <c r="CM185" s="21">
        <f>EXP(-LN(2)/2)*CM184+(1-EXP(-LN(2)/2))/(LN(2)/2)*CG185*CJ185*VLOOKUP('Données projet'!$B$12,Paramètres!$A$1:$I$89,3,0)*0.475*44/12</f>
        <v>1.0745505821006045E-5</v>
      </c>
      <c r="CN185" s="22">
        <f t="shared" si="172"/>
        <v>105.46443049724733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-1.1368683772161603E-13</v>
      </c>
      <c r="CU185" s="17">
        <f>CT185*VLOOKUP('Données projet'!$B$13,Paramètres!$A$1:$I$89,3,0)*VLOOKUP('Données projet'!$B$13,Paramètres!$A$1:$I$89,5,0)</f>
        <v>-8.8675733422860506E-14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100.54865094989304</v>
      </c>
      <c r="CZ185" s="59">
        <f t="shared" si="150"/>
        <v>99.95654161405389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2.9405777928474857</v>
      </c>
      <c r="DG185" s="21">
        <f>EXP(-LN(2)/25)*DG184+(1-EXP(-LN(2)/25))/(LN(2)/25)*Calculateur!DB185*Calculateur!DD185*VLOOKUP('Données projet'!$B$13,Paramètres!$A$1:$I$89,3,0)*0.475*44/12</f>
        <v>1.1828270602322783</v>
      </c>
      <c r="DH185" s="21">
        <f>EXP(-LN(2)/2)*DH184+(1-EXP(-LN(2)/2))/(LN(2)/2)*DB185*DE185*VLOOKUP('Données projet'!$B$13,Paramètres!$A$1:$I$89,3,0)*0.475*44/12</f>
        <v>3.8218177651221328E-16</v>
      </c>
      <c r="DI185" s="22">
        <f t="shared" si="175"/>
        <v>4.123404853079764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4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159.86880000000022</v>
      </c>
      <c r="D186" s="11">
        <f t="shared" si="140"/>
        <v>40.812921467768071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1549.1220604529483</v>
      </c>
      <c r="H186" s="67">
        <f t="shared" si="110"/>
        <v>642.85399822302975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3.4106051316484809E-13</v>
      </c>
      <c r="O186" s="13">
        <f>N186*VLOOKUP('Données projet'!$B$9,Paramètres!$A$1:$I$89,3,0)*VLOOKUP('Données projet'!$B$9,Paramètres!$A$1:$I$89,5,0)</f>
        <v>1.9065282685915009E-13</v>
      </c>
      <c r="P186" s="13">
        <f t="shared" si="141"/>
        <v>2.6568987209435707E-12</v>
      </c>
      <c r="Q186" s="20">
        <f t="shared" si="162"/>
        <v>4.959485612423072E-12</v>
      </c>
      <c r="R186" s="59">
        <f t="shared" si="109"/>
        <v>293.33333333333826</v>
      </c>
      <c r="S186" s="59">
        <f ca="1">AVERAGE(OFFSET($R$3,0,0,'Données projet'!$E$9+1,1))-AVERAGE(OFFSET($H$3,0,0,'Données projet'!$E$9+1,1))</f>
        <v>324.69474275039357</v>
      </c>
      <c r="T186" s="59">
        <f t="shared" si="142"/>
        <v>437.68177084535927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19.174663070964886</v>
      </c>
      <c r="AA186" s="21">
        <f>EXP(-LN(2)/25)*AA185+(1-EXP(-LN(2)/25))/(LN(2)/25)*Calculateur!V186*Calculateur!X186*VLOOKUP('Données projet'!$B$9,Paramètres!$A$1:$I$89,3,0)*0.475*44/12</f>
        <v>2.3774306186080127</v>
      </c>
      <c r="AB186" s="21">
        <f>EXP(-LN(2)/2)*AB185+(1-EXP(-LN(2)/2))/(LN(2)/2)*V186*Y186*VLOOKUP('Données projet'!$B$9,Paramètres!$A$1:$I$89,3,0)*0.475*44/12</f>
        <v>3.5077196890290587E-18</v>
      </c>
      <c r="AC186" s="22">
        <f t="shared" si="163"/>
        <v>21.552093689572899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1.1368683772161603E-13</v>
      </c>
      <c r="AJ186" s="13">
        <f>AI186*VLOOKUP('Données projet'!$B$10,Paramètres!$A$1:$I$89,3,0)*VLOOKUP('Données projet'!$B$10,Paramètres!$A$1:$I$89,5,0)</f>
        <v>6.7984728957526396E-14</v>
      </c>
      <c r="AK186" s="13">
        <f t="shared" si="164"/>
        <v>1.0682447123141398E-12</v>
      </c>
      <c r="AL186" s="20">
        <f t="shared" si="165"/>
        <v>1.978932943548152E-12</v>
      </c>
      <c r="AM186" s="59">
        <f t="shared" si="113"/>
        <v>293.3333333333353</v>
      </c>
      <c r="AN186" s="59">
        <f ca="1">AVERAGE(OFFSET($AM$3,0,0,'Données projet'!$E$10+1,1))-AVERAGE(OFFSET($H$3,0,0,'Données projet'!$E$10+1,1))</f>
        <v>214.93913810439858</v>
      </c>
      <c r="AO186" s="59">
        <f t="shared" si="144"/>
        <v>210.65603079265924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12.153468380909285</v>
      </c>
      <c r="AV186" s="21">
        <f>EXP(-LN(2)/25)*AV185+(1-EXP(-LN(2)/25))/(LN(2)/25)*Calculateur!AQ186*Calculateur!AS186*VLOOKUP('Données projet'!$B$10,Paramètres!$A$1:$I$89,3,0)*0.475*44/12</f>
        <v>1.6000781615789337</v>
      </c>
      <c r="AW186" s="21">
        <f>EXP(-LN(2)/2)*AW185+(1-EXP(-LN(2)/2))/(LN(2)/2)*AQ186*AT186*VLOOKUP('Données projet'!$B$10,Paramètres!$A$1:$I$89,3,0)*0.475*44/12</f>
        <v>1.8387697107176892E-17</v>
      </c>
      <c r="AX186" s="21">
        <f t="shared" si="166"/>
        <v>13.753546542488218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3.979039320256561E-13</v>
      </c>
      <c r="BE186" s="13">
        <f>BD186*VLOOKUP('Données projet'!$B$11,Paramètres!$A$1:$I$89,3,0)*VLOOKUP('Données projet'!$B$11,Paramètres!$A$1:$I$89,5,0)</f>
        <v>3.6002347769681362E-13</v>
      </c>
      <c r="BF186" s="13">
        <f t="shared" si="167"/>
        <v>4.6593569189922594E-12</v>
      </c>
      <c r="BG186" s="20">
        <f t="shared" si="168"/>
        <v>8.7420875242334695E-12</v>
      </c>
      <c r="BH186" s="59">
        <f t="shared" si="116"/>
        <v>293.33333333334207</v>
      </c>
      <c r="BI186" s="59">
        <f ca="1">AVERAGE(OFFSET($BH$3,0,0,'Données projet'!$E$11+1,1))-AVERAGE(OFFSET($H$3,0,0,'Données projet'!$E$11+1,1))</f>
        <v>507.69556381324213</v>
      </c>
      <c r="BJ186" s="59">
        <f t="shared" si="146"/>
        <v>129.52638237044044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108.344801895074</v>
      </c>
      <c r="BQ186" s="21">
        <f>EXP(-LN(2)/25)*BQ185+(1-EXP(-LN(2)/25))/(LN(2)/25)*Calculateur!BL186*Calculateur!BN186*VLOOKUP('Données projet'!$B$11,Paramètres!$A$1:$I$89,3,0)*0.475*44/12</f>
        <v>15.635014440299678</v>
      </c>
      <c r="BR186" s="21">
        <f>EXP(-LN(2)/2)*BR185+(1-EXP(-LN(2)/2))/(LN(2)/2)*BL186*BO186*VLOOKUP('Données projet'!$B$11,Paramètres!$A$1:$I$89,3,0)*0.475*44/12</f>
        <v>2.7788752209485759E-3</v>
      </c>
      <c r="BS186" s="22">
        <f t="shared" si="169"/>
        <v>123.98259521059462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4.7974999999999994</v>
      </c>
      <c r="BY186" s="12">
        <f>IF('Données projet'!$A$114&gt;35,BY185+BX186-CG185,IF(A186&lt;'Données projet'!$A$114,$BV$205^A186,IF(A186='Données projet'!$A$114,'Données projet'!$B$114,BY185+BX186-CG185)))</f>
        <v>295.34249999999969</v>
      </c>
      <c r="BZ186" s="13">
        <f>BY186*VLOOKUP('Données projet'!$B$12,Paramètres!$A$1:$I$89,3,0)*VLOOKUP('Données projet'!$B$12,Paramètres!$A$1:$I$89,5,0)</f>
        <v>285.6552659999997</v>
      </c>
      <c r="CA186" s="13">
        <f t="shared" si="170"/>
        <v>68.160734755272316</v>
      </c>
      <c r="CB186" s="20">
        <f t="shared" si="171"/>
        <v>616.22953464876537</v>
      </c>
      <c r="CC186" s="59">
        <f t="shared" si="119"/>
        <v>909.56286798209862</v>
      </c>
      <c r="CD186" s="59">
        <f ca="1">AVERAGE(OFFSET($CC$3,0,0,'Données projet'!$E$12+1,1))-AVERAGE(OFFSET($H$3,0,0,'Données projet'!$E$12+1,1))</f>
        <v>292.52253679467469</v>
      </c>
      <c r="CE186" s="59">
        <f t="shared" si="148"/>
        <v>155.7114133976541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73.735825556817787</v>
      </c>
      <c r="CL186" s="21">
        <f>EXP(-LN(2)/25)*CL185+(1-EXP(-LN(2)/25))/(LN(2)/25)*Calculateur!CG186*Calculateur!CI186*VLOOKUP('Données projet'!$B$12,Paramètres!$A$1:$I$89,3,0)*0.475*44/12</f>
        <v>29.426468380633242</v>
      </c>
      <c r="CM186" s="21">
        <f>EXP(-LN(2)/2)*CM185+(1-EXP(-LN(2)/2))/(LN(2)/2)*CG186*CJ186*VLOOKUP('Données projet'!$B$12,Paramètres!$A$1:$I$89,3,0)*0.475*44/12</f>
        <v>7.5982200333128945E-6</v>
      </c>
      <c r="CN186" s="22">
        <f t="shared" si="172"/>
        <v>103.16230153567106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-1.1368683772161603E-13</v>
      </c>
      <c r="CU186" s="17">
        <f>CT186*VLOOKUP('Données projet'!$B$13,Paramètres!$A$1:$I$89,3,0)*VLOOKUP('Données projet'!$B$13,Paramètres!$A$1:$I$89,5,0)</f>
        <v>-8.8675733422860506E-14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100.54865094989304</v>
      </c>
      <c r="CZ186" s="59">
        <f t="shared" si="150"/>
        <v>99.95654161405389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2.8829148559050992</v>
      </c>
      <c r="DG186" s="21">
        <f>EXP(-LN(2)/25)*DG185+(1-EXP(-LN(2)/25))/(LN(2)/25)*Calculateur!DB186*Calculateur!DD186*VLOOKUP('Données projet'!$B$13,Paramètres!$A$1:$I$89,3,0)*0.475*44/12</f>
        <v>1.150482592068055</v>
      </c>
      <c r="DH186" s="21">
        <f>EXP(-LN(2)/2)*DH185+(1-EXP(-LN(2)/2))/(LN(2)/2)*DB186*DE186*VLOOKUP('Données projet'!$B$13,Paramètres!$A$1:$I$89,3,0)*0.475*44/12</f>
        <v>2.702433258177076E-16</v>
      </c>
      <c r="DI186" s="22">
        <f t="shared" si="175"/>
        <v>4.0333974479731545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4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160.74240000000023</v>
      </c>
      <c r="D187" s="11">
        <f t="shared" si="140"/>
        <v>41.00992065722788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1557.3863348979012</v>
      </c>
      <c r="H187" s="67">
        <f t="shared" si="110"/>
        <v>644.71862514467216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3.4106051316484809E-13</v>
      </c>
      <c r="O187" s="13">
        <f>N187*VLOOKUP('Données projet'!$B$9,Paramètres!$A$1:$I$89,3,0)*VLOOKUP('Données projet'!$B$9,Paramètres!$A$1:$I$89,5,0)</f>
        <v>1.9065282685915009E-13</v>
      </c>
      <c r="P187" s="13">
        <f t="shared" si="141"/>
        <v>2.6568987209435707E-12</v>
      </c>
      <c r="Q187" s="20">
        <f t="shared" si="162"/>
        <v>4.959485612423072E-12</v>
      </c>
      <c r="R187" s="59">
        <f t="shared" si="109"/>
        <v>293.33333333333826</v>
      </c>
      <c r="S187" s="59">
        <f ca="1">AVERAGE(OFFSET($R$3,0,0,'Données projet'!$E$9+1,1))-AVERAGE(OFFSET($H$3,0,0,'Données projet'!$E$9+1,1))</f>
        <v>324.69474275039357</v>
      </c>
      <c r="T187" s="59">
        <f t="shared" si="142"/>
        <v>437.68177084535927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18.798659623532913</v>
      </c>
      <c r="AA187" s="21">
        <f>EXP(-LN(2)/25)*AA186+(1-EXP(-LN(2)/25))/(LN(2)/25)*Calculateur!V187*Calculateur!X187*VLOOKUP('Données projet'!$B$9,Paramètres!$A$1:$I$89,3,0)*0.475*44/12</f>
        <v>2.3124196533185342</v>
      </c>
      <c r="AB187" s="21">
        <f>EXP(-LN(2)/2)*AB186+(1-EXP(-LN(2)/2))/(LN(2)/2)*V187*Y187*VLOOKUP('Données projet'!$B$9,Paramètres!$A$1:$I$89,3,0)*0.475*44/12</f>
        <v>2.4803323786140152E-18</v>
      </c>
      <c r="AC187" s="22">
        <f t="shared" si="163"/>
        <v>21.111079276851449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1.1368683772161603E-13</v>
      </c>
      <c r="AJ187" s="13">
        <f>AI187*VLOOKUP('Données projet'!$B$10,Paramètres!$A$1:$I$89,3,0)*VLOOKUP('Données projet'!$B$10,Paramètres!$A$1:$I$89,5,0)</f>
        <v>6.7984728957526396E-14</v>
      </c>
      <c r="AK187" s="13">
        <f t="shared" si="164"/>
        <v>1.0682447123141398E-12</v>
      </c>
      <c r="AL187" s="20">
        <f t="shared" si="165"/>
        <v>1.978932943548152E-12</v>
      </c>
      <c r="AM187" s="59">
        <f t="shared" si="113"/>
        <v>293.3333333333353</v>
      </c>
      <c r="AN187" s="59">
        <f ca="1">AVERAGE(OFFSET($AM$3,0,0,'Données projet'!$E$10+1,1))-AVERAGE(OFFSET($H$3,0,0,'Données projet'!$E$10+1,1))</f>
        <v>214.93913810439858</v>
      </c>
      <c r="AO187" s="59">
        <f t="shared" si="144"/>
        <v>210.65603079265924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11.915146278843405</v>
      </c>
      <c r="AV187" s="21">
        <f>EXP(-LN(2)/25)*AV186+(1-EXP(-LN(2)/25))/(LN(2)/25)*Calculateur!AQ187*Calculateur!AS187*VLOOKUP('Données projet'!$B$10,Paramètres!$A$1:$I$89,3,0)*0.475*44/12</f>
        <v>1.5563239401061042</v>
      </c>
      <c r="AW187" s="21">
        <f>EXP(-LN(2)/2)*AW186+(1-EXP(-LN(2)/2))/(LN(2)/2)*AQ187*AT187*VLOOKUP('Données projet'!$B$10,Paramètres!$A$1:$I$89,3,0)*0.475*44/12</f>
        <v>1.3002065314889043E-17</v>
      </c>
      <c r="AX187" s="21">
        <f t="shared" si="166"/>
        <v>13.471470218949509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3.979039320256561E-13</v>
      </c>
      <c r="BE187" s="13">
        <f>BD187*VLOOKUP('Données projet'!$B$11,Paramètres!$A$1:$I$89,3,0)*VLOOKUP('Données projet'!$B$11,Paramètres!$A$1:$I$89,5,0)</f>
        <v>3.6002347769681362E-13</v>
      </c>
      <c r="BF187" s="13">
        <f t="shared" si="167"/>
        <v>4.6593569189922594E-12</v>
      </c>
      <c r="BG187" s="20">
        <f t="shared" si="168"/>
        <v>8.7420875242334695E-12</v>
      </c>
      <c r="BH187" s="59">
        <f t="shared" si="116"/>
        <v>293.33333333334207</v>
      </c>
      <c r="BI187" s="59">
        <f ca="1">AVERAGE(OFFSET($BH$3,0,0,'Données projet'!$E$11+1,1))-AVERAGE(OFFSET($H$3,0,0,'Données projet'!$E$11+1,1))</f>
        <v>507.69556381324213</v>
      </c>
      <c r="BJ187" s="59">
        <f t="shared" si="146"/>
        <v>129.52638237044044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106.22022641371552</v>
      </c>
      <c r="BQ187" s="21">
        <f>EXP(-LN(2)/25)*BQ186+(1-EXP(-LN(2)/25))/(LN(2)/25)*Calculateur!BL187*Calculateur!BN187*VLOOKUP('Données projet'!$B$11,Paramètres!$A$1:$I$89,3,0)*0.475*44/12</f>
        <v>15.207474148220008</v>
      </c>
      <c r="BR187" s="21">
        <f>EXP(-LN(2)/2)*BR186+(1-EXP(-LN(2)/2))/(LN(2)/2)*BL187*BO187*VLOOKUP('Données projet'!$B$11,Paramètres!$A$1:$I$89,3,0)*0.475*44/12</f>
        <v>1.9649615128040036E-3</v>
      </c>
      <c r="BS187" s="22">
        <f t="shared" si="169"/>
        <v>121.42966552344832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>
        <f>VLOOKUP(A187,'Données projet'!$A$113:$I$133,2,0)</f>
        <v>300.14</v>
      </c>
      <c r="BW187" s="12">
        <f>VLOOKUP(A187,'Données projet'!$A$113:$I$133,9,0)</f>
        <v>4.7974999999999994</v>
      </c>
      <c r="BX187" s="12">
        <f t="array" ref="BX187">INDEX(BW:BW,MIN(IF(ISNUMBER(BW187:BW383),ROW(BW187:BW383),"")))</f>
        <v>4.7974999999999994</v>
      </c>
      <c r="BY187" s="12">
        <f>IF('Données projet'!$A$114&gt;35,BY186+BX187-CG186,IF(A187&lt;'Données projet'!$A$114,$BV$205^A187,IF(A187='Données projet'!$A$114,'Données projet'!$B$114,BY186+BX187-CG186)))</f>
        <v>300.1399999999997</v>
      </c>
      <c r="BZ187" s="13">
        <f>BY187*VLOOKUP('Données projet'!$B$12,Paramètres!$A$1:$I$89,3,0)*VLOOKUP('Données projet'!$B$12,Paramètres!$A$1:$I$89,5,0)</f>
        <v>290.29540799999972</v>
      </c>
      <c r="CA187" s="13">
        <f t="shared" si="170"/>
        <v>69.138131070702386</v>
      </c>
      <c r="CB187" s="20">
        <f t="shared" si="171"/>
        <v>626.01341388147284</v>
      </c>
      <c r="CC187" s="59">
        <f t="shared" si="119"/>
        <v>919.3467472148061</v>
      </c>
      <c r="CD187" s="59">
        <f ca="1">AVERAGE(OFFSET($CC$3,0,0,'Données projet'!$E$12+1,1))-AVERAGE(OFFSET($H$3,0,0,'Données projet'!$E$12+1,1))</f>
        <v>292.52253679467469</v>
      </c>
      <c r="CE187" s="59">
        <f t="shared" si="148"/>
        <v>155.7114133976541</v>
      </c>
      <c r="CF187" s="15">
        <f>IF(ISNA(VLOOKUP(A187,'Données projet'!$A$113:$I$133,3,0)),0,VLOOKUP(A187,'Données projet'!$A$113:$I$133,3,0))</f>
        <v>14</v>
      </c>
      <c r="CG187" s="15">
        <f>IF(ISNA(VLOOKUP(A187,'Données projet'!$A$113:$I$133,4,0)),0,VLOOKUP(A187,'Données projet'!$A$113:$I$133,4,0))</f>
        <v>101.19999999999999</v>
      </c>
      <c r="CH187" s="16">
        <f>IF(ISNA(VLOOKUP(A187,'Données projet'!$A$113:$I$133,5,0)),0%,VLOOKUP(A187,'Données projet'!$A$113:$I$133,5,0)*VLOOKUP('Données projet'!$B$12,Paramètres!$A$1:$I$89,7,0))</f>
        <v>0.215</v>
      </c>
      <c r="CI187" s="16">
        <f>IF(ISNA(VLOOKUP(A187,'Données projet'!$A$113:$I$133,6,0)),0%,VLOOKUP(A187,'Données projet'!$A$113:$I$133,6,0)*VLOOKUP('Données projet'!$B$12,Paramètres!$A$1:$I$89,7,0))</f>
        <v>8.6000000000000007E-2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95.553802865752857</v>
      </c>
      <c r="CL187" s="21">
        <f>EXP(-LN(2)/25)*CL186+(1-EXP(-LN(2)/25))/(LN(2)/25)*Calculateur!CG187*Calculateur!CI187*VLOOKUP('Données projet'!$B$12,Paramètres!$A$1:$I$89,3,0)*0.475*44/12</f>
        <v>37.890717282152934</v>
      </c>
      <c r="CM187" s="21">
        <f>EXP(-LN(2)/2)*CM186+(1-EXP(-LN(2)/2))/(LN(2)/2)*CG187*CJ187*VLOOKUP('Données projet'!$B$12,Paramètres!$A$1:$I$89,3,0)*0.475*44/12</f>
        <v>5.3727529105030233E-6</v>
      </c>
      <c r="CN187" s="22">
        <f t="shared" si="172"/>
        <v>133.44452552065871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-1.1368683772161603E-13</v>
      </c>
      <c r="CU187" s="17">
        <f>CT187*VLOOKUP('Données projet'!$B$13,Paramètres!$A$1:$I$89,3,0)*VLOOKUP('Données projet'!$B$13,Paramètres!$A$1:$I$89,5,0)</f>
        <v>-8.8675733422860506E-14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100.54865094989304</v>
      </c>
      <c r="CZ187" s="59">
        <f t="shared" si="150"/>
        <v>99.95654161405389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2.8263826539852341</v>
      </c>
      <c r="DG187" s="21">
        <f>EXP(-LN(2)/25)*DG186+(1-EXP(-LN(2)/25))/(LN(2)/25)*Calculateur!DB187*Calculateur!DD187*VLOOKUP('Données projet'!$B$13,Paramètres!$A$1:$I$89,3,0)*0.475*44/12</f>
        <v>1.1190225850867039</v>
      </c>
      <c r="DH187" s="21">
        <f>EXP(-LN(2)/2)*DH186+(1-EXP(-LN(2)/2))/(LN(2)/2)*DB187*DE187*VLOOKUP('Données projet'!$B$13,Paramètres!$A$1:$I$89,3,0)*0.475*44/12</f>
        <v>1.9109088825610664E-16</v>
      </c>
      <c r="DI187" s="22">
        <f t="shared" si="175"/>
        <v>3.9454052390719383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4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161.61600000000024</v>
      </c>
      <c r="D188" s="11">
        <f t="shared" si="140"/>
        <v>41.206795262049248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1565.6496476368732</v>
      </c>
      <c r="H188" s="67">
        <f t="shared" si="110"/>
        <v>646.58303508140284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3.4106051316484809E-13</v>
      </c>
      <c r="O188" s="13">
        <f>N188*VLOOKUP('Données projet'!$B$9,Paramètres!$A$1:$I$89,3,0)*VLOOKUP('Données projet'!$B$9,Paramètres!$A$1:$I$89,5,0)</f>
        <v>1.9065282685915009E-13</v>
      </c>
      <c r="P188" s="13">
        <f t="shared" si="141"/>
        <v>2.6568987209435707E-12</v>
      </c>
      <c r="Q188" s="20">
        <f t="shared" si="162"/>
        <v>4.959485612423072E-12</v>
      </c>
      <c r="R188" s="59">
        <f t="shared" si="109"/>
        <v>293.33333333333826</v>
      </c>
      <c r="S188" s="59">
        <f ca="1">AVERAGE(OFFSET($R$3,0,0,'Données projet'!$E$9+1,1))-AVERAGE(OFFSET($H$3,0,0,'Données projet'!$E$9+1,1))</f>
        <v>324.69474275039357</v>
      </c>
      <c r="T188" s="59">
        <f t="shared" si="142"/>
        <v>437.68177084535927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18.430029374365624</v>
      </c>
      <c r="AA188" s="21">
        <f>EXP(-LN(2)/25)*AA187+(1-EXP(-LN(2)/25))/(LN(2)/25)*Calculateur!V188*Calculateur!X188*VLOOKUP('Données projet'!$B$9,Paramètres!$A$1:$I$89,3,0)*0.475*44/12</f>
        <v>2.2491864162936746</v>
      </c>
      <c r="AB188" s="21">
        <f>EXP(-LN(2)/2)*AB187+(1-EXP(-LN(2)/2))/(LN(2)/2)*V188*Y188*VLOOKUP('Données projet'!$B$9,Paramètres!$A$1:$I$89,3,0)*0.475*44/12</f>
        <v>1.7538598445145294E-18</v>
      </c>
      <c r="AC188" s="22">
        <f t="shared" si="163"/>
        <v>20.679215790659299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1.1368683772161603E-13</v>
      </c>
      <c r="AJ188" s="13">
        <f>AI188*VLOOKUP('Données projet'!$B$10,Paramètres!$A$1:$I$89,3,0)*VLOOKUP('Données projet'!$B$10,Paramètres!$A$1:$I$89,5,0)</f>
        <v>6.7984728957526396E-14</v>
      </c>
      <c r="AK188" s="13">
        <f t="shared" si="164"/>
        <v>1.0682447123141398E-12</v>
      </c>
      <c r="AL188" s="20">
        <f t="shared" si="165"/>
        <v>1.978932943548152E-12</v>
      </c>
      <c r="AM188" s="59">
        <f t="shared" si="113"/>
        <v>293.3333333333353</v>
      </c>
      <c r="AN188" s="59">
        <f ca="1">AVERAGE(OFFSET($AM$3,0,0,'Données projet'!$E$10+1,1))-AVERAGE(OFFSET($H$3,0,0,'Données projet'!$E$10+1,1))</f>
        <v>214.93913810439858</v>
      </c>
      <c r="AO188" s="59">
        <f t="shared" si="144"/>
        <v>210.65603079265924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11.681497527836909</v>
      </c>
      <c r="AV188" s="21">
        <f>EXP(-LN(2)/25)*AV187+(1-EXP(-LN(2)/25))/(LN(2)/25)*Calculateur!AQ188*Calculateur!AS188*VLOOKUP('Données projet'!$B$10,Paramètres!$A$1:$I$89,3,0)*0.475*44/12</f>
        <v>1.5137661801203839</v>
      </c>
      <c r="AW188" s="21">
        <f>EXP(-LN(2)/2)*AW187+(1-EXP(-LN(2)/2))/(LN(2)/2)*AQ188*AT188*VLOOKUP('Données projet'!$B$10,Paramètres!$A$1:$I$89,3,0)*0.475*44/12</f>
        <v>9.1938485535884458E-18</v>
      </c>
      <c r="AX188" s="21">
        <f t="shared" si="166"/>
        <v>13.195263707957292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3.979039320256561E-13</v>
      </c>
      <c r="BE188" s="13">
        <f>BD188*VLOOKUP('Données projet'!$B$11,Paramètres!$A$1:$I$89,3,0)*VLOOKUP('Données projet'!$B$11,Paramètres!$A$1:$I$89,5,0)</f>
        <v>3.6002347769681362E-13</v>
      </c>
      <c r="BF188" s="13">
        <f t="shared" si="167"/>
        <v>4.6593569189922594E-12</v>
      </c>
      <c r="BG188" s="20">
        <f t="shared" si="168"/>
        <v>8.7420875242334695E-12</v>
      </c>
      <c r="BH188" s="59">
        <f t="shared" si="116"/>
        <v>293.33333333334207</v>
      </c>
      <c r="BI188" s="59">
        <f ca="1">AVERAGE(OFFSET($BH$3,0,0,'Données projet'!$E$11+1,1))-AVERAGE(OFFSET($H$3,0,0,'Données projet'!$E$11+1,1))</f>
        <v>507.69556381324213</v>
      </c>
      <c r="BJ188" s="59">
        <f t="shared" si="146"/>
        <v>129.52638237044044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104.1373125616834</v>
      </c>
      <c r="BQ188" s="21">
        <f>EXP(-LN(2)/25)*BQ187+(1-EXP(-LN(2)/25))/(LN(2)/25)*Calculateur!BL188*Calculateur!BN188*VLOOKUP('Données projet'!$B$11,Paramètres!$A$1:$I$89,3,0)*0.475*44/12</f>
        <v>14.791624967910623</v>
      </c>
      <c r="BR188" s="21">
        <f>EXP(-LN(2)/2)*BR187+(1-EXP(-LN(2)/2))/(LN(2)/2)*BL188*BO188*VLOOKUP('Données projet'!$B$11,Paramètres!$A$1:$I$89,3,0)*0.475*44/12</f>
        <v>1.389437610474288E-3</v>
      </c>
      <c r="BS188" s="22">
        <f t="shared" si="169"/>
        <v>118.93032696720449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3.0825000000000031</v>
      </c>
      <c r="BY188" s="12">
        <f>IF('Données projet'!$A$114&gt;35,BY187+BX188-CG187,IF(A188&lt;'Données projet'!$A$114,$BV$205^A188,IF(A188='Données projet'!$A$114,'Données projet'!$B$114,BY187+BX188-CG187)))</f>
        <v>202.0224999999997</v>
      </c>
      <c r="BZ188" s="13">
        <f>BY188*VLOOKUP('Données projet'!$B$12,Paramètres!$A$1:$I$89,3,0)*VLOOKUP('Données projet'!$B$12,Paramètres!$A$1:$I$89,5,0)</f>
        <v>195.39616199999969</v>
      </c>
      <c r="CA188" s="13">
        <f t="shared" si="170"/>
        <v>48.731016217868188</v>
      </c>
      <c r="CB188" s="20">
        <f t="shared" si="171"/>
        <v>425.18816872945314</v>
      </c>
      <c r="CC188" s="59">
        <f t="shared" si="119"/>
        <v>718.52150206278645</v>
      </c>
      <c r="CD188" s="59">
        <f ca="1">AVERAGE(OFFSET($CC$3,0,0,'Données projet'!$E$12+1,1))-AVERAGE(OFFSET($H$3,0,0,'Données projet'!$E$12+1,1))</f>
        <v>292.52253679467469</v>
      </c>
      <c r="CE188" s="59">
        <f t="shared" si="148"/>
        <v>155.7114133976541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93.680051073620319</v>
      </c>
      <c r="CL188" s="21">
        <f>EXP(-LN(2)/25)*CL187+(1-EXP(-LN(2)/25))/(LN(2)/25)*Calculateur!CG188*Calculateur!CI188*VLOOKUP('Données projet'!$B$12,Paramètres!$A$1:$I$89,3,0)*0.475*44/12</f>
        <v>36.854593625486238</v>
      </c>
      <c r="CM188" s="21">
        <f>EXP(-LN(2)/2)*CM187+(1-EXP(-LN(2)/2))/(LN(2)/2)*CG188*CJ188*VLOOKUP('Données projet'!$B$12,Paramètres!$A$1:$I$89,3,0)*0.475*44/12</f>
        <v>3.7991100166564481E-6</v>
      </c>
      <c r="CN188" s="22">
        <f t="shared" si="172"/>
        <v>130.53464849821657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-1.1368683772161603E-13</v>
      </c>
      <c r="CU188" s="17">
        <f>CT188*VLOOKUP('Données projet'!$B$13,Paramètres!$A$1:$I$89,3,0)*VLOOKUP('Données projet'!$B$13,Paramètres!$A$1:$I$89,5,0)</f>
        <v>-8.8675733422860506E-14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100.54865094989304</v>
      </c>
      <c r="CZ188" s="59">
        <f t="shared" si="150"/>
        <v>99.95654161405389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2.7709590140637794</v>
      </c>
      <c r="DG188" s="21">
        <f>EXP(-LN(2)/25)*DG187+(1-EXP(-LN(2)/25))/(LN(2)/25)*Calculateur!DB188*Calculateur!DD188*VLOOKUP('Données projet'!$B$13,Paramètres!$A$1:$I$89,3,0)*0.475*44/12</f>
        <v>1.0884228536506679</v>
      </c>
      <c r="DH188" s="21">
        <f>EXP(-LN(2)/2)*DH187+(1-EXP(-LN(2)/2))/(LN(2)/2)*DB188*DE188*VLOOKUP('Données projet'!$B$13,Paramètres!$A$1:$I$89,3,0)*0.475*44/12</f>
        <v>1.351216629088538E-16</v>
      </c>
      <c r="DI188" s="22">
        <f t="shared" si="175"/>
        <v>3.8593818677144474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4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162.48960000000025</v>
      </c>
      <c r="D189" s="11">
        <f t="shared" si="140"/>
        <v>41.403546033820732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1573.9120044716008</v>
      </c>
      <c r="H189" s="67">
        <f t="shared" si="110"/>
        <v>648.44722934223819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3.4106051316484809E-13</v>
      </c>
      <c r="O189" s="13">
        <f>N189*VLOOKUP('Données projet'!$B$9,Paramètres!$A$1:$I$89,3,0)*VLOOKUP('Données projet'!$B$9,Paramètres!$A$1:$I$89,5,0)</f>
        <v>1.9065282685915009E-13</v>
      </c>
      <c r="P189" s="13">
        <f t="shared" si="141"/>
        <v>2.6568987209435707E-12</v>
      </c>
      <c r="Q189" s="20">
        <f t="shared" si="162"/>
        <v>4.959485612423072E-12</v>
      </c>
      <c r="R189" s="59">
        <f t="shared" si="109"/>
        <v>293.33333333333826</v>
      </c>
      <c r="S189" s="59">
        <f ca="1">AVERAGE(OFFSET($R$3,0,0,'Données projet'!$E$9+1,1))-AVERAGE(OFFSET($H$3,0,0,'Données projet'!$E$9+1,1))</f>
        <v>324.69474275039357</v>
      </c>
      <c r="T189" s="59">
        <f t="shared" si="142"/>
        <v>437.68177084535927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18.068627739542254</v>
      </c>
      <c r="AA189" s="21">
        <f>EXP(-LN(2)/25)*AA188+(1-EXP(-LN(2)/25))/(LN(2)/25)*Calculateur!V189*Calculateur!X189*VLOOKUP('Données projet'!$B$9,Paramètres!$A$1:$I$89,3,0)*0.475*44/12</f>
        <v>2.1876822954605508</v>
      </c>
      <c r="AB189" s="21">
        <f>EXP(-LN(2)/2)*AB188+(1-EXP(-LN(2)/2))/(LN(2)/2)*V189*Y189*VLOOKUP('Données projet'!$B$9,Paramètres!$A$1:$I$89,3,0)*0.475*44/12</f>
        <v>1.2401661893070076E-18</v>
      </c>
      <c r="AC189" s="22">
        <f t="shared" si="163"/>
        <v>20.256310035002805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1.1368683772161603E-13</v>
      </c>
      <c r="AJ189" s="13">
        <f>AI189*VLOOKUP('Données projet'!$B$10,Paramètres!$A$1:$I$89,3,0)*VLOOKUP('Données projet'!$B$10,Paramètres!$A$1:$I$89,5,0)</f>
        <v>6.7984728957526396E-14</v>
      </c>
      <c r="AK189" s="13">
        <f t="shared" si="164"/>
        <v>1.0682447123141398E-12</v>
      </c>
      <c r="AL189" s="20">
        <f t="shared" si="165"/>
        <v>1.978932943548152E-12</v>
      </c>
      <c r="AM189" s="59">
        <f t="shared" si="113"/>
        <v>293.3333333333353</v>
      </c>
      <c r="AN189" s="59">
        <f ca="1">AVERAGE(OFFSET($AM$3,0,0,'Données projet'!$E$10+1,1))-AVERAGE(OFFSET($H$3,0,0,'Données projet'!$E$10+1,1))</f>
        <v>214.93913810439858</v>
      </c>
      <c r="AO189" s="59">
        <f t="shared" si="144"/>
        <v>210.65603079265924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11.452430486325982</v>
      </c>
      <c r="AV189" s="21">
        <f>EXP(-LN(2)/25)*AV188+(1-EXP(-LN(2)/25))/(LN(2)/25)*Calculateur!AQ189*Calculateur!AS189*VLOOKUP('Données projet'!$B$10,Paramètres!$A$1:$I$89,3,0)*0.475*44/12</f>
        <v>1.4723721643194883</v>
      </c>
      <c r="AW189" s="21">
        <f>EXP(-LN(2)/2)*AW188+(1-EXP(-LN(2)/2))/(LN(2)/2)*AQ189*AT189*VLOOKUP('Données projet'!$B$10,Paramètres!$A$1:$I$89,3,0)*0.475*44/12</f>
        <v>6.5010326574445217E-18</v>
      </c>
      <c r="AX189" s="21">
        <f t="shared" si="166"/>
        <v>12.92480265064547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3.979039320256561E-13</v>
      </c>
      <c r="BE189" s="13">
        <f>BD189*VLOOKUP('Données projet'!$B$11,Paramètres!$A$1:$I$89,3,0)*VLOOKUP('Données projet'!$B$11,Paramètres!$A$1:$I$89,5,0)</f>
        <v>3.6002347769681362E-13</v>
      </c>
      <c r="BF189" s="13">
        <f t="shared" si="167"/>
        <v>4.6593569189922594E-12</v>
      </c>
      <c r="BG189" s="20">
        <f t="shared" si="168"/>
        <v>8.7420875242334695E-12</v>
      </c>
      <c r="BH189" s="59">
        <f t="shared" si="116"/>
        <v>293.33333333334207</v>
      </c>
      <c r="BI189" s="59">
        <f ca="1">AVERAGE(OFFSET($BH$3,0,0,'Données projet'!$E$11+1,1))-AVERAGE(OFFSET($H$3,0,0,'Données projet'!$E$11+1,1))</f>
        <v>507.69556381324213</v>
      </c>
      <c r="BJ189" s="59">
        <f t="shared" si="146"/>
        <v>129.52638237044044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102.09524337983763</v>
      </c>
      <c r="BQ189" s="21">
        <f>EXP(-LN(2)/25)*BQ188+(1-EXP(-LN(2)/25))/(LN(2)/25)*Calculateur!BL189*Calculateur!BN189*VLOOKUP('Données projet'!$B$11,Paramètres!$A$1:$I$89,3,0)*0.475*44/12</f>
        <v>14.387147205305357</v>
      </c>
      <c r="BR189" s="21">
        <f>EXP(-LN(2)/2)*BR188+(1-EXP(-LN(2)/2))/(LN(2)/2)*BL189*BO189*VLOOKUP('Données projet'!$B$11,Paramètres!$A$1:$I$89,3,0)*0.475*44/12</f>
        <v>9.8248075640200178E-4</v>
      </c>
      <c r="BS189" s="22">
        <f t="shared" si="169"/>
        <v>116.48337306589939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3.0825000000000031</v>
      </c>
      <c r="BY189" s="12">
        <f>IF('Données projet'!$A$114&gt;35,BY188+BX189-CG188,IF(A189&lt;'Données projet'!$A$114,$BV$205^A189,IF(A189='Données projet'!$A$114,'Données projet'!$B$114,BY188+BX189-CG188)))</f>
        <v>205.10499999999971</v>
      </c>
      <c r="BZ189" s="13">
        <f>BY189*VLOOKUP('Données projet'!$B$12,Paramètres!$A$1:$I$89,3,0)*VLOOKUP('Données projet'!$B$12,Paramètres!$A$1:$I$89,5,0)</f>
        <v>198.37755599999971</v>
      </c>
      <c r="CA189" s="13">
        <f t="shared" si="170"/>
        <v>49.387434785250633</v>
      </c>
      <c r="CB189" s="20">
        <f t="shared" si="171"/>
        <v>431.52402561764438</v>
      </c>
      <c r="CC189" s="59">
        <f t="shared" si="119"/>
        <v>724.85735895097764</v>
      </c>
      <c r="CD189" s="59">
        <f ca="1">AVERAGE(OFFSET($CC$3,0,0,'Données projet'!$E$12+1,1))-AVERAGE(OFFSET($H$3,0,0,'Données projet'!$E$12+1,1))</f>
        <v>292.52253679467469</v>
      </c>
      <c r="CE189" s="59">
        <f t="shared" si="148"/>
        <v>155.7114133976541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91.843042411255752</v>
      </c>
      <c r="CL189" s="21">
        <f>EXP(-LN(2)/25)*CL188+(1-EXP(-LN(2)/25))/(LN(2)/25)*Calculateur!CG189*Calculateur!CI189*VLOOKUP('Données projet'!$B$12,Paramètres!$A$1:$I$89,3,0)*0.475*44/12</f>
        <v>35.846802824698472</v>
      </c>
      <c r="CM189" s="21">
        <f>EXP(-LN(2)/2)*CM188+(1-EXP(-LN(2)/2))/(LN(2)/2)*CG189*CJ189*VLOOKUP('Données projet'!$B$12,Paramètres!$A$1:$I$89,3,0)*0.475*44/12</f>
        <v>2.6863764552515121E-6</v>
      </c>
      <c r="CN189" s="22">
        <f t="shared" si="172"/>
        <v>127.68984792233069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-1.1368683772161603E-13</v>
      </c>
      <c r="CU189" s="17">
        <f>CT189*VLOOKUP('Données projet'!$B$13,Paramètres!$A$1:$I$89,3,0)*VLOOKUP('Données projet'!$B$13,Paramètres!$A$1:$I$89,5,0)</f>
        <v>-8.8675733422860506E-14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100.54865094989304</v>
      </c>
      <c r="CZ189" s="59">
        <f t="shared" si="150"/>
        <v>99.95654161405389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2.7166221979161018</v>
      </c>
      <c r="DG189" s="21">
        <f>EXP(-LN(2)/25)*DG188+(1-EXP(-LN(2)/25))/(LN(2)/25)*Calculateur!DB189*Calculateur!DD189*VLOOKUP('Données projet'!$B$13,Paramètres!$A$1:$I$89,3,0)*0.475*44/12</f>
        <v>1.0586598734799202</v>
      </c>
      <c r="DH189" s="21">
        <f>EXP(-LN(2)/2)*DH188+(1-EXP(-LN(2)/2))/(LN(2)/2)*DB189*DE189*VLOOKUP('Données projet'!$B$13,Paramètres!$A$1:$I$89,3,0)*0.475*44/12</f>
        <v>9.554544412805332E-17</v>
      </c>
      <c r="DI189" s="22">
        <f t="shared" si="175"/>
        <v>3.7752820713960222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4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163.36320000000026</v>
      </c>
      <c r="D190" s="11">
        <f t="shared" si="140"/>
        <v>41.600173715581704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1582.1734111378257</v>
      </c>
      <c r="H190" s="67">
        <f t="shared" si="110"/>
        <v>650.31120922130515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3.4106051316484809E-13</v>
      </c>
      <c r="O190" s="13">
        <f>N190*VLOOKUP('Données projet'!$B$9,Paramètres!$A$1:$I$89,3,0)*VLOOKUP('Données projet'!$B$9,Paramètres!$A$1:$I$89,5,0)</f>
        <v>1.9065282685915009E-13</v>
      </c>
      <c r="P190" s="13">
        <f t="shared" si="141"/>
        <v>2.6568987209435707E-12</v>
      </c>
      <c r="Q190" s="20">
        <f t="shared" si="162"/>
        <v>4.959485612423072E-12</v>
      </c>
      <c r="R190" s="59">
        <f t="shared" si="109"/>
        <v>293.33333333333826</v>
      </c>
      <c r="S190" s="59">
        <f ca="1">AVERAGE(OFFSET($R$3,0,0,'Données projet'!$E$9+1,1))-AVERAGE(OFFSET($H$3,0,0,'Données projet'!$E$9+1,1))</f>
        <v>324.69474275039357</v>
      </c>
      <c r="T190" s="59">
        <f t="shared" si="142"/>
        <v>437.68177084535927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17.71431297034454</v>
      </c>
      <c r="AA190" s="21">
        <f>EXP(-LN(2)/25)*AA189+(1-EXP(-LN(2)/25))/(LN(2)/25)*Calculateur!V190*Calculateur!X190*VLOOKUP('Données projet'!$B$9,Paramètres!$A$1:$I$89,3,0)*0.475*44/12</f>
        <v>2.1278600080459702</v>
      </c>
      <c r="AB190" s="21">
        <f>EXP(-LN(2)/2)*AB189+(1-EXP(-LN(2)/2))/(LN(2)/2)*V190*Y190*VLOOKUP('Données projet'!$B$9,Paramètres!$A$1:$I$89,3,0)*0.475*44/12</f>
        <v>8.7692992225726468E-19</v>
      </c>
      <c r="AC190" s="22">
        <f t="shared" si="163"/>
        <v>19.842172978390511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1.1368683772161603E-13</v>
      </c>
      <c r="AJ190" s="13">
        <f>AI190*VLOOKUP('Données projet'!$B$10,Paramètres!$A$1:$I$89,3,0)*VLOOKUP('Données projet'!$B$10,Paramètres!$A$1:$I$89,5,0)</f>
        <v>6.7984728957526396E-14</v>
      </c>
      <c r="AK190" s="13">
        <f t="shared" si="164"/>
        <v>1.0682447123141398E-12</v>
      </c>
      <c r="AL190" s="20">
        <f t="shared" si="165"/>
        <v>1.978932943548152E-12</v>
      </c>
      <c r="AM190" s="59">
        <f t="shared" si="113"/>
        <v>293.3333333333353</v>
      </c>
      <c r="AN190" s="59">
        <f ca="1">AVERAGE(OFFSET($AM$3,0,0,'Données projet'!$E$10+1,1))-AVERAGE(OFFSET($H$3,0,0,'Données projet'!$E$10+1,1))</f>
        <v>214.93913810439858</v>
      </c>
      <c r="AO190" s="59">
        <f t="shared" si="144"/>
        <v>210.65603079265924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11.227855309781985</v>
      </c>
      <c r="AV190" s="21">
        <f>EXP(-LN(2)/25)*AV189+(1-EXP(-LN(2)/25))/(LN(2)/25)*Calculateur!AQ190*Calculateur!AS190*VLOOKUP('Données projet'!$B$10,Paramètres!$A$1:$I$89,3,0)*0.475*44/12</f>
        <v>1.4321100700574849</v>
      </c>
      <c r="AW190" s="21">
        <f>EXP(-LN(2)/2)*AW189+(1-EXP(-LN(2)/2))/(LN(2)/2)*AQ190*AT190*VLOOKUP('Données projet'!$B$10,Paramètres!$A$1:$I$89,3,0)*0.475*44/12</f>
        <v>4.5969242767942229E-18</v>
      </c>
      <c r="AX190" s="21">
        <f t="shared" si="166"/>
        <v>12.65996537983947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3.979039320256561E-13</v>
      </c>
      <c r="BE190" s="13">
        <f>BD190*VLOOKUP('Données projet'!$B$11,Paramètres!$A$1:$I$89,3,0)*VLOOKUP('Données projet'!$B$11,Paramètres!$A$1:$I$89,5,0)</f>
        <v>3.6002347769681362E-13</v>
      </c>
      <c r="BF190" s="13">
        <f t="shared" si="167"/>
        <v>4.6593569189922594E-12</v>
      </c>
      <c r="BG190" s="20">
        <f t="shared" si="168"/>
        <v>8.7420875242334695E-12</v>
      </c>
      <c r="BH190" s="59">
        <f t="shared" si="116"/>
        <v>293.33333333334207</v>
      </c>
      <c r="BI190" s="59">
        <f ca="1">AVERAGE(OFFSET($BH$3,0,0,'Données projet'!$E$11+1,1))-AVERAGE(OFFSET($H$3,0,0,'Données projet'!$E$11+1,1))</f>
        <v>507.69556381324213</v>
      </c>
      <c r="BJ190" s="59">
        <f t="shared" si="146"/>
        <v>129.52638237044044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100.09321792910863</v>
      </c>
      <c r="BQ190" s="21">
        <f>EXP(-LN(2)/25)*BQ189+(1-EXP(-LN(2)/25))/(LN(2)/25)*Calculateur!BL190*Calculateur!BN190*VLOOKUP('Données projet'!$B$11,Paramètres!$A$1:$I$89,3,0)*0.475*44/12</f>
        <v>13.993729908389094</v>
      </c>
      <c r="BR190" s="21">
        <f>EXP(-LN(2)/2)*BR189+(1-EXP(-LN(2)/2))/(LN(2)/2)*BL190*BO190*VLOOKUP('Données projet'!$B$11,Paramètres!$A$1:$I$89,3,0)*0.475*44/12</f>
        <v>6.9471880523714398E-4</v>
      </c>
      <c r="BS190" s="22">
        <f t="shared" si="169"/>
        <v>114.08764255630297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3.0825000000000031</v>
      </c>
      <c r="BY190" s="12">
        <f>IF('Données projet'!$A$114&gt;35,BY189+BX190-CG189,IF(A190&lt;'Données projet'!$A$114,$BV$205^A190,IF(A190='Données projet'!$A$114,'Données projet'!$B$114,BY189+BX190-CG189)))</f>
        <v>208.18749999999972</v>
      </c>
      <c r="BZ190" s="13">
        <f>BY190*VLOOKUP('Données projet'!$B$12,Paramètres!$A$1:$I$89,3,0)*VLOOKUP('Données projet'!$B$12,Paramètres!$A$1:$I$89,5,0)</f>
        <v>201.35894999999971</v>
      </c>
      <c r="CA190" s="13">
        <f t="shared" si="170"/>
        <v>50.042705996748062</v>
      </c>
      <c r="CB190" s="20">
        <f t="shared" si="171"/>
        <v>437.85788419433567</v>
      </c>
      <c r="CC190" s="59">
        <f t="shared" si="119"/>
        <v>731.19121752766898</v>
      </c>
      <c r="CD190" s="59">
        <f ca="1">AVERAGE(OFFSET($CC$3,0,0,'Données projet'!$E$12+1,1))-AVERAGE(OFFSET($H$3,0,0,'Données projet'!$E$12+1,1))</f>
        <v>292.52253679467469</v>
      </c>
      <c r="CE190" s="59">
        <f t="shared" si="148"/>
        <v>155.7114133976541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90.042056368295505</v>
      </c>
      <c r="CL190" s="21">
        <f>EXP(-LN(2)/25)*CL189+(1-EXP(-LN(2)/25))/(LN(2)/25)*Calculateur!CG190*Calculateur!CI190*VLOOKUP('Données projet'!$B$12,Paramètres!$A$1:$I$89,3,0)*0.475*44/12</f>
        <v>34.866570116355661</v>
      </c>
      <c r="CM190" s="21">
        <f>EXP(-LN(2)/2)*CM189+(1-EXP(-LN(2)/2))/(LN(2)/2)*CG190*CJ190*VLOOKUP('Données projet'!$B$12,Paramètres!$A$1:$I$89,3,0)*0.475*44/12</f>
        <v>1.8995550083282243E-6</v>
      </c>
      <c r="CN190" s="22">
        <f t="shared" si="172"/>
        <v>124.90862838420617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-1.1368683772161603E-13</v>
      </c>
      <c r="CU190" s="17">
        <f>CT190*VLOOKUP('Données projet'!$B$13,Paramètres!$A$1:$I$89,3,0)*VLOOKUP('Données projet'!$B$13,Paramètres!$A$1:$I$89,5,0)</f>
        <v>-8.8675733422860506E-14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100.54865094989304</v>
      </c>
      <c r="CZ190" s="59">
        <f t="shared" si="150"/>
        <v>99.95654161405389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2.6633508935908949</v>
      </c>
      <c r="DG190" s="21">
        <f>EXP(-LN(2)/25)*DG189+(1-EXP(-LN(2)/25))/(LN(2)/25)*Calculateur!DB190*Calculateur!DD190*VLOOKUP('Données projet'!$B$13,Paramètres!$A$1:$I$89,3,0)*0.475*44/12</f>
        <v>1.0297107635671086</v>
      </c>
      <c r="DH190" s="21">
        <f>EXP(-LN(2)/2)*DH189+(1-EXP(-LN(2)/2))/(LN(2)/2)*DB190*DE190*VLOOKUP('Données projet'!$B$13,Paramètres!$A$1:$I$89,3,0)*0.475*44/12</f>
        <v>6.75608314544269E-17</v>
      </c>
      <c r="DI190" s="22">
        <f t="shared" si="175"/>
        <v>3.6930616571580037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4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164.23680000000027</v>
      </c>
      <c r="D191" s="11">
        <f t="shared" si="140"/>
        <v>41.796679041964389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1590.4338733063939</v>
      </c>
      <c r="H191" s="67">
        <f t="shared" si="110"/>
        <v>652.17497599808837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3.4106051316484809E-13</v>
      </c>
      <c r="O191" s="13">
        <f>N191*VLOOKUP('Données projet'!$B$9,Paramètres!$A$1:$I$89,3,0)*VLOOKUP('Données projet'!$B$9,Paramètres!$A$1:$I$89,5,0)</f>
        <v>1.9065282685915009E-13</v>
      </c>
      <c r="P191" s="13">
        <f t="shared" si="141"/>
        <v>2.6568987209435707E-12</v>
      </c>
      <c r="Q191" s="20">
        <f t="shared" si="162"/>
        <v>4.959485612423072E-12</v>
      </c>
      <c r="R191" s="59">
        <f t="shared" si="109"/>
        <v>293.33333333333826</v>
      </c>
      <c r="S191" s="59">
        <f ca="1">AVERAGE(OFFSET($R$3,0,0,'Données projet'!$E$9+1,1))-AVERAGE(OFFSET($H$3,0,0,'Données projet'!$E$9+1,1))</f>
        <v>324.69474275039357</v>
      </c>
      <c r="T191" s="59">
        <f t="shared" si="142"/>
        <v>437.68177084535927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17.366946097660122</v>
      </c>
      <c r="AA191" s="21">
        <f>EXP(-LN(2)/25)*AA190+(1-EXP(-LN(2)/25))/(LN(2)/25)*Calculateur!V191*Calculateur!X191*VLOOKUP('Données projet'!$B$9,Paramètres!$A$1:$I$89,3,0)*0.475*44/12</f>
        <v>2.0696735642266586</v>
      </c>
      <c r="AB191" s="21">
        <f>EXP(-LN(2)/2)*AB190+(1-EXP(-LN(2)/2))/(LN(2)/2)*V191*Y191*VLOOKUP('Données projet'!$B$9,Paramètres!$A$1:$I$89,3,0)*0.475*44/12</f>
        <v>6.2008309465350381E-19</v>
      </c>
      <c r="AC191" s="22">
        <f t="shared" si="163"/>
        <v>19.43661966188678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1.1368683772161603E-13</v>
      </c>
      <c r="AJ191" s="13">
        <f>AI191*VLOOKUP('Données projet'!$B$10,Paramètres!$A$1:$I$89,3,0)*VLOOKUP('Données projet'!$B$10,Paramètres!$A$1:$I$89,5,0)</f>
        <v>6.7984728957526396E-14</v>
      </c>
      <c r="AK191" s="13">
        <f t="shared" si="164"/>
        <v>1.0682447123141398E-12</v>
      </c>
      <c r="AL191" s="20">
        <f t="shared" si="165"/>
        <v>1.978932943548152E-12</v>
      </c>
      <c r="AM191" s="59">
        <f t="shared" si="113"/>
        <v>293.3333333333353</v>
      </c>
      <c r="AN191" s="59">
        <f ca="1">AVERAGE(OFFSET($AM$3,0,0,'Données projet'!$E$10+1,1))-AVERAGE(OFFSET($H$3,0,0,'Données projet'!$E$10+1,1))</f>
        <v>214.93913810439858</v>
      </c>
      <c r="AO191" s="59">
        <f t="shared" si="144"/>
        <v>210.65603079265924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11.007683915472684</v>
      </c>
      <c r="AV191" s="21">
        <f>EXP(-LN(2)/25)*AV190+(1-EXP(-LN(2)/25))/(LN(2)/25)*Calculateur!AQ191*Calculateur!AS191*VLOOKUP('Données projet'!$B$10,Paramètres!$A$1:$I$89,3,0)*0.475*44/12</f>
        <v>1.3929489448803676</v>
      </c>
      <c r="AW191" s="21">
        <f>EXP(-LN(2)/2)*AW190+(1-EXP(-LN(2)/2))/(LN(2)/2)*AQ191*AT191*VLOOKUP('Données projet'!$B$10,Paramètres!$A$1:$I$89,3,0)*0.475*44/12</f>
        <v>3.2505163287222608E-18</v>
      </c>
      <c r="AX191" s="21">
        <f t="shared" si="166"/>
        <v>12.400632860353053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3.979039320256561E-13</v>
      </c>
      <c r="BE191" s="13">
        <f>BD191*VLOOKUP('Données projet'!$B$11,Paramètres!$A$1:$I$89,3,0)*VLOOKUP('Données projet'!$B$11,Paramètres!$A$1:$I$89,5,0)</f>
        <v>3.6002347769681362E-13</v>
      </c>
      <c r="BF191" s="13">
        <f t="shared" si="167"/>
        <v>4.6593569189922594E-12</v>
      </c>
      <c r="BG191" s="20">
        <f t="shared" si="168"/>
        <v>8.7420875242334695E-12</v>
      </c>
      <c r="BH191" s="59">
        <f t="shared" si="116"/>
        <v>293.33333333334207</v>
      </c>
      <c r="BI191" s="59">
        <f ca="1">AVERAGE(OFFSET($BH$3,0,0,'Données projet'!$E$11+1,1))-AVERAGE(OFFSET($H$3,0,0,'Données projet'!$E$11+1,1))</f>
        <v>507.69556381324213</v>
      </c>
      <c r="BJ191" s="59">
        <f t="shared" si="146"/>
        <v>129.52638237044044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98.130450976353487</v>
      </c>
      <c r="BQ191" s="21">
        <f>EXP(-LN(2)/25)*BQ190+(1-EXP(-LN(2)/25))/(LN(2)/25)*Calculateur!BL191*Calculateur!BN191*VLOOKUP('Données projet'!$B$11,Paramètres!$A$1:$I$89,3,0)*0.475*44/12</f>
        <v>13.611070628145921</v>
      </c>
      <c r="BR191" s="21">
        <f>EXP(-LN(2)/2)*BR190+(1-EXP(-LN(2)/2))/(LN(2)/2)*BL191*BO191*VLOOKUP('Données projet'!$B$11,Paramètres!$A$1:$I$89,3,0)*0.475*44/12</f>
        <v>4.9124037820100089E-4</v>
      </c>
      <c r="BS191" s="22">
        <f t="shared" si="169"/>
        <v>111.74201284487761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>
        <f>VLOOKUP(A191,'Données projet'!$A$113:$I$133,2,0)</f>
        <v>211.27</v>
      </c>
      <c r="BW191" s="12">
        <f>VLOOKUP(A191,'Données projet'!$A$113:$I$133,9,0)</f>
        <v>3.0825000000000031</v>
      </c>
      <c r="BX191" s="12">
        <f t="array" ref="BX191">INDEX(BW:BW,MIN(IF(ISNUMBER(BW191:BW387),ROW(BW191:BW387),"")))</f>
        <v>3.0825000000000031</v>
      </c>
      <c r="BY191" s="12">
        <f>IF('Données projet'!$A$114&gt;35,BY190+BX191-CG190,IF(A191&lt;'Données projet'!$A$114,$BV$205^A191,IF(A191='Données projet'!$A$114,'Données projet'!$B$114,BY190+BX191-CG190)))</f>
        <v>211.26999999999973</v>
      </c>
      <c r="BZ191" s="13">
        <f>BY191*VLOOKUP('Données projet'!$B$12,Paramètres!$A$1:$I$89,3,0)*VLOOKUP('Données projet'!$B$12,Paramètres!$A$1:$I$89,5,0)</f>
        <v>204.34034399999976</v>
      </c>
      <c r="CA191" s="13">
        <f t="shared" si="170"/>
        <v>50.696848803013133</v>
      </c>
      <c r="CB191" s="20">
        <f t="shared" si="171"/>
        <v>444.18977746524746</v>
      </c>
      <c r="CC191" s="59">
        <f t="shared" si="119"/>
        <v>737.52311079858077</v>
      </c>
      <c r="CD191" s="59">
        <f ca="1">AVERAGE(OFFSET($CC$3,0,0,'Données projet'!$E$12+1,1))-AVERAGE(OFFSET($H$3,0,0,'Données projet'!$E$12+1,1))</f>
        <v>292.52253679467469</v>
      </c>
      <c r="CE191" s="59">
        <f t="shared" si="148"/>
        <v>155.7114133976541</v>
      </c>
      <c r="CF191" s="15">
        <f>IF(ISNA(VLOOKUP(A191,'Données projet'!$A$113:$I$133,3,0)),0,VLOOKUP(A191,'Données projet'!$A$113:$I$133,3,0))</f>
        <v>15</v>
      </c>
      <c r="CG191" s="15">
        <f>IF(ISNA(VLOOKUP(A191,'Données projet'!$A$113:$I$133,4,0)),0,VLOOKUP(A191,'Données projet'!$A$113:$I$133,4,0))</f>
        <v>72.180000000000007</v>
      </c>
      <c r="CH191" s="16">
        <f>IF(ISNA(VLOOKUP(A191,'Données projet'!$A$113:$I$133,5,0)),0%,VLOOKUP(A191,'Données projet'!$A$113:$I$133,5,0)*VLOOKUP('Données projet'!$B$12,Paramètres!$A$1:$I$89,7,0))</f>
        <v>0.215</v>
      </c>
      <c r="CI191" s="16">
        <f>IF(ISNA(VLOOKUP(A191,'Données projet'!$A$113:$I$133,6,0)),0%,VLOOKUP(A191,'Données projet'!$A$113:$I$133,6,0)*VLOOKUP('Données projet'!$B$12,Paramètres!$A$1:$I$89,7,0))</f>
        <v>8.6000000000000007E-2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104.86915054973615</v>
      </c>
      <c r="CL191" s="21">
        <f>EXP(-LN(2)/25)*CL190+(1-EXP(-LN(2)/25))/(LN(2)/25)*Calculateur!CG191*Calculateur!CI191*VLOOKUP('Données projet'!$B$12,Paramètres!$A$1:$I$89,3,0)*0.475*44/12</f>
        <v>40.524114703945678</v>
      </c>
      <c r="CM191" s="21">
        <f>EXP(-LN(2)/2)*CM190+(1-EXP(-LN(2)/2))/(LN(2)/2)*CG191*CJ191*VLOOKUP('Données projet'!$B$12,Paramètres!$A$1:$I$89,3,0)*0.475*44/12</f>
        <v>1.3431882276257563E-6</v>
      </c>
      <c r="CN191" s="22">
        <f t="shared" si="172"/>
        <v>145.39326659687003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-1.1368683772161603E-13</v>
      </c>
      <c r="CU191" s="17">
        <f>CT191*VLOOKUP('Données projet'!$B$13,Paramètres!$A$1:$I$89,3,0)*VLOOKUP('Données projet'!$B$13,Paramètres!$A$1:$I$89,5,0)</f>
        <v>-8.8675733422860506E-14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100.54865094989304</v>
      </c>
      <c r="CZ191" s="59">
        <f t="shared" si="150"/>
        <v>99.95654161405389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2.6111242070512182</v>
      </c>
      <c r="DG191" s="21">
        <f>EXP(-LN(2)/25)*DG190+(1-EXP(-LN(2)/25))/(LN(2)/25)*Calculateur!DB191*Calculateur!DD191*VLOOKUP('Données projet'!$B$13,Paramètres!$A$1:$I$89,3,0)*0.475*44/12</f>
        <v>1.0015532685872304</v>
      </c>
      <c r="DH191" s="21">
        <f>EXP(-LN(2)/2)*DH190+(1-EXP(-LN(2)/2))/(LN(2)/2)*DB191*DE191*VLOOKUP('Données projet'!$B$13,Paramètres!$A$1:$I$89,3,0)*0.475*44/12</f>
        <v>4.777272206402666E-17</v>
      </c>
      <c r="DI191" s="22">
        <f t="shared" si="175"/>
        <v>3.6126774756384483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4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165.11040000000028</v>
      </c>
      <c r="D192" s="11">
        <f t="shared" si="140"/>
        <v>41.993062739333524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1598.6933965843311</v>
      </c>
      <c r="H192" s="67">
        <f t="shared" si="110"/>
        <v>654.03853093767293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3.4106051316484809E-13</v>
      </c>
      <c r="O192" s="13">
        <f>N192*VLOOKUP('Données projet'!$B$9,Paramètres!$A$1:$I$89,3,0)*VLOOKUP('Données projet'!$B$9,Paramètres!$A$1:$I$89,5,0)</f>
        <v>1.9065282685915009E-13</v>
      </c>
      <c r="P192" s="13">
        <f t="shared" si="141"/>
        <v>2.6568987209435707E-12</v>
      </c>
      <c r="Q192" s="20">
        <f t="shared" si="162"/>
        <v>4.959485612423072E-12</v>
      </c>
      <c r="R192" s="59">
        <f t="shared" si="109"/>
        <v>293.33333333333826</v>
      </c>
      <c r="S192" s="59">
        <f ca="1">AVERAGE(OFFSET($R$3,0,0,'Données projet'!$E$9+1,1))-AVERAGE(OFFSET($H$3,0,0,'Données projet'!$E$9+1,1))</f>
        <v>324.69474275039357</v>
      </c>
      <c r="T192" s="59">
        <f t="shared" si="142"/>
        <v>437.68177084535927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17.026390877476175</v>
      </c>
      <c r="AA192" s="21">
        <f>EXP(-LN(2)/25)*AA191+(1-EXP(-LN(2)/25))/(LN(2)/25)*Calculateur!V192*Calculateur!X192*VLOOKUP('Données projet'!$B$9,Paramètres!$A$1:$I$89,3,0)*0.475*44/12</f>
        <v>2.0130782317734783</v>
      </c>
      <c r="AB192" s="21">
        <f>EXP(-LN(2)/2)*AB191+(1-EXP(-LN(2)/2))/(LN(2)/2)*V192*Y192*VLOOKUP('Données projet'!$B$9,Paramètres!$A$1:$I$89,3,0)*0.475*44/12</f>
        <v>4.3846496112863234E-19</v>
      </c>
      <c r="AC192" s="22">
        <f t="shared" si="163"/>
        <v>19.039469109249652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1.1368683772161603E-13</v>
      </c>
      <c r="AJ192" s="13">
        <f>AI192*VLOOKUP('Données projet'!$B$10,Paramètres!$A$1:$I$89,3,0)*VLOOKUP('Données projet'!$B$10,Paramètres!$A$1:$I$89,5,0)</f>
        <v>6.7984728957526396E-14</v>
      </c>
      <c r="AK192" s="13">
        <f t="shared" si="164"/>
        <v>1.0682447123141398E-12</v>
      </c>
      <c r="AL192" s="20">
        <f t="shared" si="165"/>
        <v>1.978932943548152E-12</v>
      </c>
      <c r="AM192" s="59">
        <f t="shared" si="113"/>
        <v>293.3333333333353</v>
      </c>
      <c r="AN192" s="59">
        <f ca="1">AVERAGE(OFFSET($AM$3,0,0,'Données projet'!$E$10+1,1))-AVERAGE(OFFSET($H$3,0,0,'Données projet'!$E$10+1,1))</f>
        <v>214.93913810439858</v>
      </c>
      <c r="AO192" s="59">
        <f t="shared" si="144"/>
        <v>210.65603079265924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10.791829947914499</v>
      </c>
      <c r="AV192" s="21">
        <f>EXP(-LN(2)/25)*AV191+(1-EXP(-LN(2)/25))/(LN(2)/25)*Calculateur!AQ192*Calculateur!AS192*VLOOKUP('Données projet'!$B$10,Paramètres!$A$1:$I$89,3,0)*0.475*44/12</f>
        <v>1.3548586827306126</v>
      </c>
      <c r="AW192" s="21">
        <f>EXP(-LN(2)/2)*AW191+(1-EXP(-LN(2)/2))/(LN(2)/2)*AQ192*AT192*VLOOKUP('Données projet'!$B$10,Paramètres!$A$1:$I$89,3,0)*0.475*44/12</f>
        <v>2.2984621383971115E-18</v>
      </c>
      <c r="AX192" s="21">
        <f t="shared" si="166"/>
        <v>12.146688630645112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3.979039320256561E-13</v>
      </c>
      <c r="BE192" s="13">
        <f>BD192*VLOOKUP('Données projet'!$B$11,Paramètres!$A$1:$I$89,3,0)*VLOOKUP('Données projet'!$B$11,Paramètres!$A$1:$I$89,5,0)</f>
        <v>3.6002347769681362E-13</v>
      </c>
      <c r="BF192" s="13">
        <f t="shared" si="167"/>
        <v>4.6593569189922594E-12</v>
      </c>
      <c r="BG192" s="20">
        <f t="shared" si="168"/>
        <v>8.7420875242334695E-12</v>
      </c>
      <c r="BH192" s="59">
        <f t="shared" si="116"/>
        <v>293.33333333334207</v>
      </c>
      <c r="BI192" s="59">
        <f ca="1">AVERAGE(OFFSET($BH$3,0,0,'Données projet'!$E$11+1,1))-AVERAGE(OFFSET($H$3,0,0,'Données projet'!$E$11+1,1))</f>
        <v>507.69556381324213</v>
      </c>
      <c r="BJ192" s="59">
        <f t="shared" si="146"/>
        <v>129.52638237044044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96.206172686372227</v>
      </c>
      <c r="BQ192" s="21">
        <f>EXP(-LN(2)/25)*BQ191+(1-EXP(-LN(2)/25))/(LN(2)/25)*Calculateur!BL192*Calculateur!BN192*VLOOKUP('Données projet'!$B$11,Paramètres!$A$1:$I$89,3,0)*0.475*44/12</f>
        <v>13.238875186044174</v>
      </c>
      <c r="BR192" s="21">
        <f>EXP(-LN(2)/2)*BR191+(1-EXP(-LN(2)/2))/(LN(2)/2)*BL192*BO192*VLOOKUP('Données projet'!$B$11,Paramètres!$A$1:$I$89,3,0)*0.475*44/12</f>
        <v>3.4735940261857199E-4</v>
      </c>
      <c r="BS192" s="22">
        <f t="shared" si="169"/>
        <v>109.44539523181902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1.9733333333333292</v>
      </c>
      <c r="BY192" s="12">
        <f>IF('Données projet'!$A$114&gt;35,BY191+BX192-CG191,IF(A192&lt;'Données projet'!$A$114,$BV$205^A192,IF(A192='Données projet'!$A$114,'Données projet'!$B$114,BY191+BX192-CG191)))</f>
        <v>141.06333333333305</v>
      </c>
      <c r="BZ192" s="13">
        <f>BY192*VLOOKUP('Données projet'!$B$12,Paramètres!$A$1:$I$89,3,0)*VLOOKUP('Données projet'!$B$12,Paramètres!$A$1:$I$89,5,0)</f>
        <v>136.43645599999974</v>
      </c>
      <c r="CA192" s="13">
        <f t="shared" si="170"/>
        <v>35.479426627606493</v>
      </c>
      <c r="CB192" s="20">
        <f t="shared" si="171"/>
        <v>299.42016224308082</v>
      </c>
      <c r="CC192" s="59">
        <f t="shared" si="119"/>
        <v>592.75349557641414</v>
      </c>
      <c r="CD192" s="59">
        <f ca="1">AVERAGE(OFFSET($CC$3,0,0,'Données projet'!$E$12+1,1))-AVERAGE(OFFSET($H$3,0,0,'Données projet'!$E$12+1,1))</f>
        <v>292.52253679467469</v>
      </c>
      <c r="CE192" s="59">
        <f t="shared" si="148"/>
        <v>155.7114133976541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102.81273047132176</v>
      </c>
      <c r="CL192" s="21">
        <f>EXP(-LN(2)/25)*CL191+(1-EXP(-LN(2)/25))/(LN(2)/25)*Calculateur!CG192*Calculateur!CI192*VLOOKUP('Données projet'!$B$12,Paramètres!$A$1:$I$89,3,0)*0.475*44/12</f>
        <v>39.415980656295709</v>
      </c>
      <c r="CM192" s="21">
        <f>EXP(-LN(2)/2)*CM191+(1-EXP(-LN(2)/2))/(LN(2)/2)*CG192*CJ192*VLOOKUP('Données projet'!$B$12,Paramètres!$A$1:$I$89,3,0)*0.475*44/12</f>
        <v>9.4977750416411223E-7</v>
      </c>
      <c r="CN192" s="22">
        <f t="shared" si="172"/>
        <v>142.22871207739496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-1.1368683772161603E-13</v>
      </c>
      <c r="CU192" s="17">
        <f>CT192*VLOOKUP('Données projet'!$B$13,Paramètres!$A$1:$I$89,3,0)*VLOOKUP('Données projet'!$B$13,Paramètres!$A$1:$I$89,5,0)</f>
        <v>-8.8675733422860506E-14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100.54865094989304</v>
      </c>
      <c r="CZ192" s="59">
        <f t="shared" si="150"/>
        <v>99.95654161405389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2.5599216539794512</v>
      </c>
      <c r="DG192" s="21">
        <f>EXP(-LN(2)/25)*DG191+(1-EXP(-LN(2)/25))/(LN(2)/25)*Calculateur!DB192*Calculateur!DD192*VLOOKUP('Données projet'!$B$13,Paramètres!$A$1:$I$89,3,0)*0.475*44/12</f>
        <v>0.97416574178831528</v>
      </c>
      <c r="DH192" s="21">
        <f>EXP(-LN(2)/2)*DH191+(1-EXP(-LN(2)/2))/(LN(2)/2)*DB192*DE192*VLOOKUP('Données projet'!$B$13,Paramètres!$A$1:$I$89,3,0)*0.475*44/12</f>
        <v>3.378041572721345E-17</v>
      </c>
      <c r="DI192" s="22">
        <f t="shared" si="175"/>
        <v>3.5340873957677665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4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165.98400000000029</v>
      </c>
      <c r="D193" s="11">
        <f t="shared" si="140"/>
        <v>42.189325525922321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1606.9519865158939</v>
      </c>
      <c r="H193" s="67">
        <f t="shared" si="110"/>
        <v>655.90187529098182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3.4106051316484809E-13</v>
      </c>
      <c r="O193" s="13">
        <f>N193*VLOOKUP('Données projet'!$B$9,Paramètres!$A$1:$I$89,3,0)*VLOOKUP('Données projet'!$B$9,Paramètres!$A$1:$I$89,5,0)</f>
        <v>1.9065282685915009E-13</v>
      </c>
      <c r="P193" s="13">
        <f t="shared" si="141"/>
        <v>2.6568987209435707E-12</v>
      </c>
      <c r="Q193" s="20">
        <f t="shared" si="162"/>
        <v>4.959485612423072E-12</v>
      </c>
      <c r="R193" s="59">
        <f t="shared" si="109"/>
        <v>293.33333333333826</v>
      </c>
      <c r="S193" s="59">
        <f ca="1">AVERAGE(OFFSET($R$3,0,0,'Données projet'!$E$9+1,1))-AVERAGE(OFFSET($H$3,0,0,'Données projet'!$E$9+1,1))</f>
        <v>324.69474275039357</v>
      </c>
      <c r="T193" s="59">
        <f t="shared" si="142"/>
        <v>437.68177084535927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16.69251373744186</v>
      </c>
      <c r="AA193" s="21">
        <f>EXP(-LN(2)/25)*AA192+(1-EXP(-LN(2)/25))/(LN(2)/25)*Calculateur!V193*Calculateur!X193*VLOOKUP('Données projet'!$B$9,Paramètres!$A$1:$I$89,3,0)*0.475*44/12</f>
        <v>1.9580305016624493</v>
      </c>
      <c r="AB193" s="21">
        <f>EXP(-LN(2)/2)*AB192+(1-EXP(-LN(2)/2))/(LN(2)/2)*V193*Y193*VLOOKUP('Données projet'!$B$9,Paramètres!$A$1:$I$89,3,0)*0.475*44/12</f>
        <v>3.100415473267519E-19</v>
      </c>
      <c r="AC193" s="22">
        <f t="shared" si="163"/>
        <v>18.65054423910431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1.1368683772161603E-13</v>
      </c>
      <c r="AJ193" s="13">
        <f>AI193*VLOOKUP('Données projet'!$B$10,Paramètres!$A$1:$I$89,3,0)*VLOOKUP('Données projet'!$B$10,Paramètres!$A$1:$I$89,5,0)</f>
        <v>6.7984728957526396E-14</v>
      </c>
      <c r="AK193" s="13">
        <f t="shared" si="164"/>
        <v>1.0682447123141398E-12</v>
      </c>
      <c r="AL193" s="20">
        <f t="shared" si="165"/>
        <v>1.978932943548152E-12</v>
      </c>
      <c r="AM193" s="59">
        <f t="shared" si="113"/>
        <v>293.3333333333353</v>
      </c>
      <c r="AN193" s="59">
        <f ca="1">AVERAGE(OFFSET($AM$3,0,0,'Données projet'!$E$10+1,1))-AVERAGE(OFFSET($H$3,0,0,'Données projet'!$E$10+1,1))</f>
        <v>214.93913810439858</v>
      </c>
      <c r="AO193" s="59">
        <f t="shared" si="144"/>
        <v>210.65603079265924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10.580208745002208</v>
      </c>
      <c r="AV193" s="21">
        <f>EXP(-LN(2)/25)*AV192+(1-EXP(-LN(2)/25))/(LN(2)/25)*Calculateur!AQ193*Calculateur!AS193*VLOOKUP('Données projet'!$B$10,Paramètres!$A$1:$I$89,3,0)*0.475*44/12</f>
        <v>1.3178100008024225</v>
      </c>
      <c r="AW193" s="21">
        <f>EXP(-LN(2)/2)*AW192+(1-EXP(-LN(2)/2))/(LN(2)/2)*AQ193*AT193*VLOOKUP('Données projet'!$B$10,Paramètres!$A$1:$I$89,3,0)*0.475*44/12</f>
        <v>1.6252581643611304E-18</v>
      </c>
      <c r="AX193" s="21">
        <f t="shared" si="166"/>
        <v>11.898018745804631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3.979039320256561E-13</v>
      </c>
      <c r="BE193" s="13">
        <f>BD193*VLOOKUP('Données projet'!$B$11,Paramètres!$A$1:$I$89,3,0)*VLOOKUP('Données projet'!$B$11,Paramètres!$A$1:$I$89,5,0)</f>
        <v>3.6002347769681362E-13</v>
      </c>
      <c r="BF193" s="13">
        <f t="shared" si="167"/>
        <v>4.6593569189922594E-12</v>
      </c>
      <c r="BG193" s="20">
        <f t="shared" si="168"/>
        <v>8.7420875242334695E-12</v>
      </c>
      <c r="BH193" s="59">
        <f t="shared" si="116"/>
        <v>293.33333333334207</v>
      </c>
      <c r="BI193" s="59">
        <f ca="1">AVERAGE(OFFSET($BH$3,0,0,'Données projet'!$E$11+1,1))-AVERAGE(OFFSET($H$3,0,0,'Données projet'!$E$11+1,1))</f>
        <v>507.69556381324213</v>
      </c>
      <c r="BJ193" s="59">
        <f t="shared" si="146"/>
        <v>129.52638237044044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94.319628319963641</v>
      </c>
      <c r="BQ193" s="21">
        <f>EXP(-LN(2)/25)*BQ192+(1-EXP(-LN(2)/25))/(LN(2)/25)*Calculateur!BL193*Calculateur!BN193*VLOOKUP('Données projet'!$B$11,Paramètres!$A$1:$I$89,3,0)*0.475*44/12</f>
        <v>12.876857447879608</v>
      </c>
      <c r="BR193" s="21">
        <f>EXP(-LN(2)/2)*BR192+(1-EXP(-LN(2)/2))/(LN(2)/2)*BL193*BO193*VLOOKUP('Données projet'!$B$11,Paramètres!$A$1:$I$89,3,0)*0.475*44/12</f>
        <v>2.4562018910050045E-4</v>
      </c>
      <c r="BS193" s="22">
        <f t="shared" si="169"/>
        <v>107.19673138803236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1.9733333333333292</v>
      </c>
      <c r="BY193" s="12">
        <f>IF('Données projet'!$A$114&gt;35,BY192+BX193-CG192,IF(A193&lt;'Données projet'!$A$114,$BV$205^A193,IF(A193='Données projet'!$A$114,'Données projet'!$B$114,BY192+BX193-CG192)))</f>
        <v>143.03666666666638</v>
      </c>
      <c r="BZ193" s="13">
        <f>BY193*VLOOKUP('Données projet'!$B$12,Paramètres!$A$1:$I$89,3,0)*VLOOKUP('Données projet'!$B$12,Paramètres!$A$1:$I$89,5,0)</f>
        <v>138.34506399999972</v>
      </c>
      <c r="CA193" s="13">
        <f t="shared" si="170"/>
        <v>35.917620913203898</v>
      </c>
      <c r="CB193" s="20">
        <f t="shared" si="171"/>
        <v>303.50750955716296</v>
      </c>
      <c r="CC193" s="59">
        <f t="shared" si="119"/>
        <v>596.84084289049633</v>
      </c>
      <c r="CD193" s="59">
        <f ca="1">AVERAGE(OFFSET($CC$3,0,0,'Données projet'!$E$12+1,1))-AVERAGE(OFFSET($H$3,0,0,'Données projet'!$E$12+1,1))</f>
        <v>292.52253679467469</v>
      </c>
      <c r="CE193" s="59">
        <f t="shared" si="148"/>
        <v>155.7114133976541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100.79663553635267</v>
      </c>
      <c r="CL193" s="21">
        <f>EXP(-LN(2)/25)*CL192+(1-EXP(-LN(2)/25))/(LN(2)/25)*Calculateur!CG193*Calculateur!CI193*VLOOKUP('Données projet'!$B$12,Paramètres!$A$1:$I$89,3,0)*0.475*44/12</f>
        <v>38.338148592452967</v>
      </c>
      <c r="CM193" s="21">
        <f>EXP(-LN(2)/2)*CM192+(1-EXP(-LN(2)/2))/(LN(2)/2)*CG193*CJ193*VLOOKUP('Données projet'!$B$12,Paramètres!$A$1:$I$89,3,0)*0.475*44/12</f>
        <v>6.7159411381287823E-7</v>
      </c>
      <c r="CN193" s="22">
        <f t="shared" si="172"/>
        <v>139.13478480039973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-1.1368683772161603E-13</v>
      </c>
      <c r="CU193" s="17">
        <f>CT193*VLOOKUP('Données projet'!$B$13,Paramètres!$A$1:$I$89,3,0)*VLOOKUP('Données projet'!$B$13,Paramètres!$A$1:$I$89,5,0)</f>
        <v>-8.8675733422860506E-14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100.54865094989304</v>
      </c>
      <c r="CZ193" s="59">
        <f t="shared" si="150"/>
        <v>99.95654161405389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2.5097231517429477</v>
      </c>
      <c r="DG193" s="21">
        <f>EXP(-LN(2)/25)*DG192+(1-EXP(-LN(2)/25))/(LN(2)/25)*Calculateur!DB193*Calculateur!DD193*VLOOKUP('Données projet'!$B$13,Paramètres!$A$1:$I$89,3,0)*0.475*44/12</f>
        <v>0.94752712834996389</v>
      </c>
      <c r="DH193" s="21">
        <f>EXP(-LN(2)/2)*DH192+(1-EXP(-LN(2)/2))/(LN(2)/2)*DB193*DE193*VLOOKUP('Données projet'!$B$13,Paramètres!$A$1:$I$89,3,0)*0.475*44/12</f>
        <v>2.388636103201333E-17</v>
      </c>
      <c r="DI193" s="22">
        <f t="shared" si="175"/>
        <v>3.4572502800929117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4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166.8576000000003</v>
      </c>
      <c r="D194" s="11">
        <f t="shared" si="140"/>
        <v>42.385468111966134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1615.2096485836007</v>
      </c>
      <c r="H194" s="67">
        <f t="shared" si="110"/>
        <v>657.7650102950081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3.4106051316484809E-13</v>
      </c>
      <c r="O194" s="13">
        <f>N194*VLOOKUP('Données projet'!$B$9,Paramètres!$A$1:$I$89,3,0)*VLOOKUP('Données projet'!$B$9,Paramètres!$A$1:$I$89,5,0)</f>
        <v>1.9065282685915009E-13</v>
      </c>
      <c r="P194" s="13">
        <f t="shared" si="141"/>
        <v>2.6568987209435707E-12</v>
      </c>
      <c r="Q194" s="20">
        <f t="shared" si="162"/>
        <v>4.959485612423072E-12</v>
      </c>
      <c r="R194" s="59">
        <f t="shared" si="109"/>
        <v>293.33333333333826</v>
      </c>
      <c r="S194" s="59">
        <f ca="1">AVERAGE(OFFSET($R$3,0,0,'Données projet'!$E$9+1,1))-AVERAGE(OFFSET($H$3,0,0,'Données projet'!$E$9+1,1))</f>
        <v>324.69474275039357</v>
      </c>
      <c r="T194" s="59">
        <f t="shared" si="142"/>
        <v>437.68177084535927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16.365183724478673</v>
      </c>
      <c r="AA194" s="21">
        <f>EXP(-LN(2)/25)*AA193+(1-EXP(-LN(2)/25))/(LN(2)/25)*Calculateur!V194*Calculateur!X194*VLOOKUP('Données projet'!$B$9,Paramètres!$A$1:$I$89,3,0)*0.475*44/12</f>
        <v>1.9044880546261407</v>
      </c>
      <c r="AB194" s="21">
        <f>EXP(-LN(2)/2)*AB193+(1-EXP(-LN(2)/2))/(LN(2)/2)*V194*Y194*VLOOKUP('Données projet'!$B$9,Paramètres!$A$1:$I$89,3,0)*0.475*44/12</f>
        <v>2.1923248056431617E-19</v>
      </c>
      <c r="AC194" s="22">
        <f t="shared" si="163"/>
        <v>18.269671779104812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1.1368683772161603E-13</v>
      </c>
      <c r="AJ194" s="13">
        <f>AI194*VLOOKUP('Données projet'!$B$10,Paramètres!$A$1:$I$89,3,0)*VLOOKUP('Données projet'!$B$10,Paramètres!$A$1:$I$89,5,0)</f>
        <v>6.7984728957526396E-14</v>
      </c>
      <c r="AK194" s="13">
        <f t="shared" si="164"/>
        <v>1.0682447123141398E-12</v>
      </c>
      <c r="AL194" s="20">
        <f t="shared" si="165"/>
        <v>1.978932943548152E-12</v>
      </c>
      <c r="AM194" s="59">
        <f t="shared" si="113"/>
        <v>293.3333333333353</v>
      </c>
      <c r="AN194" s="59">
        <f ca="1">AVERAGE(OFFSET($AM$3,0,0,'Données projet'!$E$10+1,1))-AVERAGE(OFFSET($H$3,0,0,'Données projet'!$E$10+1,1))</f>
        <v>214.93913810439858</v>
      </c>
      <c r="AO194" s="59">
        <f t="shared" si="144"/>
        <v>210.65603079265924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10.37273730480284</v>
      </c>
      <c r="AV194" s="21">
        <f>EXP(-LN(2)/25)*AV193+(1-EXP(-LN(2)/25))/(LN(2)/25)*Calculateur!AQ194*Calculateur!AS194*VLOOKUP('Données projet'!$B$10,Paramètres!$A$1:$I$89,3,0)*0.475*44/12</f>
        <v>1.2817744170298642</v>
      </c>
      <c r="AW194" s="21">
        <f>EXP(-LN(2)/2)*AW193+(1-EXP(-LN(2)/2))/(LN(2)/2)*AQ194*AT194*VLOOKUP('Données projet'!$B$10,Paramètres!$A$1:$I$89,3,0)*0.475*44/12</f>
        <v>1.1492310691985557E-18</v>
      </c>
      <c r="AX194" s="21">
        <f t="shared" si="166"/>
        <v>11.654511721832703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3.979039320256561E-13</v>
      </c>
      <c r="BE194" s="13">
        <f>BD194*VLOOKUP('Données projet'!$B$11,Paramètres!$A$1:$I$89,3,0)*VLOOKUP('Données projet'!$B$11,Paramètres!$A$1:$I$89,5,0)</f>
        <v>3.6002347769681362E-13</v>
      </c>
      <c r="BF194" s="13">
        <f t="shared" si="167"/>
        <v>4.6593569189922594E-12</v>
      </c>
      <c r="BG194" s="20">
        <f t="shared" si="168"/>
        <v>8.7420875242334695E-12</v>
      </c>
      <c r="BH194" s="59">
        <f t="shared" si="116"/>
        <v>293.33333333334207</v>
      </c>
      <c r="BI194" s="59">
        <f ca="1">AVERAGE(OFFSET($BH$3,0,0,'Données projet'!$E$11+1,1))-AVERAGE(OFFSET($H$3,0,0,'Données projet'!$E$11+1,1))</f>
        <v>507.69556381324213</v>
      </c>
      <c r="BJ194" s="59">
        <f t="shared" si="146"/>
        <v>129.52638237044044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92.470077937901877</v>
      </c>
      <c r="BQ194" s="21">
        <f>EXP(-LN(2)/25)*BQ193+(1-EXP(-LN(2)/25))/(LN(2)/25)*Calculateur!BL194*Calculateur!BN194*VLOOKUP('Données projet'!$B$11,Paramètres!$A$1:$I$89,3,0)*0.475*44/12</f>
        <v>12.524739103802837</v>
      </c>
      <c r="BR194" s="21">
        <f>EXP(-LN(2)/2)*BR193+(1-EXP(-LN(2)/2))/(LN(2)/2)*BL194*BO194*VLOOKUP('Données projet'!$B$11,Paramètres!$A$1:$I$89,3,0)*0.475*44/12</f>
        <v>1.73679701309286E-4</v>
      </c>
      <c r="BS194" s="22">
        <f t="shared" si="169"/>
        <v>104.99499072140603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>
        <f>VLOOKUP(A194,'Données projet'!$A$113:$I$133,2,0)</f>
        <v>145.01</v>
      </c>
      <c r="BW194" s="12">
        <f>VLOOKUP(A194,'Données projet'!$A$113:$I$133,9,0)</f>
        <v>1.9733333333333292</v>
      </c>
      <c r="BX194" s="12">
        <f t="array" ref="BX194">INDEX(BW:BW,MIN(IF(ISNUMBER(BW194:BW390),ROW(BW194:BW390),"")))</f>
        <v>1.9733333333333292</v>
      </c>
      <c r="BY194" s="12">
        <f>IF('Données projet'!$A$114&gt;35,BY193+BX194-CG193,IF(A194&lt;'Données projet'!$A$114,$BV$205^A194,IF(A194='Données projet'!$A$114,'Données projet'!$B$114,BY193+BX194-CG193)))</f>
        <v>145.00999999999971</v>
      </c>
      <c r="BZ194" s="13">
        <f>BY194*VLOOKUP('Données projet'!$B$12,Paramètres!$A$1:$I$89,3,0)*VLOOKUP('Données projet'!$B$12,Paramètres!$A$1:$I$89,5,0)</f>
        <v>140.25367199999971</v>
      </c>
      <c r="CA194" s="13">
        <f t="shared" si="170"/>
        <v>36.355112063878522</v>
      </c>
      <c r="CB194" s="20">
        <f t="shared" si="171"/>
        <v>307.59363224458792</v>
      </c>
      <c r="CC194" s="59">
        <f t="shared" si="119"/>
        <v>600.92696557792124</v>
      </c>
      <c r="CD194" s="59">
        <f ca="1">AVERAGE(OFFSET($CC$3,0,0,'Données projet'!$E$12+1,1))-AVERAGE(OFFSET($H$3,0,0,'Données projet'!$E$12+1,1))</f>
        <v>292.52253679467469</v>
      </c>
      <c r="CE194" s="59">
        <f t="shared" si="148"/>
        <v>155.7114133976541</v>
      </c>
      <c r="CF194" s="15">
        <f>IF(ISNA(VLOOKUP(A194,'Données projet'!$A$113:$I$133,3,0)),0,VLOOKUP(A194,'Données projet'!$A$113:$I$133,3,0))</f>
        <v>16</v>
      </c>
      <c r="CG194" s="15">
        <f>IF(ISNA(VLOOKUP(A194,'Données projet'!$A$113:$I$133,4,0)),0,VLOOKUP(A194,'Données projet'!$A$113:$I$133,4,0))</f>
        <v>145.01</v>
      </c>
      <c r="CH194" s="16">
        <f>IF(ISNA(VLOOKUP(A194,'Données projet'!$A$113:$I$133,5,0)),0%,VLOOKUP(A194,'Données projet'!$A$113:$I$133,5,0)*VLOOKUP('Données projet'!$B$12,Paramètres!$A$1:$I$89,7,0))</f>
        <v>0.19350000000000001</v>
      </c>
      <c r="CI194" s="16">
        <f>IF(ISNA(VLOOKUP(A194,'Données projet'!$A$113:$I$133,6,0)),0%,VLOOKUP(A194,'Données projet'!$A$113:$I$133,6,0)*VLOOKUP('Données projet'!$B$12,Paramètres!$A$1:$I$89,7,0))</f>
        <v>2.1500000000000002E-2</v>
      </c>
      <c r="CJ194" s="16">
        <f>IF(ISNA(VLOOKUP(A194,'Données projet'!$A$113:$I$133,7,0)),0%,VLOOKUP(A194,'Données projet'!$A$113:$I$133,7,0))</f>
        <v>0.05</v>
      </c>
      <c r="CK194" s="21">
        <f>EXP(-LN(2)/35)*CK193+(1-EXP(-LN(2)/35))/(LN(2)/35)*CG194*CH194*VLOOKUP('Données projet'!$B$12,Paramètres!$A$1:$I$89,3,0)*0.475*44/12</f>
        <v>128.82153017659905</v>
      </c>
      <c r="CL194" s="21">
        <f>EXP(-LN(2)/25)*CL193+(1-EXP(-LN(2)/25))/(LN(2)/25)*Calculateur!CG194*Calculateur!CI194*VLOOKUP('Données projet'!$B$12,Paramètres!$A$1:$I$89,3,0)*0.475*44/12</f>
        <v>40.610159683380083</v>
      </c>
      <c r="CM194" s="21">
        <f>EXP(-LN(2)/2)*CM193+(1-EXP(-LN(2)/2))/(LN(2)/2)*CG194*CJ194*VLOOKUP('Données projet'!$B$12,Paramètres!$A$1:$I$89,3,0)*0.475*44/12</f>
        <v>6.6166561951005587</v>
      </c>
      <c r="CN194" s="22">
        <f t="shared" si="172"/>
        <v>176.04834605507969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-1.1368683772161603E-13</v>
      </c>
      <c r="CU194" s="17">
        <f>CT194*VLOOKUP('Données projet'!$B$13,Paramètres!$A$1:$I$89,3,0)*VLOOKUP('Données projet'!$B$13,Paramètres!$A$1:$I$89,5,0)</f>
        <v>-8.8675733422860506E-14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100.54865094989304</v>
      </c>
      <c r="CZ194" s="59">
        <f t="shared" si="150"/>
        <v>99.95654161405389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2.4605090115172392</v>
      </c>
      <c r="DG194" s="21">
        <f>EXP(-LN(2)/25)*DG193+(1-EXP(-LN(2)/25))/(LN(2)/25)*Calculateur!DB194*Calculateur!DD194*VLOOKUP('Données projet'!$B$13,Paramètres!$A$1:$I$89,3,0)*0.475*44/12</f>
        <v>0.92161694919694803</v>
      </c>
      <c r="DH194" s="21">
        <f>EXP(-LN(2)/2)*DH193+(1-EXP(-LN(2)/2))/(LN(2)/2)*DB194*DE194*VLOOKUP('Données projet'!$B$13,Paramètres!$A$1:$I$89,3,0)*0.475*44/12</f>
        <v>1.6890207863606725E-17</v>
      </c>
      <c r="DI194" s="22">
        <f t="shared" si="175"/>
        <v>3.3821259607141871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4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167.73120000000031</v>
      </c>
      <c r="D195" s="11">
        <f t="shared" si="140"/>
        <v>42.581491199832726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1623.4663882092375</v>
      </c>
      <c r="H195" s="67">
        <f t="shared" si="110"/>
        <v>659.62793717304248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3.4106051316484809E-13</v>
      </c>
      <c r="O195" s="13">
        <f>N195*VLOOKUP('Données projet'!$B$9,Paramètres!$A$1:$I$89,3,0)*VLOOKUP('Données projet'!$B$9,Paramètres!$A$1:$I$89,5,0)</f>
        <v>1.9065282685915009E-13</v>
      </c>
      <c r="P195" s="13">
        <f t="shared" si="141"/>
        <v>2.6568987209435707E-12</v>
      </c>
      <c r="Q195" s="20">
        <f t="shared" si="162"/>
        <v>4.959485612423072E-12</v>
      </c>
      <c r="R195" s="59">
        <f t="shared" ref="R195:R203" si="191">Q195+(I195+J195)*44/12</f>
        <v>293.33333333333826</v>
      </c>
      <c r="S195" s="59">
        <f ca="1">AVERAGE(OFFSET($R$3,0,0,'Données projet'!$E$9+1,1))-AVERAGE(OFFSET($H$3,0,0,'Données projet'!$E$9+1,1))</f>
        <v>324.69474275039357</v>
      </c>
      <c r="T195" s="59">
        <f t="shared" si="142"/>
        <v>437.68177084535927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16.044272453418099</v>
      </c>
      <c r="AA195" s="21">
        <f>EXP(-LN(2)/25)*AA194+(1-EXP(-LN(2)/25))/(LN(2)/25)*Calculateur!V195*Calculateur!X195*VLOOKUP('Données projet'!$B$9,Paramètres!$A$1:$I$89,3,0)*0.475*44/12</f>
        <v>1.8524097286197148</v>
      </c>
      <c r="AB195" s="21">
        <f>EXP(-LN(2)/2)*AB194+(1-EXP(-LN(2)/2))/(LN(2)/2)*V195*Y195*VLOOKUP('Données projet'!$B$9,Paramètres!$A$1:$I$89,3,0)*0.475*44/12</f>
        <v>1.5502077366337595E-19</v>
      </c>
      <c r="AC195" s="22">
        <f t="shared" si="163"/>
        <v>17.896682182037814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1.1368683772161603E-13</v>
      </c>
      <c r="AJ195" s="13">
        <f>AI195*VLOOKUP('Données projet'!$B$10,Paramètres!$A$1:$I$89,3,0)*VLOOKUP('Données projet'!$B$10,Paramètres!$A$1:$I$89,5,0)</f>
        <v>6.7984728957526396E-14</v>
      </c>
      <c r="AK195" s="13">
        <f t="shared" si="164"/>
        <v>1.0682447123141398E-12</v>
      </c>
      <c r="AL195" s="20">
        <f t="shared" si="165"/>
        <v>1.978932943548152E-12</v>
      </c>
      <c r="AM195" s="59">
        <f t="shared" si="113"/>
        <v>293.3333333333353</v>
      </c>
      <c r="AN195" s="59">
        <f ca="1">AVERAGE(OFFSET($AM$3,0,0,'Données projet'!$E$10+1,1))-AVERAGE(OFFSET($H$3,0,0,'Données projet'!$E$10+1,1))</f>
        <v>214.93913810439858</v>
      </c>
      <c r="AO195" s="59">
        <f t="shared" si="144"/>
        <v>210.65603079265924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10.169334253000697</v>
      </c>
      <c r="AV195" s="21">
        <f>EXP(-LN(2)/25)*AV194+(1-EXP(-LN(2)/25))/(LN(2)/25)*Calculateur!AQ195*Calculateur!AS195*VLOOKUP('Données projet'!$B$10,Paramètres!$A$1:$I$89,3,0)*0.475*44/12</f>
        <v>1.2467242281905955</v>
      </c>
      <c r="AW195" s="21">
        <f>EXP(-LN(2)/2)*AW194+(1-EXP(-LN(2)/2))/(LN(2)/2)*AQ195*AT195*VLOOKUP('Données projet'!$B$10,Paramètres!$A$1:$I$89,3,0)*0.475*44/12</f>
        <v>8.1262908218056521E-19</v>
      </c>
      <c r="AX195" s="21">
        <f t="shared" si="166"/>
        <v>11.416058481191293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3.979039320256561E-13</v>
      </c>
      <c r="BE195" s="13">
        <f>BD195*VLOOKUP('Données projet'!$B$11,Paramètres!$A$1:$I$89,3,0)*VLOOKUP('Données projet'!$B$11,Paramètres!$A$1:$I$89,5,0)</f>
        <v>3.6002347769681362E-13</v>
      </c>
      <c r="BF195" s="13">
        <f t="shared" si="167"/>
        <v>4.6593569189922594E-12</v>
      </c>
      <c r="BG195" s="20">
        <f t="shared" si="168"/>
        <v>8.7420875242334695E-12</v>
      </c>
      <c r="BH195" s="59">
        <f t="shared" si="116"/>
        <v>293.33333333334207</v>
      </c>
      <c r="BI195" s="59">
        <f ca="1">AVERAGE(OFFSET($BH$3,0,0,'Données projet'!$E$11+1,1))-AVERAGE(OFFSET($H$3,0,0,'Données projet'!$E$11+1,1))</f>
        <v>507.69556381324213</v>
      </c>
      <c r="BJ195" s="59">
        <f t="shared" si="146"/>
        <v>129.52638237044044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90.656796110718005</v>
      </c>
      <c r="BQ195" s="21">
        <f>EXP(-LN(2)/25)*BQ194+(1-EXP(-LN(2)/25))/(LN(2)/25)*Calculateur!BL195*Calculateur!BN195*VLOOKUP('Données projet'!$B$11,Paramètres!$A$1:$I$89,3,0)*0.475*44/12</f>
        <v>12.182249454361944</v>
      </c>
      <c r="BR195" s="21">
        <f>EXP(-LN(2)/2)*BR194+(1-EXP(-LN(2)/2))/(LN(2)/2)*BL195*BO195*VLOOKUP('Données projet'!$B$11,Paramètres!$A$1:$I$89,3,0)*0.475*44/12</f>
        <v>1.2281009455025022E-4</v>
      </c>
      <c r="BS195" s="22">
        <f t="shared" si="169"/>
        <v>102.83916837517449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-2.8421709430404007E-13</v>
      </c>
      <c r="BZ195" s="13">
        <f>BY195*VLOOKUP('Données projet'!$B$12,Paramètres!$A$1:$I$89,3,0)*VLOOKUP('Données projet'!$B$12,Paramètres!$A$1:$I$89,5,0)</f>
        <v>-2.7489477361086758E-13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292.52253679467469</v>
      </c>
      <c r="CE195" s="59">
        <f t="shared" si="148"/>
        <v>155.7114133976541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126.29541854321087</v>
      </c>
      <c r="CL195" s="21">
        <f>EXP(-LN(2)/25)*CL194+(1-EXP(-LN(2)/25))/(LN(2)/25)*Calculateur!CG195*Calculateur!CI195*VLOOKUP('Données projet'!$B$12,Paramètres!$A$1:$I$89,3,0)*0.475*44/12</f>
        <v>39.499672731242569</v>
      </c>
      <c r="CM195" s="21">
        <f>EXP(-LN(2)/2)*CM194+(1-EXP(-LN(2)/2))/(LN(2)/2)*CG195*CJ195*VLOOKUP('Données projet'!$B$12,Paramètres!$A$1:$I$89,3,0)*0.475*44/12</f>
        <v>4.6786824643355853</v>
      </c>
      <c r="CN195" s="22">
        <f t="shared" si="172"/>
        <v>170.47377373878905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-1.1368683772161603E-13</v>
      </c>
      <c r="CU195" s="17">
        <f>CT195*VLOOKUP('Données projet'!$B$13,Paramètres!$A$1:$I$89,3,0)*VLOOKUP('Données projet'!$B$13,Paramètres!$A$1:$I$89,5,0)</f>
        <v>-8.8675733422860506E-14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100.54865094989304</v>
      </c>
      <c r="CZ195" s="59">
        <f t="shared" si="150"/>
        <v>99.95654161405389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2.4122599305636951</v>
      </c>
      <c r="DG195" s="21">
        <f>EXP(-LN(2)/25)*DG194+(1-EXP(-LN(2)/25))/(LN(2)/25)*Calculateur!DB195*Calculateur!DD195*VLOOKUP('Données projet'!$B$13,Paramètres!$A$1:$I$89,3,0)*0.475*44/12</f>
        <v>0.89641528525542846</v>
      </c>
      <c r="DH195" s="21">
        <f>EXP(-LN(2)/2)*DH194+(1-EXP(-LN(2)/2))/(LN(2)/2)*DB195*DE195*VLOOKUP('Données projet'!$B$13,Paramètres!$A$1:$I$89,3,0)*0.475*44/12</f>
        <v>1.1943180516006665E-17</v>
      </c>
      <c r="DI195" s="22">
        <f t="shared" si="175"/>
        <v>3.3086752158191235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4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168.60480000000032</v>
      </c>
      <c r="D196" s="11">
        <f t="shared" si="140"/>
        <v>42.777395484149835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1631.7222107548432</v>
      </c>
      <c r="H196" s="67">
        <f t="shared" ref="H196:H203" si="192">(B196+E196+F196)*44/12+(C196+D196)*0.475*44/12</f>
        <v>661.49065713489483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3.4106051316484809E-13</v>
      </c>
      <c r="O196" s="13">
        <f>N196*VLOOKUP('Données projet'!$B$9,Paramètres!$A$1:$I$89,3,0)*VLOOKUP('Données projet'!$B$9,Paramètres!$A$1:$I$89,5,0)</f>
        <v>1.9065282685915009E-13</v>
      </c>
      <c r="P196" s="13">
        <f t="shared" si="141"/>
        <v>2.6568987209435707E-12</v>
      </c>
      <c r="Q196" s="20">
        <f t="shared" si="162"/>
        <v>4.959485612423072E-12</v>
      </c>
      <c r="R196" s="59">
        <f t="shared" si="191"/>
        <v>293.33333333333826</v>
      </c>
      <c r="S196" s="59">
        <f ca="1">AVERAGE(OFFSET($R$3,0,0,'Données projet'!$E$9+1,1))-AVERAGE(OFFSET($H$3,0,0,'Données projet'!$E$9+1,1))</f>
        <v>324.69474275039357</v>
      </c>
      <c r="T196" s="59">
        <f t="shared" si="142"/>
        <v>437.68177084535927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15.729654056646476</v>
      </c>
      <c r="AA196" s="21">
        <f>EXP(-LN(2)/25)*AA195+(1-EXP(-LN(2)/25))/(LN(2)/25)*Calculateur!V196*Calculateur!X196*VLOOKUP('Données projet'!$B$9,Paramètres!$A$1:$I$89,3,0)*0.475*44/12</f>
        <v>1.8017554871766148</v>
      </c>
      <c r="AB196" s="21">
        <f>EXP(-LN(2)/2)*AB195+(1-EXP(-LN(2)/2))/(LN(2)/2)*V196*Y196*VLOOKUP('Données projet'!$B$9,Paramètres!$A$1:$I$89,3,0)*0.475*44/12</f>
        <v>1.0961624028215808E-19</v>
      </c>
      <c r="AC196" s="22">
        <f t="shared" si="163"/>
        <v>17.531409543823091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1.1368683772161603E-13</v>
      </c>
      <c r="AJ196" s="13">
        <f>AI196*VLOOKUP('Données projet'!$B$10,Paramètres!$A$1:$I$89,3,0)*VLOOKUP('Données projet'!$B$10,Paramètres!$A$1:$I$89,5,0)</f>
        <v>6.7984728957526396E-14</v>
      </c>
      <c r="AK196" s="13">
        <f t="shared" si="164"/>
        <v>1.0682447123141398E-12</v>
      </c>
      <c r="AL196" s="20">
        <f t="shared" si="165"/>
        <v>1.978932943548152E-12</v>
      </c>
      <c r="AM196" s="59">
        <f t="shared" ref="AM196:AM203" si="193">AL196+(AD196+AE196)*44/12</f>
        <v>293.3333333333353</v>
      </c>
      <c r="AN196" s="59">
        <f ca="1">AVERAGE(OFFSET($AM$3,0,0,'Données projet'!$E$10+1,1))-AVERAGE(OFFSET($H$3,0,0,'Données projet'!$E$10+1,1))</f>
        <v>214.93913810439858</v>
      </c>
      <c r="AO196" s="59">
        <f t="shared" si="144"/>
        <v>210.65603079265924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9.9699198109807838</v>
      </c>
      <c r="AV196" s="21">
        <f>EXP(-LN(2)/25)*AV195+(1-EXP(-LN(2)/25))/(LN(2)/25)*Calculateur!AQ196*Calculateur!AS196*VLOOKUP('Données projet'!$B$10,Paramètres!$A$1:$I$89,3,0)*0.475*44/12</f>
        <v>1.2126324886083459</v>
      </c>
      <c r="AW196" s="21">
        <f>EXP(-LN(2)/2)*AW195+(1-EXP(-LN(2)/2))/(LN(2)/2)*AQ196*AT196*VLOOKUP('Données projet'!$B$10,Paramètres!$A$1:$I$89,3,0)*0.475*44/12</f>
        <v>5.7461553459927786E-19</v>
      </c>
      <c r="AX196" s="21">
        <f t="shared" si="166"/>
        <v>11.18255229958913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3.979039320256561E-13</v>
      </c>
      <c r="BE196" s="13">
        <f>BD196*VLOOKUP('Données projet'!$B$11,Paramètres!$A$1:$I$89,3,0)*VLOOKUP('Données projet'!$B$11,Paramètres!$A$1:$I$89,5,0)</f>
        <v>3.6002347769681362E-13</v>
      </c>
      <c r="BF196" s="13">
        <f t="shared" si="167"/>
        <v>4.6593569189922594E-12</v>
      </c>
      <c r="BG196" s="20">
        <f t="shared" si="168"/>
        <v>8.7420875242334695E-12</v>
      </c>
      <c r="BH196" s="59">
        <f t="shared" ref="BH196:BH203" si="194">BG196+(AY196+AZ196)*44/12</f>
        <v>293.33333333334207</v>
      </c>
      <c r="BI196" s="59">
        <f ca="1">AVERAGE(OFFSET($BH$3,0,0,'Données projet'!$E$11+1,1))-AVERAGE(OFFSET($H$3,0,0,'Données projet'!$E$11+1,1))</f>
        <v>507.69556381324213</v>
      </c>
      <c r="BJ196" s="59">
        <f t="shared" si="146"/>
        <v>129.52638237044044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88.879071634172504</v>
      </c>
      <c r="BQ196" s="21">
        <f>EXP(-LN(2)/25)*BQ195+(1-EXP(-LN(2)/25))/(LN(2)/25)*Calculateur!BL196*Calculateur!BN196*VLOOKUP('Données projet'!$B$11,Paramètres!$A$1:$I$89,3,0)*0.475*44/12</f>
        <v>11.849125202395761</v>
      </c>
      <c r="BR196" s="21">
        <f>EXP(-LN(2)/2)*BR195+(1-EXP(-LN(2)/2))/(LN(2)/2)*BL196*BO196*VLOOKUP('Données projet'!$B$11,Paramètres!$A$1:$I$89,3,0)*0.475*44/12</f>
        <v>8.6839850654642998E-5</v>
      </c>
      <c r="BS196" s="22">
        <f t="shared" si="169"/>
        <v>100.72828367641891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-2.8421709430404007E-13</v>
      </c>
      <c r="BZ196" s="13">
        <f>BY196*VLOOKUP('Données projet'!$B$12,Paramètres!$A$1:$I$89,3,0)*VLOOKUP('Données projet'!$B$12,Paramètres!$A$1:$I$89,5,0)</f>
        <v>-2.7489477361086758E-13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292.52253679467469</v>
      </c>
      <c r="CE196" s="59">
        <f t="shared" si="148"/>
        <v>155.7114133976541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123.81884241817748</v>
      </c>
      <c r="CL196" s="21">
        <f>EXP(-LN(2)/25)*CL195+(1-EXP(-LN(2)/25))/(LN(2)/25)*Calculateur!CG196*Calculateur!CI196*VLOOKUP('Données projet'!$B$12,Paramètres!$A$1:$I$89,3,0)*0.475*44/12</f>
        <v>38.419552103209227</v>
      </c>
      <c r="CM196" s="21">
        <f>EXP(-LN(2)/2)*CM195+(1-EXP(-LN(2)/2))/(LN(2)/2)*CG196*CJ196*VLOOKUP('Données projet'!$B$12,Paramètres!$A$1:$I$89,3,0)*0.475*44/12</f>
        <v>3.3083280975502798</v>
      </c>
      <c r="CN196" s="22">
        <f t="shared" si="172"/>
        <v>165.546722618937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-1.1368683772161603E-13</v>
      </c>
      <c r="CU196" s="17">
        <f>CT196*VLOOKUP('Données projet'!$B$13,Paramètres!$A$1:$I$89,3,0)*VLOOKUP('Données projet'!$B$13,Paramètres!$A$1:$I$89,5,0)</f>
        <v>-8.8675733422860506E-14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100.54865094989304</v>
      </c>
      <c r="CZ196" s="59">
        <f t="shared" si="150"/>
        <v>99.95654161405389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2.3649569846586167</v>
      </c>
      <c r="DG196" s="21">
        <f>EXP(-LN(2)/25)*DG195+(1-EXP(-LN(2)/25))/(LN(2)/25)*Calculateur!DB196*Calculateur!DD196*VLOOKUP('Données projet'!$B$13,Paramètres!$A$1:$I$89,3,0)*0.475*44/12</f>
        <v>0.87190276213968776</v>
      </c>
      <c r="DH196" s="21">
        <f>EXP(-LN(2)/2)*DH195+(1-EXP(-LN(2)/2))/(LN(2)/2)*DB196*DE196*VLOOKUP('Données projet'!$B$13,Paramètres!$A$1:$I$89,3,0)*0.475*44/12</f>
        <v>8.4451039318033624E-18</v>
      </c>
      <c r="DI196" s="22">
        <f t="shared" si="175"/>
        <v>3.2368597467983045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4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169.47840000000033</v>
      </c>
      <c r="D197" s="11">
        <f t="shared" ref="D197:D203" si="202">IFERROR(EXP(-1.0587+0.8836*LN(C197)+0.284),0)</f>
        <v>42.97318165193041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1639.977121523676</v>
      </c>
      <c r="H197" s="67">
        <f t="shared" si="192"/>
        <v>663.35317137711263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3.4106051316484809E-13</v>
      </c>
      <c r="O197" s="13">
        <f>N197*VLOOKUP('Données projet'!$B$9,Paramètres!$A$1:$I$89,3,0)*VLOOKUP('Données projet'!$B$9,Paramètres!$A$1:$I$89,5,0)</f>
        <v>1.9065282685915009E-13</v>
      </c>
      <c r="P197" s="13">
        <f t="shared" ref="P197:P203" si="203">EXP(-1.0587+0.8836*LN(O197)+0.284)</f>
        <v>2.6568987209435707E-12</v>
      </c>
      <c r="Q197" s="20">
        <f t="shared" si="162"/>
        <v>4.959485612423072E-12</v>
      </c>
      <c r="R197" s="59">
        <f t="shared" si="191"/>
        <v>293.33333333333826</v>
      </c>
      <c r="S197" s="59">
        <f ca="1">AVERAGE(OFFSET($R$3,0,0,'Données projet'!$E$9+1,1))-AVERAGE(OFFSET($H$3,0,0,'Données projet'!$E$9+1,1))</f>
        <v>324.69474275039357</v>
      </c>
      <c r="T197" s="59">
        <f t="shared" ref="T197:T203" si="204">$T$3</f>
        <v>437.68177084535927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15.421205134737271</v>
      </c>
      <c r="AA197" s="21">
        <f>EXP(-LN(2)/25)*AA196+(1-EXP(-LN(2)/25))/(LN(2)/25)*Calculateur!V197*Calculateur!X197*VLOOKUP('Données projet'!$B$9,Paramètres!$A$1:$I$89,3,0)*0.475*44/12</f>
        <v>1.7524863886295672</v>
      </c>
      <c r="AB197" s="21">
        <f>EXP(-LN(2)/2)*AB196+(1-EXP(-LN(2)/2))/(LN(2)/2)*V197*Y197*VLOOKUP('Données projet'!$B$9,Paramètres!$A$1:$I$89,3,0)*0.475*44/12</f>
        <v>7.7510386831687976E-20</v>
      </c>
      <c r="AC197" s="22">
        <f t="shared" si="163"/>
        <v>17.173691523366838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1.1368683772161603E-13</v>
      </c>
      <c r="AJ197" s="13">
        <f>AI197*VLOOKUP('Données projet'!$B$10,Paramètres!$A$1:$I$89,3,0)*VLOOKUP('Données projet'!$B$10,Paramètres!$A$1:$I$89,5,0)</f>
        <v>6.7984728957526396E-14</v>
      </c>
      <c r="AK197" s="13">
        <f t="shared" si="164"/>
        <v>1.0682447123141398E-12</v>
      </c>
      <c r="AL197" s="20">
        <f t="shared" si="165"/>
        <v>1.978932943548152E-12</v>
      </c>
      <c r="AM197" s="59">
        <f t="shared" si="193"/>
        <v>293.3333333333353</v>
      </c>
      <c r="AN197" s="59">
        <f ca="1">AVERAGE(OFFSET($AM$3,0,0,'Données projet'!$E$10+1,1))-AVERAGE(OFFSET($H$3,0,0,'Données projet'!$E$10+1,1))</f>
        <v>214.93913810439858</v>
      </c>
      <c r="AO197" s="59">
        <f t="shared" ref="AO197:AO203" si="205">$AO$3</f>
        <v>210.65603079265924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9.774415764538082</v>
      </c>
      <c r="AV197" s="21">
        <f>EXP(-LN(2)/25)*AV196+(1-EXP(-LN(2)/25))/(LN(2)/25)*Calculateur!AQ197*Calculateur!AS197*VLOOKUP('Données projet'!$B$10,Paramètres!$A$1:$I$89,3,0)*0.475*44/12</f>
        <v>1.1794729894377796</v>
      </c>
      <c r="AW197" s="21">
        <f>EXP(-LN(2)/2)*AW196+(1-EXP(-LN(2)/2))/(LN(2)/2)*AQ197*AT197*VLOOKUP('Données projet'!$B$10,Paramètres!$A$1:$I$89,3,0)*0.475*44/12</f>
        <v>4.063145410902826E-19</v>
      </c>
      <c r="AX197" s="21">
        <f t="shared" si="166"/>
        <v>10.953888753975862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3.979039320256561E-13</v>
      </c>
      <c r="BE197" s="13">
        <f>BD197*VLOOKUP('Données projet'!$B$11,Paramètres!$A$1:$I$89,3,0)*VLOOKUP('Données projet'!$B$11,Paramètres!$A$1:$I$89,5,0)</f>
        <v>3.6002347769681362E-13</v>
      </c>
      <c r="BF197" s="13">
        <f t="shared" si="167"/>
        <v>4.6593569189922594E-12</v>
      </c>
      <c r="BG197" s="20">
        <f t="shared" si="168"/>
        <v>8.7420875242334695E-12</v>
      </c>
      <c r="BH197" s="59">
        <f t="shared" si="194"/>
        <v>293.33333333334207</v>
      </c>
      <c r="BI197" s="59">
        <f ca="1">AVERAGE(OFFSET($BH$3,0,0,'Données projet'!$E$11+1,1))-AVERAGE(OFFSET($H$3,0,0,'Données projet'!$E$11+1,1))</f>
        <v>507.69556381324213</v>
      </c>
      <c r="BJ197" s="59">
        <f t="shared" ref="BJ197:BJ203" si="206">$BJ$3</f>
        <v>129.52638237044044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87.136207250307194</v>
      </c>
      <c r="BQ197" s="21">
        <f>EXP(-LN(2)/25)*BQ196+(1-EXP(-LN(2)/25))/(LN(2)/25)*Calculateur!BL197*Calculateur!BN197*VLOOKUP('Données projet'!$B$11,Paramètres!$A$1:$I$89,3,0)*0.475*44/12</f>
        <v>11.525110250617836</v>
      </c>
      <c r="BR197" s="21">
        <f>EXP(-LN(2)/2)*BR196+(1-EXP(-LN(2)/2))/(LN(2)/2)*BL197*BO197*VLOOKUP('Données projet'!$B$11,Paramètres!$A$1:$I$89,3,0)*0.475*44/12</f>
        <v>6.1405047275125111E-5</v>
      </c>
      <c r="BS197" s="22">
        <f t="shared" si="169"/>
        <v>98.661378905972313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-2.8421709430404007E-13</v>
      </c>
      <c r="BZ197" s="13">
        <f>BY197*VLOOKUP('Données projet'!$B$12,Paramètres!$A$1:$I$89,3,0)*VLOOKUP('Données projet'!$B$12,Paramètres!$A$1:$I$89,5,0)</f>
        <v>-2.7489477361086758E-13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292.52253679467469</v>
      </c>
      <c r="CE197" s="59">
        <f t="shared" ref="CE197:CE203" si="207">$CE$3</f>
        <v>155.7114133976541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121.39083044039371</v>
      </c>
      <c r="CL197" s="21">
        <f>EXP(-LN(2)/25)*CL196+(1-EXP(-LN(2)/25))/(LN(2)/25)*Calculateur!CG197*Calculateur!CI197*VLOOKUP('Données projet'!$B$12,Paramètres!$A$1:$I$89,3,0)*0.475*44/12</f>
        <v>37.368967430550533</v>
      </c>
      <c r="CM197" s="21">
        <f>EXP(-LN(2)/2)*CM196+(1-EXP(-LN(2)/2))/(LN(2)/2)*CG197*CJ197*VLOOKUP('Données projet'!$B$12,Paramètres!$A$1:$I$89,3,0)*0.475*44/12</f>
        <v>2.3393412321677931</v>
      </c>
      <c r="CN197" s="22">
        <f t="shared" si="172"/>
        <v>161.09913910311204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-1.1368683772161603E-13</v>
      </c>
      <c r="CU197" s="17">
        <f>CT197*VLOOKUP('Données projet'!$B$13,Paramètres!$A$1:$I$89,3,0)*VLOOKUP('Données projet'!$B$13,Paramètres!$A$1:$I$89,5,0)</f>
        <v>-8.8675733422860506E-14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100.54865094989304</v>
      </c>
      <c r="CZ197" s="59">
        <f t="shared" ref="CZ197:CZ203" si="208">$CZ$3</f>
        <v>99.95654161405389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2.3185816206707885</v>
      </c>
      <c r="DG197" s="21">
        <f>EXP(-LN(2)/25)*DG196+(1-EXP(-LN(2)/25))/(LN(2)/25)*Calculateur!DB197*Calculateur!DD197*VLOOKUP('Données projet'!$B$13,Paramètres!$A$1:$I$89,3,0)*0.475*44/12</f>
        <v>0.8480605352576045</v>
      </c>
      <c r="DH197" s="21">
        <f>EXP(-LN(2)/2)*DH196+(1-EXP(-LN(2)/2))/(LN(2)/2)*DB197*DE197*VLOOKUP('Données projet'!$B$13,Paramètres!$A$1:$I$89,3,0)*0.475*44/12</f>
        <v>5.9715902580033325E-18</v>
      </c>
      <c r="DI197" s="22">
        <f t="shared" si="175"/>
        <v>3.1666421559283933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4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170.35200000000034</v>
      </c>
      <c r="D198" s="11">
        <f t="shared" si="202"/>
        <v>43.168850382694565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1648.2311257611536</v>
      </c>
      <c r="H198" s="67">
        <f t="shared" si="192"/>
        <v>665.21548108319348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3.4106051316484809E-13</v>
      </c>
      <c r="O198" s="13">
        <f>N198*VLOOKUP('Données projet'!$B$9,Paramètres!$A$1:$I$89,3,0)*VLOOKUP('Données projet'!$B$9,Paramètres!$A$1:$I$89,5,0)</f>
        <v>1.9065282685915009E-13</v>
      </c>
      <c r="P198" s="13">
        <f t="shared" si="203"/>
        <v>2.6568987209435707E-12</v>
      </c>
      <c r="Q198" s="20">
        <f t="shared" si="162"/>
        <v>4.959485612423072E-12</v>
      </c>
      <c r="R198" s="59">
        <f t="shared" si="191"/>
        <v>293.33333333333826</v>
      </c>
      <c r="S198" s="59">
        <f ca="1">AVERAGE(OFFSET($R$3,0,0,'Données projet'!$E$9+1,1))-AVERAGE(OFFSET($H$3,0,0,'Données projet'!$E$9+1,1))</f>
        <v>324.69474275039357</v>
      </c>
      <c r="T198" s="59">
        <f t="shared" si="204"/>
        <v>437.68177084535927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15.118804708051439</v>
      </c>
      <c r="AA198" s="21">
        <f>EXP(-LN(2)/25)*AA197+(1-EXP(-LN(2)/25))/(LN(2)/25)*Calculateur!V198*Calculateur!X198*VLOOKUP('Données projet'!$B$9,Paramètres!$A$1:$I$89,3,0)*0.475*44/12</f>
        <v>1.7045645561732379</v>
      </c>
      <c r="AB198" s="21">
        <f>EXP(-LN(2)/2)*AB197+(1-EXP(-LN(2)/2))/(LN(2)/2)*V198*Y198*VLOOKUP('Données projet'!$B$9,Paramètres!$A$1:$I$89,3,0)*0.475*44/12</f>
        <v>5.4808120141079042E-20</v>
      </c>
      <c r="AC198" s="22">
        <f t="shared" si="163"/>
        <v>16.823369264224677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1.1368683772161603E-13</v>
      </c>
      <c r="AJ198" s="13">
        <f>AI198*VLOOKUP('Données projet'!$B$10,Paramètres!$A$1:$I$89,3,0)*VLOOKUP('Données projet'!$B$10,Paramètres!$A$1:$I$89,5,0)</f>
        <v>6.7984728957526396E-14</v>
      </c>
      <c r="AK198" s="13">
        <f t="shared" si="164"/>
        <v>1.0682447123141398E-12</v>
      </c>
      <c r="AL198" s="20">
        <f t="shared" si="165"/>
        <v>1.978932943548152E-12</v>
      </c>
      <c r="AM198" s="59">
        <f t="shared" si="193"/>
        <v>293.3333333333353</v>
      </c>
      <c r="AN198" s="59">
        <f ca="1">AVERAGE(OFFSET($AM$3,0,0,'Données projet'!$E$10+1,1))-AVERAGE(OFFSET($H$3,0,0,'Données projet'!$E$10+1,1))</f>
        <v>214.93913810439858</v>
      </c>
      <c r="AO198" s="59">
        <f t="shared" si="205"/>
        <v>210.65603079265924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9.5827454332004276</v>
      </c>
      <c r="AV198" s="21">
        <f>EXP(-LN(2)/25)*AV197+(1-EXP(-LN(2)/25))/(LN(2)/25)*Calculateur!AQ198*Calculateur!AS198*VLOOKUP('Données projet'!$B$10,Paramètres!$A$1:$I$89,3,0)*0.475*44/12</f>
        <v>1.1472202385158148</v>
      </c>
      <c r="AW198" s="21">
        <f>EXP(-LN(2)/2)*AW197+(1-EXP(-LN(2)/2))/(LN(2)/2)*AQ198*AT198*VLOOKUP('Données projet'!$B$10,Paramètres!$A$1:$I$89,3,0)*0.475*44/12</f>
        <v>2.8730776729963893E-19</v>
      </c>
      <c r="AX198" s="21">
        <f t="shared" si="166"/>
        <v>10.729965671716242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3.979039320256561E-13</v>
      </c>
      <c r="BE198" s="13">
        <f>BD198*VLOOKUP('Données projet'!$B$11,Paramètres!$A$1:$I$89,3,0)*VLOOKUP('Données projet'!$B$11,Paramètres!$A$1:$I$89,5,0)</f>
        <v>3.6002347769681362E-13</v>
      </c>
      <c r="BF198" s="13">
        <f t="shared" si="167"/>
        <v>4.6593569189922594E-12</v>
      </c>
      <c r="BG198" s="20">
        <f t="shared" si="168"/>
        <v>8.7420875242334695E-12</v>
      </c>
      <c r="BH198" s="59">
        <f t="shared" si="194"/>
        <v>293.33333333334207</v>
      </c>
      <c r="BI198" s="59">
        <f ca="1">AVERAGE(OFFSET($BH$3,0,0,'Données projet'!$E$11+1,1))-AVERAGE(OFFSET($H$3,0,0,'Données projet'!$E$11+1,1))</f>
        <v>507.69556381324213</v>
      </c>
      <c r="BJ198" s="59">
        <f t="shared" si="206"/>
        <v>129.52638237044044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85.427519373967186</v>
      </c>
      <c r="BQ198" s="21">
        <f>EXP(-LN(2)/25)*BQ197+(1-EXP(-LN(2)/25))/(LN(2)/25)*Calculateur!BL198*Calculateur!BN198*VLOOKUP('Données projet'!$B$11,Paramètres!$A$1:$I$89,3,0)*0.475*44/12</f>
        <v>11.209955504735484</v>
      </c>
      <c r="BR198" s="21">
        <f>EXP(-LN(2)/2)*BR197+(1-EXP(-LN(2)/2))/(LN(2)/2)*BL198*BO198*VLOOKUP('Données projet'!$B$11,Paramètres!$A$1:$I$89,3,0)*0.475*44/12</f>
        <v>4.3419925327321499E-5</v>
      </c>
      <c r="BS198" s="22">
        <f t="shared" si="169"/>
        <v>96.637518298628009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-2.8421709430404007E-13</v>
      </c>
      <c r="BZ198" s="13">
        <f>BY198*VLOOKUP('Données projet'!$B$12,Paramètres!$A$1:$I$89,3,0)*VLOOKUP('Données projet'!$B$12,Paramètres!$A$1:$I$89,5,0)</f>
        <v>-2.7489477361086758E-13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292.52253679467469</v>
      </c>
      <c r="CE198" s="59">
        <f t="shared" si="207"/>
        <v>155.7114133976541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119.01043029655321</v>
      </c>
      <c r="CL198" s="21">
        <f>EXP(-LN(2)/25)*CL197+(1-EXP(-LN(2)/25))/(LN(2)/25)*Calculateur!CG198*Calculateur!CI198*VLOOKUP('Données projet'!$B$12,Paramètres!$A$1:$I$89,3,0)*0.475*44/12</f>
        <v>36.347111051013542</v>
      </c>
      <c r="CM198" s="21">
        <f>EXP(-LN(2)/2)*CM197+(1-EXP(-LN(2)/2))/(LN(2)/2)*CG198*CJ198*VLOOKUP('Données projet'!$B$12,Paramètres!$A$1:$I$89,3,0)*0.475*44/12</f>
        <v>1.6541640487751403</v>
      </c>
      <c r="CN198" s="22">
        <f t="shared" si="172"/>
        <v>157.01170539634188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-1.1368683772161603E-13</v>
      </c>
      <c r="CU198" s="17">
        <f>CT198*VLOOKUP('Données projet'!$B$13,Paramètres!$A$1:$I$89,3,0)*VLOOKUP('Données projet'!$B$13,Paramètres!$A$1:$I$89,5,0)</f>
        <v>-8.8675733422860506E-14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100.54865094989304</v>
      </c>
      <c r="CZ198" s="59">
        <f t="shared" si="208"/>
        <v>99.95654161405389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2.2731156492845828</v>
      </c>
      <c r="DG198" s="21">
        <f>EXP(-LN(2)/25)*DG197+(1-EXP(-LN(2)/25))/(LN(2)/25)*Calculateur!DB198*Calculateur!DD198*VLOOKUP('Données projet'!$B$13,Paramètres!$A$1:$I$89,3,0)*0.475*44/12</f>
        <v>0.82487027532342005</v>
      </c>
      <c r="DH198" s="21">
        <f>EXP(-LN(2)/2)*DH197+(1-EXP(-LN(2)/2))/(LN(2)/2)*DB198*DE198*VLOOKUP('Données projet'!$B$13,Paramètres!$A$1:$I$89,3,0)*0.475*44/12</f>
        <v>4.2225519659016812E-18</v>
      </c>
      <c r="DI198" s="22">
        <f t="shared" si="175"/>
        <v>3.097985924608003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4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171.22560000000036</v>
      </c>
      <c r="D199" s="11">
        <f t="shared" si="202"/>
        <v>43.364402348589593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1656.4842286557821</v>
      </c>
      <c r="H199" s="67">
        <f t="shared" si="192"/>
        <v>667.07758742379417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3.4106051316484809E-13</v>
      </c>
      <c r="O199" s="13">
        <f>N199*VLOOKUP('Données projet'!$B$9,Paramètres!$A$1:$I$89,3,0)*VLOOKUP('Données projet'!$B$9,Paramètres!$A$1:$I$89,5,0)</f>
        <v>1.9065282685915009E-13</v>
      </c>
      <c r="P199" s="13">
        <f t="shared" si="203"/>
        <v>2.6568987209435707E-12</v>
      </c>
      <c r="Q199" s="20">
        <f t="shared" si="162"/>
        <v>4.959485612423072E-12</v>
      </c>
      <c r="R199" s="59">
        <f t="shared" si="191"/>
        <v>293.33333333333826</v>
      </c>
      <c r="S199" s="59">
        <f ca="1">AVERAGE(OFFSET($R$3,0,0,'Données projet'!$E$9+1,1))-AVERAGE(OFFSET($H$3,0,0,'Données projet'!$E$9+1,1))</f>
        <v>324.69474275039357</v>
      </c>
      <c r="T199" s="59">
        <f t="shared" si="204"/>
        <v>437.68177084535927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14.822334169286869</v>
      </c>
      <c r="AA199" s="21">
        <f>EXP(-LN(2)/25)*AA198+(1-EXP(-LN(2)/25))/(LN(2)/25)*Calculateur!V199*Calculateur!X199*VLOOKUP('Données projet'!$B$9,Paramètres!$A$1:$I$89,3,0)*0.475*44/12</f>
        <v>1.6579531487455266</v>
      </c>
      <c r="AB199" s="21">
        <f>EXP(-LN(2)/2)*AB198+(1-EXP(-LN(2)/2))/(LN(2)/2)*V199*Y199*VLOOKUP('Données projet'!$B$9,Paramètres!$A$1:$I$89,3,0)*0.475*44/12</f>
        <v>3.8755193415843988E-20</v>
      </c>
      <c r="AC199" s="22">
        <f t="shared" si="163"/>
        <v>16.480287318032396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1.1368683772161603E-13</v>
      </c>
      <c r="AJ199" s="13">
        <f>AI199*VLOOKUP('Données projet'!$B$10,Paramètres!$A$1:$I$89,3,0)*VLOOKUP('Données projet'!$B$10,Paramètres!$A$1:$I$89,5,0)</f>
        <v>6.7984728957526396E-14</v>
      </c>
      <c r="AK199" s="13">
        <f t="shared" si="164"/>
        <v>1.0682447123141398E-12</v>
      </c>
      <c r="AL199" s="20">
        <f t="shared" si="165"/>
        <v>1.978932943548152E-12</v>
      </c>
      <c r="AM199" s="59">
        <f t="shared" si="193"/>
        <v>293.3333333333353</v>
      </c>
      <c r="AN199" s="59">
        <f ca="1">AVERAGE(OFFSET($AM$3,0,0,'Données projet'!$E$10+1,1))-AVERAGE(OFFSET($H$3,0,0,'Données projet'!$E$10+1,1))</f>
        <v>214.93913810439858</v>
      </c>
      <c r="AO199" s="59">
        <f t="shared" si="205"/>
        <v>210.65603079265924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9.394833640152946</v>
      </c>
      <c r="AV199" s="21">
        <f>EXP(-LN(2)/25)*AV198+(1-EXP(-LN(2)/25))/(LN(2)/25)*Calculateur!AQ199*Calculateur!AS199*VLOOKUP('Données projet'!$B$10,Paramètres!$A$1:$I$89,3,0)*0.475*44/12</f>
        <v>1.1158494407639095</v>
      </c>
      <c r="AW199" s="21">
        <f>EXP(-LN(2)/2)*AW198+(1-EXP(-LN(2)/2))/(LN(2)/2)*AQ199*AT199*VLOOKUP('Données projet'!$B$10,Paramètres!$A$1:$I$89,3,0)*0.475*44/12</f>
        <v>2.031572705451413E-19</v>
      </c>
      <c r="AX199" s="21">
        <f t="shared" si="166"/>
        <v>10.510683080916856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3.979039320256561E-13</v>
      </c>
      <c r="BE199" s="13">
        <f>BD199*VLOOKUP('Données projet'!$B$11,Paramètres!$A$1:$I$89,3,0)*VLOOKUP('Données projet'!$B$11,Paramètres!$A$1:$I$89,5,0)</f>
        <v>3.6002347769681362E-13</v>
      </c>
      <c r="BF199" s="13">
        <f t="shared" si="167"/>
        <v>4.6593569189922594E-12</v>
      </c>
      <c r="BG199" s="20">
        <f t="shared" si="168"/>
        <v>8.7420875242334695E-12</v>
      </c>
      <c r="BH199" s="59">
        <f t="shared" si="194"/>
        <v>293.33333333334207</v>
      </c>
      <c r="BI199" s="59">
        <f ca="1">AVERAGE(OFFSET($BH$3,0,0,'Données projet'!$E$11+1,1))-AVERAGE(OFFSET($H$3,0,0,'Données projet'!$E$11+1,1))</f>
        <v>507.69556381324213</v>
      </c>
      <c r="BJ199" s="59">
        <f t="shared" si="206"/>
        <v>129.52638237044044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83.752337824685497</v>
      </c>
      <c r="BQ199" s="21">
        <f>EXP(-LN(2)/25)*BQ198+(1-EXP(-LN(2)/25))/(LN(2)/25)*Calculateur!BL199*Calculateur!BN199*VLOOKUP('Données projet'!$B$11,Paramètres!$A$1:$I$89,3,0)*0.475*44/12</f>
        <v>10.903418681952553</v>
      </c>
      <c r="BR199" s="21">
        <f>EXP(-LN(2)/2)*BR198+(1-EXP(-LN(2)/2))/(LN(2)/2)*BL199*BO199*VLOOKUP('Données projet'!$B$11,Paramètres!$A$1:$I$89,3,0)*0.475*44/12</f>
        <v>3.0702523637562556E-5</v>
      </c>
      <c r="BS199" s="22">
        <f t="shared" si="169"/>
        <v>94.655787209161687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-2.8421709430404007E-13</v>
      </c>
      <c r="BZ199" s="13">
        <f>BY199*VLOOKUP('Données projet'!$B$12,Paramètres!$A$1:$I$89,3,0)*VLOOKUP('Données projet'!$B$12,Paramètres!$A$1:$I$89,5,0)</f>
        <v>-2.7489477361086758E-13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292.52253679467469</v>
      </c>
      <c r="CE199" s="59">
        <f t="shared" si="207"/>
        <v>155.7114133976541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116.6767083476327</v>
      </c>
      <c r="CL199" s="21">
        <f>EXP(-LN(2)/25)*CL198+(1-EXP(-LN(2)/25))/(LN(2)/25)*Calculateur!CG199*Calculateur!CI199*VLOOKUP('Données projet'!$B$12,Paramètres!$A$1:$I$89,3,0)*0.475*44/12</f>
        <v>35.353197387912076</v>
      </c>
      <c r="CM199" s="21">
        <f>EXP(-LN(2)/2)*CM198+(1-EXP(-LN(2)/2))/(LN(2)/2)*CG199*CJ199*VLOOKUP('Données projet'!$B$12,Paramètres!$A$1:$I$89,3,0)*0.475*44/12</f>
        <v>1.1696706160838968</v>
      </c>
      <c r="CN199" s="22">
        <f t="shared" si="172"/>
        <v>153.19957635162868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-1.1368683772161603E-13</v>
      </c>
      <c r="CU199" s="17">
        <f>CT199*VLOOKUP('Données projet'!$B$13,Paramètres!$A$1:$I$89,3,0)*VLOOKUP('Données projet'!$B$13,Paramètres!$A$1:$I$89,5,0)</f>
        <v>-8.8675733422860506E-14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100.54865094989304</v>
      </c>
      <c r="CZ199" s="59">
        <f t="shared" si="208"/>
        <v>99.95654161405389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2.2285412378657563</v>
      </c>
      <c r="DG199" s="21">
        <f>EXP(-LN(2)/25)*DG198+(1-EXP(-LN(2)/25))/(LN(2)/25)*Calculateur!DB199*Calculateur!DD199*VLOOKUP('Données projet'!$B$13,Paramètres!$A$1:$I$89,3,0)*0.475*44/12</f>
        <v>0.80231415426665864</v>
      </c>
      <c r="DH199" s="21">
        <f>EXP(-LN(2)/2)*DH198+(1-EXP(-LN(2)/2))/(LN(2)/2)*DB199*DE199*VLOOKUP('Données projet'!$B$13,Paramètres!$A$1:$I$89,3,0)*0.475*44/12</f>
        <v>2.9857951290016662E-18</v>
      </c>
      <c r="DI199" s="22">
        <f t="shared" si="175"/>
        <v>3.0308553921324148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4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172.09920000000037</v>
      </c>
      <c r="D200" s="11">
        <f t="shared" si="202"/>
        <v>43.559838214507067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1664.7364353400574</v>
      </c>
      <c r="H200" s="67">
        <f t="shared" si="192"/>
        <v>668.93949155693372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3.4106051316484809E-13</v>
      </c>
      <c r="O200" s="13">
        <f>N200*VLOOKUP('Données projet'!$B$9,Paramètres!$A$1:$I$89,3,0)*VLOOKUP('Données projet'!$B$9,Paramètres!$A$1:$I$89,5,0)</f>
        <v>1.9065282685915009E-13</v>
      </c>
      <c r="P200" s="13">
        <f t="shared" si="203"/>
        <v>2.6568987209435707E-12</v>
      </c>
      <c r="Q200" s="20">
        <f t="shared" si="162"/>
        <v>4.959485612423072E-12</v>
      </c>
      <c r="R200" s="59">
        <f t="shared" si="191"/>
        <v>293.33333333333826</v>
      </c>
      <c r="S200" s="59">
        <f ca="1">AVERAGE(OFFSET($R$3,0,0,'Données projet'!$E$9+1,1))-AVERAGE(OFFSET($H$3,0,0,'Données projet'!$E$9+1,1))</f>
        <v>324.69474275039357</v>
      </c>
      <c r="T200" s="59">
        <f t="shared" si="204"/>
        <v>437.68177084535927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14.531677236958298</v>
      </c>
      <c r="AA200" s="21">
        <f>EXP(-LN(2)/25)*AA199+(1-EXP(-LN(2)/25))/(LN(2)/25)*Calculateur!V200*Calculateur!X200*VLOOKUP('Données projet'!$B$9,Paramètres!$A$1:$I$89,3,0)*0.475*44/12</f>
        <v>1.6126163327051133</v>
      </c>
      <c r="AB200" s="21">
        <f>EXP(-LN(2)/2)*AB199+(1-EXP(-LN(2)/2))/(LN(2)/2)*V200*Y200*VLOOKUP('Données projet'!$B$9,Paramètres!$A$1:$I$89,3,0)*0.475*44/12</f>
        <v>2.7404060070539521E-20</v>
      </c>
      <c r="AC200" s="22">
        <f t="shared" si="163"/>
        <v>16.144293569663411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1.1368683772161603E-13</v>
      </c>
      <c r="AJ200" s="13">
        <f>AI200*VLOOKUP('Données projet'!$B$10,Paramètres!$A$1:$I$89,3,0)*VLOOKUP('Données projet'!$B$10,Paramètres!$A$1:$I$89,5,0)</f>
        <v>6.7984728957526396E-14</v>
      </c>
      <c r="AK200" s="13">
        <f t="shared" si="164"/>
        <v>1.0682447123141398E-12</v>
      </c>
      <c r="AL200" s="20">
        <f t="shared" si="165"/>
        <v>1.978932943548152E-12</v>
      </c>
      <c r="AM200" s="59">
        <f t="shared" si="193"/>
        <v>293.3333333333353</v>
      </c>
      <c r="AN200" s="59">
        <f ca="1">AVERAGE(OFFSET($AM$3,0,0,'Données projet'!$E$10+1,1))-AVERAGE(OFFSET($H$3,0,0,'Données projet'!$E$10+1,1))</f>
        <v>214.93913810439858</v>
      </c>
      <c r="AO200" s="59">
        <f t="shared" si="205"/>
        <v>210.65603079265924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9.2106066827522479</v>
      </c>
      <c r="AV200" s="21">
        <f>EXP(-LN(2)/25)*AV199+(1-EXP(-LN(2)/25))/(LN(2)/25)*Calculateur!AQ200*Calculateur!AS200*VLOOKUP('Données projet'!$B$10,Paramètres!$A$1:$I$89,3,0)*0.475*44/12</f>
        <v>1.0853364791262485</v>
      </c>
      <c r="AW200" s="21">
        <f>EXP(-LN(2)/2)*AW199+(1-EXP(-LN(2)/2))/(LN(2)/2)*AQ200*AT200*VLOOKUP('Données projet'!$B$10,Paramètres!$A$1:$I$89,3,0)*0.475*44/12</f>
        <v>1.4365388364981947E-19</v>
      </c>
      <c r="AX200" s="21">
        <f t="shared" si="166"/>
        <v>10.295943161878496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3.979039320256561E-13</v>
      </c>
      <c r="BE200" s="13">
        <f>BD200*VLOOKUP('Données projet'!$B$11,Paramètres!$A$1:$I$89,3,0)*VLOOKUP('Données projet'!$B$11,Paramètres!$A$1:$I$89,5,0)</f>
        <v>3.6002347769681362E-13</v>
      </c>
      <c r="BF200" s="13">
        <f t="shared" si="167"/>
        <v>4.6593569189922594E-12</v>
      </c>
      <c r="BG200" s="20">
        <f t="shared" si="168"/>
        <v>8.7420875242334695E-12</v>
      </c>
      <c r="BH200" s="59">
        <f t="shared" si="194"/>
        <v>293.33333333334207</v>
      </c>
      <c r="BI200" s="59">
        <f ca="1">AVERAGE(OFFSET($BH$3,0,0,'Données projet'!$E$11+1,1))-AVERAGE(OFFSET($H$3,0,0,'Données projet'!$E$11+1,1))</f>
        <v>507.69556381324213</v>
      </c>
      <c r="BJ200" s="59">
        <f t="shared" si="206"/>
        <v>129.52638237044044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82.110005563825368</v>
      </c>
      <c r="BQ200" s="21">
        <f>EXP(-LN(2)/25)*BQ199+(1-EXP(-LN(2)/25))/(LN(2)/25)*Calculateur!BL200*Calculateur!BN200*VLOOKUP('Données projet'!$B$11,Paramètres!$A$1:$I$89,3,0)*0.475*44/12</f>
        <v>10.605264124708693</v>
      </c>
      <c r="BR200" s="21">
        <f>EXP(-LN(2)/2)*BR199+(1-EXP(-LN(2)/2))/(LN(2)/2)*BL200*BO200*VLOOKUP('Données projet'!$B$11,Paramètres!$A$1:$I$89,3,0)*0.475*44/12</f>
        <v>2.170996266366075E-5</v>
      </c>
      <c r="BS200" s="22">
        <f t="shared" si="169"/>
        <v>92.715291398496731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-2.8421709430404007E-13</v>
      </c>
      <c r="BZ200" s="13">
        <f>BY200*VLOOKUP('Données projet'!$B$12,Paramètres!$A$1:$I$89,3,0)*VLOOKUP('Données projet'!$B$12,Paramètres!$A$1:$I$89,5,0)</f>
        <v>-2.7489477361086758E-13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292.52253679467469</v>
      </c>
      <c r="CE200" s="59">
        <f t="shared" si="207"/>
        <v>155.7114133976541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114.38874926270067</v>
      </c>
      <c r="CL200" s="21">
        <f>EXP(-LN(2)/25)*CL199+(1-EXP(-LN(2)/25))/(LN(2)/25)*Calculateur!CG200*Calculateur!CI200*VLOOKUP('Données projet'!$B$12,Paramètres!$A$1:$I$89,3,0)*0.475*44/12</f>
        <v>34.386462346195771</v>
      </c>
      <c r="CM200" s="21">
        <f>EXP(-LN(2)/2)*CM199+(1-EXP(-LN(2)/2))/(LN(2)/2)*CG200*CJ200*VLOOKUP('Données projet'!$B$12,Paramètres!$A$1:$I$89,3,0)*0.475*44/12</f>
        <v>0.82708202438757028</v>
      </c>
      <c r="CN200" s="22">
        <f t="shared" si="172"/>
        <v>149.60229363328401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-1.1368683772161603E-13</v>
      </c>
      <c r="CU200" s="17">
        <f>CT200*VLOOKUP('Données projet'!$B$13,Paramètres!$A$1:$I$89,3,0)*VLOOKUP('Données projet'!$B$13,Paramètres!$A$1:$I$89,5,0)</f>
        <v>-8.8675733422860506E-14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100.54865094989304</v>
      </c>
      <c r="CZ200" s="59">
        <f t="shared" si="208"/>
        <v>99.95654161405389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2.1848409034671468</v>
      </c>
      <c r="DG200" s="21">
        <f>EXP(-LN(2)/25)*DG199+(1-EXP(-LN(2)/25))/(LN(2)/25)*Calculateur!DB200*Calculateur!DD200*VLOOKUP('Données projet'!$B$13,Paramètres!$A$1:$I$89,3,0)*0.475*44/12</f>
        <v>0.78037483152636922</v>
      </c>
      <c r="DH200" s="21">
        <f>EXP(-LN(2)/2)*DH199+(1-EXP(-LN(2)/2))/(LN(2)/2)*DB200*DE200*VLOOKUP('Données projet'!$B$13,Paramètres!$A$1:$I$89,3,0)*0.475*44/12</f>
        <v>2.1112759829508406E-18</v>
      </c>
      <c r="DI200" s="22">
        <f t="shared" si="175"/>
        <v>2.965215734993516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4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172.97280000000038</v>
      </c>
      <c r="D201" s="11">
        <f t="shared" si="202"/>
        <v>43.755158638197358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1672.9877508913507</v>
      </c>
      <c r="H201" s="67">
        <f t="shared" si="192"/>
        <v>670.80119462819425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3.4106051316484809E-13</v>
      </c>
      <c r="O201" s="13">
        <f>N201*VLOOKUP('Données projet'!$B$9,Paramètres!$A$1:$I$89,3,0)*VLOOKUP('Données projet'!$B$9,Paramètres!$A$1:$I$89,5,0)</f>
        <v>1.9065282685915009E-13</v>
      </c>
      <c r="P201" s="13">
        <f t="shared" si="203"/>
        <v>2.6568987209435707E-12</v>
      </c>
      <c r="Q201" s="20">
        <f t="shared" si="162"/>
        <v>4.959485612423072E-12</v>
      </c>
      <c r="R201" s="59">
        <f t="shared" si="191"/>
        <v>293.33333333333826</v>
      </c>
      <c r="S201" s="59">
        <f ca="1">AVERAGE(OFFSET($R$3,0,0,'Données projet'!$E$9+1,1))-AVERAGE(OFFSET($H$3,0,0,'Données projet'!$E$9+1,1))</f>
        <v>324.69474275039357</v>
      </c>
      <c r="T201" s="59">
        <f t="shared" si="204"/>
        <v>437.68177084535927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14.246719909789467</v>
      </c>
      <c r="AA201" s="21">
        <f>EXP(-LN(2)/25)*AA200+(1-EXP(-LN(2)/25))/(LN(2)/25)*Calculateur!V201*Calculateur!X201*VLOOKUP('Données projet'!$B$9,Paramètres!$A$1:$I$89,3,0)*0.475*44/12</f>
        <v>1.5685192542834847</v>
      </c>
      <c r="AB201" s="21">
        <f>EXP(-LN(2)/2)*AB200+(1-EXP(-LN(2)/2))/(LN(2)/2)*V201*Y201*VLOOKUP('Données projet'!$B$9,Paramètres!$A$1:$I$89,3,0)*0.475*44/12</f>
        <v>1.9377596707921994E-20</v>
      </c>
      <c r="AC201" s="22">
        <f t="shared" si="163"/>
        <v>15.815239164072953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1.1368683772161603E-13</v>
      </c>
      <c r="AJ201" s="13">
        <f>AI201*VLOOKUP('Données projet'!$B$10,Paramètres!$A$1:$I$89,3,0)*VLOOKUP('Données projet'!$B$10,Paramètres!$A$1:$I$89,5,0)</f>
        <v>6.7984728957526396E-14</v>
      </c>
      <c r="AK201" s="13">
        <f t="shared" si="164"/>
        <v>1.0682447123141398E-12</v>
      </c>
      <c r="AL201" s="20">
        <f t="shared" si="165"/>
        <v>1.978932943548152E-12</v>
      </c>
      <c r="AM201" s="59">
        <f t="shared" si="193"/>
        <v>293.3333333333353</v>
      </c>
      <c r="AN201" s="59">
        <f ca="1">AVERAGE(OFFSET($AM$3,0,0,'Données projet'!$E$10+1,1))-AVERAGE(OFFSET($H$3,0,0,'Données projet'!$E$10+1,1))</f>
        <v>214.93913810439858</v>
      </c>
      <c r="AO201" s="59">
        <f t="shared" si="205"/>
        <v>210.65603079265924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9.0299923036188297</v>
      </c>
      <c r="AV201" s="21">
        <f>EXP(-LN(2)/25)*AV200+(1-EXP(-LN(2)/25))/(LN(2)/25)*Calculateur!AQ201*Calculateur!AS201*VLOOKUP('Données projet'!$B$10,Paramètres!$A$1:$I$89,3,0)*0.475*44/12</f>
        <v>1.0556578960291765</v>
      </c>
      <c r="AW201" s="21">
        <f>EXP(-LN(2)/2)*AW200+(1-EXP(-LN(2)/2))/(LN(2)/2)*AQ201*AT201*VLOOKUP('Données projet'!$B$10,Paramètres!$A$1:$I$89,3,0)*0.475*44/12</f>
        <v>1.0157863527257065E-19</v>
      </c>
      <c r="AX201" s="21">
        <f t="shared" si="166"/>
        <v>10.085650199648006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3.979039320256561E-13</v>
      </c>
      <c r="BE201" s="13">
        <f>BD201*VLOOKUP('Données projet'!$B$11,Paramètres!$A$1:$I$89,3,0)*VLOOKUP('Données projet'!$B$11,Paramètres!$A$1:$I$89,5,0)</f>
        <v>3.6002347769681362E-13</v>
      </c>
      <c r="BF201" s="13">
        <f t="shared" si="167"/>
        <v>4.6593569189922594E-12</v>
      </c>
      <c r="BG201" s="20">
        <f t="shared" si="168"/>
        <v>8.7420875242334695E-12</v>
      </c>
      <c r="BH201" s="59">
        <f t="shared" si="194"/>
        <v>293.33333333334207</v>
      </c>
      <c r="BI201" s="59">
        <f ca="1">AVERAGE(OFFSET($BH$3,0,0,'Données projet'!$E$11+1,1))-AVERAGE(OFFSET($H$3,0,0,'Données projet'!$E$11+1,1))</f>
        <v>507.69556381324213</v>
      </c>
      <c r="BJ201" s="59">
        <f t="shared" si="206"/>
        <v>129.52638237044044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80.499878436876941</v>
      </c>
      <c r="BQ201" s="21">
        <f>EXP(-LN(2)/25)*BQ200+(1-EXP(-LN(2)/25))/(LN(2)/25)*Calculateur!BL201*Calculateur!BN201*VLOOKUP('Données projet'!$B$11,Paramètres!$A$1:$I$89,3,0)*0.475*44/12</f>
        <v>10.315262619511932</v>
      </c>
      <c r="BR201" s="21">
        <f>EXP(-LN(2)/2)*BR200+(1-EXP(-LN(2)/2))/(LN(2)/2)*BL201*BO201*VLOOKUP('Données projet'!$B$11,Paramètres!$A$1:$I$89,3,0)*0.475*44/12</f>
        <v>1.5351261818781278E-5</v>
      </c>
      <c r="BS201" s="22">
        <f t="shared" si="169"/>
        <v>90.81515640765069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-2.8421709430404007E-13</v>
      </c>
      <c r="BZ201" s="13">
        <f>BY201*VLOOKUP('Données projet'!$B$12,Paramètres!$A$1:$I$89,3,0)*VLOOKUP('Données projet'!$B$12,Paramètres!$A$1:$I$89,5,0)</f>
        <v>-2.7489477361086758E-13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292.52253679467469</v>
      </c>
      <c r="CE201" s="59">
        <f t="shared" si="207"/>
        <v>155.7114133976541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112.14565565990692</v>
      </c>
      <c r="CL201" s="21">
        <f>EXP(-LN(2)/25)*CL200+(1-EXP(-LN(2)/25))/(LN(2)/25)*Calculateur!CG201*Calculateur!CI201*VLOOKUP('Données projet'!$B$12,Paramètres!$A$1:$I$89,3,0)*0.475*44/12</f>
        <v>33.446162725033581</v>
      </c>
      <c r="CM201" s="21">
        <f>EXP(-LN(2)/2)*CM200+(1-EXP(-LN(2)/2))/(LN(2)/2)*CG201*CJ201*VLOOKUP('Données projet'!$B$12,Paramètres!$A$1:$I$89,3,0)*0.475*44/12</f>
        <v>0.5848353080419485</v>
      </c>
      <c r="CN201" s="22">
        <f t="shared" si="172"/>
        <v>146.17665369298246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-1.1368683772161603E-13</v>
      </c>
      <c r="CU201" s="17">
        <f>CT201*VLOOKUP('Données projet'!$B$13,Paramètres!$A$1:$I$89,3,0)*VLOOKUP('Données projet'!$B$13,Paramètres!$A$1:$I$89,5,0)</f>
        <v>-8.8675733422860506E-14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100.54865094989304</v>
      </c>
      <c r="CZ201" s="59">
        <f t="shared" si="208"/>
        <v>99.95654161405389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2.1419975059715215</v>
      </c>
      <c r="DG201" s="21">
        <f>EXP(-LN(2)/25)*DG200+(1-EXP(-LN(2)/25))/(LN(2)/25)*Calculateur!DB201*Calculateur!DD201*VLOOKUP('Données projet'!$B$13,Paramètres!$A$1:$I$89,3,0)*0.475*44/12</f>
        <v>0.75903544072015183</v>
      </c>
      <c r="DH201" s="21">
        <f>EXP(-LN(2)/2)*DH200+(1-EXP(-LN(2)/2))/(LN(2)/2)*DB201*DE201*VLOOKUP('Données projet'!$B$13,Paramètres!$A$1:$I$89,3,0)*0.475*44/12</f>
        <v>1.4928975645008331E-18</v>
      </c>
      <c r="DI201" s="22">
        <f t="shared" si="175"/>
        <v>2.9010329466916733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4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173.84640000000039</v>
      </c>
      <c r="D202" s="11">
        <f t="shared" si="202"/>
        <v>43.950364270382373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1681.2381803327792</v>
      </c>
      <c r="H202" s="67">
        <f t="shared" si="192"/>
        <v>672.66269777091657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3.4106051316484809E-13</v>
      </c>
      <c r="O202" s="13">
        <f>N202*VLOOKUP('Données projet'!$B$9,Paramètres!$A$1:$I$89,3,0)*VLOOKUP('Données projet'!$B$9,Paramètres!$A$1:$I$89,5,0)</f>
        <v>1.9065282685915009E-13</v>
      </c>
      <c r="P202" s="13">
        <f t="shared" si="203"/>
        <v>2.6568987209435707E-12</v>
      </c>
      <c r="Q202" s="20">
        <f t="shared" si="162"/>
        <v>4.959485612423072E-12</v>
      </c>
      <c r="R202" s="59">
        <f t="shared" si="191"/>
        <v>293.33333333333826</v>
      </c>
      <c r="S202" s="59">
        <f ca="1">AVERAGE(OFFSET($R$3,0,0,'Données projet'!$E$9+1,1))-AVERAGE(OFFSET($H$3,0,0,'Données projet'!$E$9+1,1))</f>
        <v>324.69474275039357</v>
      </c>
      <c r="T202" s="59">
        <f t="shared" si="204"/>
        <v>437.68177084535927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13.96735042199961</v>
      </c>
      <c r="AA202" s="21">
        <f>EXP(-LN(2)/25)*AA201+(1-EXP(-LN(2)/25))/(LN(2)/25)*Calculateur!V202*Calculateur!X202*VLOOKUP('Données projet'!$B$9,Paramètres!$A$1:$I$89,3,0)*0.475*44/12</f>
        <v>1.5256280127902602</v>
      </c>
      <c r="AB202" s="21">
        <f>EXP(-LN(2)/2)*AB201+(1-EXP(-LN(2)/2))/(LN(2)/2)*V202*Y202*VLOOKUP('Données projet'!$B$9,Paramètres!$A$1:$I$89,3,0)*0.475*44/12</f>
        <v>1.3702030035269761E-20</v>
      </c>
      <c r="AC202" s="22">
        <f t="shared" si="163"/>
        <v>15.492978434789871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1.1368683772161603E-13</v>
      </c>
      <c r="AJ202" s="13">
        <f>AI202*VLOOKUP('Données projet'!$B$10,Paramètres!$A$1:$I$89,3,0)*VLOOKUP('Données projet'!$B$10,Paramètres!$A$1:$I$89,5,0)</f>
        <v>6.7984728957526396E-14</v>
      </c>
      <c r="AK202" s="13">
        <f t="shared" si="164"/>
        <v>1.0682447123141398E-12</v>
      </c>
      <c r="AL202" s="20">
        <f t="shared" si="165"/>
        <v>1.978932943548152E-12</v>
      </c>
      <c r="AM202" s="59">
        <f t="shared" si="193"/>
        <v>293.3333333333353</v>
      </c>
      <c r="AN202" s="59">
        <f ca="1">AVERAGE(OFFSET($AM$3,0,0,'Données projet'!$E$10+1,1))-AVERAGE(OFFSET($H$3,0,0,'Données projet'!$E$10+1,1))</f>
        <v>214.93913810439858</v>
      </c>
      <c r="AO202" s="59">
        <f t="shared" si="205"/>
        <v>210.65603079265924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8.8529196622963244</v>
      </c>
      <c r="AV202" s="21">
        <f>EXP(-LN(2)/25)*AV201+(1-EXP(-LN(2)/25))/(LN(2)/25)*Calculateur!AQ202*Calculateur!AS202*VLOOKUP('Données projet'!$B$10,Paramètres!$A$1:$I$89,3,0)*0.475*44/12</f>
        <v>1.0267908753476227</v>
      </c>
      <c r="AW202" s="21">
        <f>EXP(-LN(2)/2)*AW201+(1-EXP(-LN(2)/2))/(LN(2)/2)*AQ202*AT202*VLOOKUP('Données projet'!$B$10,Paramètres!$A$1:$I$89,3,0)*0.475*44/12</f>
        <v>7.1826941824909733E-20</v>
      </c>
      <c r="AX202" s="21">
        <f t="shared" si="166"/>
        <v>9.8797105376439465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3.979039320256561E-13</v>
      </c>
      <c r="BE202" s="13">
        <f>BD202*VLOOKUP('Données projet'!$B$11,Paramètres!$A$1:$I$89,3,0)*VLOOKUP('Données projet'!$B$11,Paramètres!$A$1:$I$89,5,0)</f>
        <v>3.6002347769681362E-13</v>
      </c>
      <c r="BF202" s="13">
        <f t="shared" si="167"/>
        <v>4.6593569189922594E-12</v>
      </c>
      <c r="BG202" s="20">
        <f t="shared" si="168"/>
        <v>8.7420875242334695E-12</v>
      </c>
      <c r="BH202" s="59">
        <f t="shared" si="194"/>
        <v>293.33333333334207</v>
      </c>
      <c r="BI202" s="59">
        <f ca="1">AVERAGE(OFFSET($BH$3,0,0,'Données projet'!$E$11+1,1))-AVERAGE(OFFSET($H$3,0,0,'Données projet'!$E$11+1,1))</f>
        <v>507.69556381324213</v>
      </c>
      <c r="BJ202" s="59">
        <f t="shared" si="206"/>
        <v>129.52638237044044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78.921324920807407</v>
      </c>
      <c r="BQ202" s="21">
        <f>EXP(-LN(2)/25)*BQ201+(1-EXP(-LN(2)/25))/(LN(2)/25)*Calculateur!BL202*Calculateur!BN202*VLOOKUP('Données projet'!$B$11,Paramètres!$A$1:$I$89,3,0)*0.475*44/12</f>
        <v>10.033191220725293</v>
      </c>
      <c r="BR202" s="21">
        <f>EXP(-LN(2)/2)*BR201+(1-EXP(-LN(2)/2))/(LN(2)/2)*BL202*BO202*VLOOKUP('Données projet'!$B$11,Paramètres!$A$1:$I$89,3,0)*0.475*44/12</f>
        <v>1.0854981331830375E-5</v>
      </c>
      <c r="BS202" s="22">
        <f t="shared" si="169"/>
        <v>88.954526996514033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-2.8421709430404007E-13</v>
      </c>
      <c r="BZ202" s="13">
        <f>BY202*VLOOKUP('Données projet'!$B$12,Paramètres!$A$1:$I$89,3,0)*VLOOKUP('Données projet'!$B$12,Paramètres!$A$1:$I$89,5,0)</f>
        <v>-2.7489477361086758E-13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292.52253679467469</v>
      </c>
      <c r="CE202" s="59">
        <f t="shared" si="207"/>
        <v>155.7114133976541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109.94654775451195</v>
      </c>
      <c r="CL202" s="21">
        <f>EXP(-LN(2)/25)*CL201+(1-EXP(-LN(2)/25))/(LN(2)/25)*Calculateur!CG202*Calculateur!CI202*VLOOKUP('Données projet'!$B$12,Paramètres!$A$1:$I$89,3,0)*0.475*44/12</f>
        <v>32.531575646460283</v>
      </c>
      <c r="CM202" s="21">
        <f>EXP(-LN(2)/2)*CM201+(1-EXP(-LN(2)/2))/(LN(2)/2)*CG202*CJ202*VLOOKUP('Données projet'!$B$12,Paramètres!$A$1:$I$89,3,0)*0.475*44/12</f>
        <v>0.4135410121937852</v>
      </c>
      <c r="CN202" s="22">
        <f t="shared" si="172"/>
        <v>142.89166441316601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-1.1368683772161603E-13</v>
      </c>
      <c r="CU202" s="17">
        <f>CT202*VLOOKUP('Données projet'!$B$13,Paramètres!$A$1:$I$89,3,0)*VLOOKUP('Données projet'!$B$13,Paramètres!$A$1:$I$89,5,0)</f>
        <v>-8.8675733422860506E-14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100.54865094989304</v>
      </c>
      <c r="CZ202" s="59">
        <f t="shared" si="208"/>
        <v>99.95654161405389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2.0999942413688935</v>
      </c>
      <c r="DG202" s="21">
        <f>EXP(-LN(2)/25)*DG201+(1-EXP(-LN(2)/25))/(LN(2)/25)*Calculateur!DB202*Calculateur!DD202*VLOOKUP('Données projet'!$B$13,Paramètres!$A$1:$I$89,3,0)*0.475*44/12</f>
        <v>0.73827957667772026</v>
      </c>
      <c r="DH202" s="21">
        <f>EXP(-LN(2)/2)*DH201+(1-EXP(-LN(2)/2))/(LN(2)/2)*DB202*DE202*VLOOKUP('Données projet'!$B$13,Paramètres!$A$1:$I$89,3,0)*0.475*44/12</f>
        <v>1.0556379914754203E-18</v>
      </c>
      <c r="DI202" s="22">
        <f t="shared" si="175"/>
        <v>2.8382738180466136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4.65" thickBot="1" x14ac:dyDescent="0.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174.7200000000004</v>
      </c>
      <c r="D203" s="11">
        <f t="shared" si="202"/>
        <v>44.145455754865324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1689.4877286340513</v>
      </c>
      <c r="H203" s="67">
        <f t="shared" si="192"/>
        <v>674.52400210639098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3.4106051316484809E-13</v>
      </c>
      <c r="O203" s="13">
        <f>N203*VLOOKUP('Données projet'!$B$9,Paramètres!$A$1:$I$89,3,0)*VLOOKUP('Données projet'!$B$9,Paramètres!$A$1:$I$89,5,0)</f>
        <v>1.9065282685915009E-13</v>
      </c>
      <c r="P203" s="13">
        <f t="shared" si="203"/>
        <v>2.6568987209435707E-12</v>
      </c>
      <c r="Q203" s="20">
        <f t="shared" si="162"/>
        <v>4.959485612423072E-12</v>
      </c>
      <c r="R203" s="59">
        <f t="shared" si="191"/>
        <v>293.33333333333826</v>
      </c>
      <c r="S203" s="59">
        <f ca="1">AVERAGE(OFFSET($R$3,0,0,'Données projet'!$E$9+1,1))-AVERAGE(OFFSET($H$3,0,0,'Données projet'!$E$9+1,1))</f>
        <v>324.69474275039357</v>
      </c>
      <c r="T203" s="59">
        <f t="shared" si="204"/>
        <v>437.68177084535927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13.69345919946675</v>
      </c>
      <c r="AA203" s="21">
        <f>EXP(-LN(2)/25)*AA202+(1-EXP(-LN(2)/25))/(LN(2)/25)*Calculateur!V203*Calculateur!X203*VLOOKUP('Données projet'!$B$9,Paramètres!$A$1:$I$89,3,0)*0.475*44/12</f>
        <v>1.4839096345512202</v>
      </c>
      <c r="AB203" s="21">
        <f>EXP(-LN(2)/2)*AB202+(1-EXP(-LN(2)/2))/(LN(2)/2)*V203*Y203*VLOOKUP('Données projet'!$B$9,Paramètres!$A$1:$I$89,3,0)*0.475*44/12</f>
        <v>9.688798353960997E-21</v>
      </c>
      <c r="AC203" s="22">
        <f t="shared" si="163"/>
        <v>15.177368834017969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1.1368683772161603E-13</v>
      </c>
      <c r="AJ203" s="13">
        <f>AI203*VLOOKUP('Données projet'!$B$10,Paramètres!$A$1:$I$89,3,0)*VLOOKUP('Données projet'!$B$10,Paramètres!$A$1:$I$89,5,0)</f>
        <v>6.7984728957526396E-14</v>
      </c>
      <c r="AK203" s="13">
        <f t="shared" si="164"/>
        <v>1.0682447123141398E-12</v>
      </c>
      <c r="AL203" s="20">
        <f t="shared" si="165"/>
        <v>1.978932943548152E-12</v>
      </c>
      <c r="AM203" s="59">
        <f t="shared" si="193"/>
        <v>293.3333333333353</v>
      </c>
      <c r="AN203" s="59">
        <f ca="1">AVERAGE(OFFSET($AM$3,0,0,'Données projet'!$E$10+1,1))-AVERAGE(OFFSET($H$3,0,0,'Données projet'!$E$10+1,1))</f>
        <v>214.93913810439858</v>
      </c>
      <c r="AO203" s="59">
        <f t="shared" si="205"/>
        <v>210.65603079265924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8.6793193074665069</v>
      </c>
      <c r="AV203" s="21">
        <f>EXP(-LN(2)/25)*AV202+(1-EXP(-LN(2)/25))/(LN(2)/25)*Calculateur!AQ203*Calculateur!AS203*VLOOKUP('Données projet'!$B$10,Paramètres!$A$1:$I$89,3,0)*0.475*44/12</f>
        <v>0.99871322486465663</v>
      </c>
      <c r="AW203" s="21">
        <f>EXP(-LN(2)/2)*AW202+(1-EXP(-LN(2)/2))/(LN(2)/2)*AQ203*AT203*VLOOKUP('Données projet'!$B$10,Paramètres!$A$1:$I$89,3,0)*0.475*44/12</f>
        <v>5.0789317636285325E-20</v>
      </c>
      <c r="AX203" s="21">
        <f t="shared" si="166"/>
        <v>9.678032532331164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3.979039320256561E-13</v>
      </c>
      <c r="BE203" s="13">
        <f>BD203*VLOOKUP('Données projet'!$B$11,Paramètres!$A$1:$I$89,3,0)*VLOOKUP('Données projet'!$B$11,Paramètres!$A$1:$I$89,5,0)</f>
        <v>3.6002347769681362E-13</v>
      </c>
      <c r="BF203" s="13">
        <f t="shared" si="167"/>
        <v>4.6593569189922594E-12</v>
      </c>
      <c r="BG203" s="20">
        <f t="shared" si="168"/>
        <v>8.7420875242334695E-12</v>
      </c>
      <c r="BH203" s="59">
        <f t="shared" si="194"/>
        <v>293.33333333334207</v>
      </c>
      <c r="BI203" s="59">
        <f ca="1">AVERAGE(OFFSET($BH$3,0,0,'Données projet'!$E$11+1,1))-AVERAGE(OFFSET($H$3,0,0,'Données projet'!$E$11+1,1))</f>
        <v>507.69556381324213</v>
      </c>
      <c r="BJ203" s="59">
        <f t="shared" si="206"/>
        <v>129.52638237044044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77.373725876365413</v>
      </c>
      <c r="BQ203" s="21">
        <f>EXP(-LN(2)/25)*BQ202+(1-EXP(-LN(2)/25))/(LN(2)/25)*Calculateur!BL203*Calculateur!BN203*VLOOKUP('Données projet'!$B$11,Paramètres!$A$1:$I$89,3,0)*0.475*44/12</f>
        <v>9.7588330791719642</v>
      </c>
      <c r="BR203" s="21">
        <f>EXP(-LN(2)/2)*BR202+(1-EXP(-LN(2)/2))/(LN(2)/2)*BL203*BO203*VLOOKUP('Données projet'!$B$11,Paramètres!$A$1:$I$89,3,0)*0.475*44/12</f>
        <v>7.6756309093906389E-6</v>
      </c>
      <c r="BS203" s="22">
        <f t="shared" si="169"/>
        <v>87.132566631168288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-2.8421709430404007E-13</v>
      </c>
      <c r="BZ203" s="13">
        <f>BY203*VLOOKUP('Données projet'!$B$12,Paramètres!$A$1:$I$89,3,0)*VLOOKUP('Données projet'!$B$12,Paramètres!$A$1:$I$89,5,0)</f>
        <v>-2.7489477361086758E-13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292.52253679467469</v>
      </c>
      <c r="CE203" s="59">
        <f t="shared" si="207"/>
        <v>155.7114133976541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107.7905630138184</v>
      </c>
      <c r="CL203" s="21">
        <f>EXP(-LN(2)/25)*CL202+(1-EXP(-LN(2)/25))/(LN(2)/25)*Calculateur!CG203*Calculateur!CI203*VLOOKUP('Données projet'!$B$12,Paramètres!$A$1:$I$89,3,0)*0.475*44/12</f>
        <v>31.641997999646616</v>
      </c>
      <c r="CM203" s="21">
        <f>EXP(-LN(2)/2)*CM202+(1-EXP(-LN(2)/2))/(LN(2)/2)*CG203*CJ203*VLOOKUP('Données projet'!$B$12,Paramètres!$A$1:$I$89,3,0)*0.475*44/12</f>
        <v>0.29241765402097425</v>
      </c>
      <c r="CN203" s="22">
        <f t="shared" si="172"/>
        <v>139.72497866748597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-1.1368683772161603E-13</v>
      </c>
      <c r="CU203" s="17">
        <f>CT203*VLOOKUP('Données projet'!$B$13,Paramètres!$A$1:$I$89,3,0)*VLOOKUP('Données projet'!$B$13,Paramètres!$A$1:$I$89,5,0)</f>
        <v>-8.8675733422860506E-14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100.54865094989304</v>
      </c>
      <c r="CZ203" s="59">
        <f t="shared" si="208"/>
        <v>99.95654161405389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2.0588146351656613</v>
      </c>
      <c r="DG203" s="21">
        <f>EXP(-LN(2)/25)*DG202+(1-EXP(-LN(2)/25))/(LN(2)/25)*Calculateur!DB203*Calculateur!DD203*VLOOKUP('Données projet'!$B$13,Paramètres!$A$1:$I$89,3,0)*0.475*44/12</f>
        <v>0.71809128282903245</v>
      </c>
      <c r="DH203" s="21">
        <f>EXP(-LN(2)/2)*DH202+(1-EXP(-LN(2)/2))/(LN(2)/2)*DB203*DE203*VLOOKUP('Données projet'!$B$13,Paramètres!$A$1:$I$89,3,0)*0.475*44/12</f>
        <v>7.4644878225041656E-19</v>
      </c>
      <c r="DI203" s="22">
        <f t="shared" si="175"/>
        <v>2.7769059179946938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4.65" thickBot="1" x14ac:dyDescent="0.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4.65" thickBot="1" x14ac:dyDescent="0.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1.3431520832915915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1.3275965341357465</v>
      </c>
      <c r="BA205" s="82">
        <f>EXP(LN('Données projet'!B88)/'Données projet'!A88)</f>
        <v>1.1636646418946561</v>
      </c>
      <c r="BV205" s="82">
        <f>EXP(LN('Données projet'!B114)/'Données projet'!A114)</f>
        <v>1.0924684246274448</v>
      </c>
      <c r="CQ205" s="82">
        <f>EXP(LN('Données projet'!B140)/'Données projet'!A140)</f>
        <v>1.2414494093563335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6484375" defaultRowHeight="14.25" x14ac:dyDescent="0.45"/>
  <cols>
    <col min="1" max="1" width="23.46484375" style="4" bestFit="1" customWidth="1"/>
    <col min="2" max="2" width="27.73046875" style="4" bestFit="1" customWidth="1"/>
    <col min="3" max="3" width="11.796875" style="4" bestFit="1" customWidth="1"/>
    <col min="4" max="4" width="40" style="4" bestFit="1" customWidth="1"/>
    <col min="5" max="5" width="11.796875" style="4" bestFit="1" customWidth="1"/>
    <col min="6" max="6" width="13.73046875" style="4" bestFit="1" customWidth="1"/>
    <col min="7" max="7" width="11.46484375" style="4" bestFit="1" customWidth="1"/>
    <col min="8" max="8" width="39" style="4" bestFit="1" customWidth="1"/>
    <col min="9" max="9" width="16.73046875" style="4" customWidth="1"/>
    <col min="10" max="14" width="11.46484375" style="4"/>
    <col min="15" max="15" width="23.46484375" style="4" bestFit="1" customWidth="1"/>
    <col min="16" max="16384" width="11.46484375" style="4"/>
  </cols>
  <sheetData>
    <row r="1" spans="1:16" ht="43.15" thickBot="1" x14ac:dyDescent="0.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4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4" t="s">
        <v>238</v>
      </c>
      <c r="P2" s="121">
        <v>0</v>
      </c>
    </row>
    <row r="3" spans="1:16" ht="14.65" thickBot="1" x14ac:dyDescent="0.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5"/>
      <c r="P3" s="128">
        <v>0.2</v>
      </c>
    </row>
    <row r="4" spans="1:16" ht="14.65" thickBot="1" x14ac:dyDescent="0.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4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4" t="s">
        <v>237</v>
      </c>
      <c r="P5" s="121">
        <v>0</v>
      </c>
    </row>
    <row r="6" spans="1:16" x14ac:dyDescent="0.4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6"/>
      <c r="P6" s="129">
        <v>0.05</v>
      </c>
    </row>
    <row r="7" spans="1:16" x14ac:dyDescent="0.4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6"/>
      <c r="P7" s="129">
        <v>0.1</v>
      </c>
    </row>
    <row r="8" spans="1:16" ht="14.65" thickBot="1" x14ac:dyDescent="0.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5"/>
      <c r="P8" s="128">
        <v>0.15</v>
      </c>
    </row>
    <row r="9" spans="1:16" ht="14.65" thickBot="1" x14ac:dyDescent="0.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4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4" t="s">
        <v>236</v>
      </c>
      <c r="P10" s="121">
        <v>0</v>
      </c>
    </row>
    <row r="11" spans="1:16" ht="14.65" thickBot="1" x14ac:dyDescent="0.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5"/>
      <c r="P11" s="128">
        <v>0.1</v>
      </c>
    </row>
    <row r="12" spans="1:16" x14ac:dyDescent="0.4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4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4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4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4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4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4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4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4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4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4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4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4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4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4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4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4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4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4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4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4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4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4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4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4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4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4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4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4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4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4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4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4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4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4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4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4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4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4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4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4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4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4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4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4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4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4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4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4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4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4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4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4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4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4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4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4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4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4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4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4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4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4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4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4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4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4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4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4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4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4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4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4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4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4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4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4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4.65" thickBot="1" x14ac:dyDescent="0.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45">
      <c r="A93" s="122" t="s">
        <v>208</v>
      </c>
    </row>
    <row r="94" spans="1:14" x14ac:dyDescent="0.45">
      <c r="A94" s="122" t="s">
        <v>209</v>
      </c>
    </row>
    <row r="95" spans="1:14" x14ac:dyDescent="0.4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35" zoomScale="80" zoomScaleNormal="80" workbookViewId="0">
      <selection activeCell="C60" sqref="C60"/>
    </sheetView>
  </sheetViews>
  <sheetFormatPr baseColWidth="10" defaultColWidth="11.46484375" defaultRowHeight="14.25" x14ac:dyDescent="0.45"/>
  <cols>
    <col min="1" max="1" width="11.46484375" style="1"/>
    <col min="2" max="2" width="30.796875" style="1" bestFit="1" customWidth="1"/>
    <col min="3" max="3" width="18.19921875" style="1" bestFit="1" customWidth="1"/>
    <col min="4" max="5" width="11.46484375" style="1"/>
    <col min="6" max="6" width="14" style="1" customWidth="1"/>
    <col min="7" max="7" width="17.53125" style="1" customWidth="1"/>
    <col min="8" max="8" width="21.73046875" style="1" customWidth="1"/>
    <col min="9" max="9" width="37" style="1" customWidth="1"/>
    <col min="10" max="10" width="11.46484375" style="1"/>
    <col min="11" max="11" width="8.796875" style="1" customWidth="1"/>
    <col min="12" max="12" width="11.46484375" style="1"/>
    <col min="13" max="13" width="21" style="1" customWidth="1"/>
    <col min="14" max="16" width="11.46484375" style="1"/>
    <col min="17" max="17" width="8" style="1" customWidth="1"/>
    <col min="18" max="18" width="11.46484375" style="1"/>
    <col min="19" max="19" width="31" style="1" customWidth="1"/>
    <col min="20" max="20" width="18.19921875" style="1" customWidth="1"/>
    <col min="21" max="21" width="16.46484375" style="1" customWidth="1"/>
    <col min="22" max="22" width="17.796875" style="1" customWidth="1"/>
    <col min="23" max="16384" width="11.46484375" style="1"/>
  </cols>
  <sheetData>
    <row r="1" spans="1:4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5.9" thickBot="1" x14ac:dyDescent="0.8">
      <c r="A2" s="4"/>
      <c r="B2" s="275" t="s">
        <v>272</v>
      </c>
      <c r="C2" s="276"/>
      <c r="D2" s="276"/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7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4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45">
      <c r="A4" s="4"/>
      <c r="B4" s="4"/>
      <c r="C4" s="4"/>
      <c r="D4" s="4"/>
      <c r="E4" s="4"/>
      <c r="G4" s="4"/>
      <c r="H4" s="263" t="s">
        <v>315</v>
      </c>
      <c r="I4" s="263"/>
      <c r="K4" s="287" t="s">
        <v>253</v>
      </c>
      <c r="L4" s="288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4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4.65" thickBot="1" x14ac:dyDescent="0.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8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7" t="s">
        <v>310</v>
      </c>
      <c r="S7" s="298"/>
      <c r="T7" s="298"/>
      <c r="U7" s="298"/>
      <c r="V7" s="299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4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4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4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5978.4356749973485</v>
      </c>
      <c r="U10" s="178">
        <f>'Données projet'!D9</f>
        <v>0.9524999999999999</v>
      </c>
      <c r="V10" s="177">
        <f>U10*T10</f>
        <v>5694.4599804349737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4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maritime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2251.1591285036257</v>
      </c>
      <c r="U11" s="178">
        <f>'Données projet'!D10</f>
        <v>0.69850000000000001</v>
      </c>
      <c r="V11" s="177">
        <f t="shared" ref="V11" si="0">U11*T11</f>
        <v>1572.4346512597826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4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sessile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1422.9228615072948</v>
      </c>
      <c r="U12" s="178">
        <f>'Données projet'!D11</f>
        <v>3.8099999999999996</v>
      </c>
      <c r="V12" s="177">
        <f t="shared" ref="V12:V19" si="1">U12*T12</f>
        <v>5421.3361023427924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4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Alisier torminal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140.89006296130091</v>
      </c>
      <c r="U13" s="178">
        <f>'Données projet'!D12</f>
        <v>0.44450000000000001</v>
      </c>
      <c r="V13" s="177">
        <f t="shared" si="1"/>
        <v>62.625632986298257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45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Merisier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745.58785801374563</v>
      </c>
      <c r="U14" s="178">
        <f>'Données projet'!D13</f>
        <v>0.44450000000000001</v>
      </c>
      <c r="V14" s="177">
        <f t="shared" si="1"/>
        <v>331.41380288710991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45">
      <c r="A15" s="4"/>
      <c r="B15" s="4"/>
      <c r="C15" s="4"/>
      <c r="D15" s="4"/>
      <c r="E15" s="4"/>
      <c r="F15" s="230"/>
      <c r="G15" s="290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4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0"/>
      <c r="H16" s="190"/>
      <c r="I16" s="191"/>
      <c r="J16" s="202"/>
      <c r="K16" s="208"/>
      <c r="L16" s="287" t="s">
        <v>254</v>
      </c>
      <c r="M16" s="288"/>
      <c r="N16" s="2">
        <v>54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4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90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54.00000000000005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4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90"/>
      <c r="J18" s="202"/>
      <c r="K18" s="208"/>
      <c r="L18" s="260" t="s">
        <v>255</v>
      </c>
      <c r="M18" s="262"/>
      <c r="N18" s="192">
        <v>10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4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90"/>
      <c r="H19" s="212" t="s">
        <v>178</v>
      </c>
      <c r="I19" s="212" t="s">
        <v>287</v>
      </c>
      <c r="J19" s="93"/>
      <c r="K19" s="173"/>
      <c r="L19" s="287" t="s">
        <v>288</v>
      </c>
      <c r="M19" s="288"/>
      <c r="N19" s="179">
        <f>N17*N18</f>
        <v>540.00000000000045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4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90"/>
      <c r="H20" s="190">
        <v>1</v>
      </c>
      <c r="I20" s="191">
        <v>3394</v>
      </c>
      <c r="J20" s="4"/>
      <c r="K20" s="173"/>
      <c r="M20" s="257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4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500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4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500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45">
      <c r="A23" s="180">
        <f>'Données projet'!A36</f>
        <v>18</v>
      </c>
      <c r="B23" s="181">
        <f>'Données projet'!D36</f>
        <v>74.829999999999984</v>
      </c>
      <c r="C23" s="193">
        <v>13.56</v>
      </c>
      <c r="D23" s="182">
        <f>B23*C23</f>
        <v>1014.6947999999999</v>
      </c>
      <c r="E23" s="193">
        <v>60</v>
      </c>
      <c r="F23" s="230"/>
      <c r="H23" s="190">
        <v>4</v>
      </c>
      <c r="I23" s="191">
        <v>500</v>
      </c>
      <c r="K23" s="208"/>
      <c r="L23" s="289" t="s">
        <v>260</v>
      </c>
      <c r="M23" s="289"/>
      <c r="N23" s="289"/>
      <c r="O23" s="23"/>
      <c r="P23" s="23"/>
      <c r="Q23" s="234"/>
      <c r="R23" s="23"/>
      <c r="S23" s="36" t="s">
        <v>264</v>
      </c>
      <c r="T23" s="302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-18441.456232886369</v>
      </c>
      <c r="U23" s="302"/>
      <c r="V23" s="302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45">
      <c r="A24" s="180">
        <f>'Données projet'!A37</f>
        <v>24</v>
      </c>
      <c r="B24" s="181">
        <f>'Données projet'!D37</f>
        <v>51.400000000000034</v>
      </c>
      <c r="C24" s="193">
        <v>20.239999999999998</v>
      </c>
      <c r="D24" s="182">
        <f t="shared" ref="D24:D42" si="2">B24*C24</f>
        <v>1040.3360000000007</v>
      </c>
      <c r="E24" s="193">
        <v>60</v>
      </c>
      <c r="F24" s="233"/>
      <c r="H24" s="190">
        <v>5</v>
      </c>
      <c r="I24" s="191">
        <v>500</v>
      </c>
      <c r="K24" s="208"/>
      <c r="O24" s="23"/>
      <c r="P24" s="23"/>
      <c r="Q24" s="234"/>
      <c r="R24" s="23"/>
      <c r="S24" s="36" t="s">
        <v>261</v>
      </c>
      <c r="T24" s="303">
        <f ca="1">'Scénario référence'!$B$8*$M$30*'Données projet'!$C$5+('Scénario référence'!B9+'Scénario référence'!B10+'Scénario référence'!F8+'Scénario référence'!F9)*$N$19/(1+M4)^N16*'Données projet'!$C$5</f>
        <v>318.33749975326236</v>
      </c>
      <c r="U24" s="303"/>
      <c r="V24" s="303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45">
      <c r="A25" s="180">
        <f>'Données projet'!A38</f>
        <v>30</v>
      </c>
      <c r="B25" s="181">
        <f>'Données projet'!D38</f>
        <v>80.990000000000009</v>
      </c>
      <c r="C25" s="193">
        <v>26</v>
      </c>
      <c r="D25" s="182">
        <f t="shared" si="2"/>
        <v>2105.7400000000002</v>
      </c>
      <c r="E25" s="193">
        <v>60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4">
        <f ca="1">T23-T24</f>
        <v>-18759.793732639631</v>
      </c>
      <c r="U25" s="304"/>
      <c r="V25" s="30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45">
      <c r="A26" s="180">
        <f>'Données projet'!A39</f>
        <v>36</v>
      </c>
      <c r="B26" s="181">
        <f>'Données projet'!D39</f>
        <v>85.910000000000025</v>
      </c>
      <c r="C26" s="193">
        <v>31.68</v>
      </c>
      <c r="D26" s="182">
        <f t="shared" si="2"/>
        <v>2721.6288000000009</v>
      </c>
      <c r="E26" s="193">
        <v>60</v>
      </c>
      <c r="F26" s="233"/>
      <c r="G26" s="229"/>
      <c r="H26" s="190"/>
      <c r="I26" s="191"/>
      <c r="K26" s="208"/>
      <c r="L26" s="291" t="s">
        <v>258</v>
      </c>
      <c r="M26" s="292"/>
      <c r="N26" s="292"/>
      <c r="O26" s="292"/>
      <c r="P26" s="293"/>
      <c r="Q26" s="234"/>
      <c r="R26" s="23"/>
      <c r="S26" s="186" t="s">
        <v>265</v>
      </c>
      <c r="T26" s="301" t="str">
        <f ca="1">IF(T25&lt;0,"Votre projet est additionnel","Votre projet n'est pas additionnel")</f>
        <v>Votre projet est additionnel</v>
      </c>
      <c r="U26" s="301"/>
      <c r="V26" s="301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45">
      <c r="A27" s="180">
        <f>'Données projet'!A40</f>
        <v>42</v>
      </c>
      <c r="B27" s="181">
        <f>'Données projet'!D40</f>
        <v>91.32</v>
      </c>
      <c r="C27" s="193">
        <v>38.880000000000003</v>
      </c>
      <c r="D27" s="182">
        <f t="shared" si="2"/>
        <v>3550.5216</v>
      </c>
      <c r="E27" s="193">
        <v>60</v>
      </c>
      <c r="F27" s="233"/>
      <c r="G27" s="229"/>
      <c r="H27" s="190"/>
      <c r="I27" s="191"/>
      <c r="K27" s="208"/>
      <c r="L27" s="294"/>
      <c r="M27" s="295"/>
      <c r="N27" s="295"/>
      <c r="O27" s="295"/>
      <c r="P27" s="296"/>
      <c r="Q27" s="234"/>
      <c r="R27" s="23"/>
      <c r="S27" s="300" t="s">
        <v>267</v>
      </c>
      <c r="T27" s="300"/>
      <c r="U27" s="300"/>
      <c r="V27" s="300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45">
      <c r="A28" s="180">
        <f>'Données projet'!A41</f>
        <v>48</v>
      </c>
      <c r="B28" s="181">
        <f>'Données projet'!D41</f>
        <v>101.43000000000006</v>
      </c>
      <c r="C28" s="193">
        <v>41.89</v>
      </c>
      <c r="D28" s="182">
        <f t="shared" si="2"/>
        <v>4248.9027000000024</v>
      </c>
      <c r="E28" s="193">
        <v>60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45">
      <c r="A29" s="180">
        <f>'Données projet'!A42</f>
        <v>54</v>
      </c>
      <c r="B29" s="181">
        <f>'Données projet'!D42</f>
        <v>708.61</v>
      </c>
      <c r="C29" s="193">
        <v>46.56</v>
      </c>
      <c r="D29" s="182">
        <f t="shared" si="2"/>
        <v>32992.881600000001</v>
      </c>
      <c r="E29" s="193">
        <v>60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4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4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4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4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4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4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4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4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4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4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4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4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4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4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4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45">
      <c r="A45" s="46" t="s">
        <v>166</v>
      </c>
      <c r="B45" s="174" t="str">
        <f>IF('Données projet'!$B$10="","",'Données projet'!$B$10)</f>
        <v>Pin maritime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4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4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4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4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4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4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4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4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45">
      <c r="A54" s="180">
        <f>'Données projet'!A62</f>
        <v>17</v>
      </c>
      <c r="B54" s="181">
        <f>'Données projet'!D62</f>
        <v>41.179999999999993</v>
      </c>
      <c r="C54" s="191">
        <v>8</v>
      </c>
      <c r="D54" s="179">
        <f>B54*C54</f>
        <v>329.43999999999994</v>
      </c>
      <c r="E54" s="193">
        <v>60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45">
      <c r="A55" s="180">
        <f>'Données projet'!A63</f>
        <v>23</v>
      </c>
      <c r="B55" s="181">
        <f>'Données projet'!D63</f>
        <v>58.370000000000005</v>
      </c>
      <c r="C55" s="191">
        <v>10.625</v>
      </c>
      <c r="D55" s="179">
        <f t="shared" ref="D55:D73" si="4">B55*C55</f>
        <v>620.18125000000009</v>
      </c>
      <c r="E55" s="193">
        <v>60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45">
      <c r="A56" s="180">
        <f>'Données projet'!A64</f>
        <v>29</v>
      </c>
      <c r="B56" s="181">
        <f>'Données projet'!D64</f>
        <v>54.97</v>
      </c>
      <c r="C56" s="191">
        <v>26.75</v>
      </c>
      <c r="D56" s="179">
        <f t="shared" si="4"/>
        <v>1470.4475</v>
      </c>
      <c r="E56" s="193">
        <v>60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45">
      <c r="A57" s="180">
        <f>'Données projet'!A65</f>
        <v>36</v>
      </c>
      <c r="B57" s="181">
        <f>'Données projet'!D65</f>
        <v>76.509999999999991</v>
      </c>
      <c r="C57" s="191">
        <v>26.75</v>
      </c>
      <c r="D57" s="179">
        <f t="shared" si="4"/>
        <v>2046.6424999999997</v>
      </c>
      <c r="E57" s="193">
        <v>60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45">
      <c r="A58" s="180">
        <f>'Données projet'!A66</f>
        <v>44</v>
      </c>
      <c r="B58" s="181">
        <f>'Données projet'!D66</f>
        <v>78.240000000000009</v>
      </c>
      <c r="C58" s="191">
        <v>26.75</v>
      </c>
      <c r="D58" s="179">
        <f t="shared" si="4"/>
        <v>2092.92</v>
      </c>
      <c r="E58" s="193">
        <v>60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45">
      <c r="A59" s="180">
        <f>'Données projet'!A67</f>
        <v>52</v>
      </c>
      <c r="B59" s="181">
        <f>'Données projet'!D67</f>
        <v>75.70999999999998</v>
      </c>
      <c r="C59" s="191">
        <v>26.75</v>
      </c>
      <c r="D59" s="179">
        <f t="shared" si="4"/>
        <v>2025.2424999999994</v>
      </c>
      <c r="E59" s="193">
        <v>60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45">
      <c r="A60" s="180">
        <f>'Données projet'!A68</f>
        <v>60</v>
      </c>
      <c r="B60" s="181">
        <f>'Données projet'!D68</f>
        <v>437.74</v>
      </c>
      <c r="C60" s="191">
        <v>26.75</v>
      </c>
      <c r="D60" s="179">
        <f t="shared" si="4"/>
        <v>11709.545</v>
      </c>
      <c r="E60" s="193">
        <v>60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4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4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4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4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4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4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4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4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4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4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4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4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4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4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4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45">
      <c r="A76" s="46" t="s">
        <v>167</v>
      </c>
      <c r="B76" s="174" t="str">
        <f>IF('Données projet'!B11="","",'Données projet'!B11)</f>
        <v>Chêne sessile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4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4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4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4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4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4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4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4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45">
      <c r="A85" s="180">
        <f>'Données projet'!A88</f>
        <v>34</v>
      </c>
      <c r="B85" s="181">
        <f>'Données projet'!D88</f>
        <v>36.679999999999978</v>
      </c>
      <c r="C85" s="191">
        <v>12.5</v>
      </c>
      <c r="D85" s="179">
        <f>B85*C85</f>
        <v>458.49999999999972</v>
      </c>
      <c r="E85" s="193">
        <v>60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45">
      <c r="A86" s="180">
        <f>'Données projet'!A89</f>
        <v>42</v>
      </c>
      <c r="B86" s="181">
        <f>'Données projet'!D89</f>
        <v>58.099999999999994</v>
      </c>
      <c r="C86" s="191">
        <v>12.5</v>
      </c>
      <c r="D86" s="179">
        <f t="shared" ref="D86:D104" si="6">B86*C86</f>
        <v>726.24999999999989</v>
      </c>
      <c r="E86" s="193">
        <v>60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45">
      <c r="A87" s="180">
        <f>'Données projet'!A90</f>
        <v>50</v>
      </c>
      <c r="B87" s="181">
        <f>'Données projet'!D90</f>
        <v>70.730000000000018</v>
      </c>
      <c r="C87" s="191">
        <v>12.5</v>
      </c>
      <c r="D87" s="179">
        <f t="shared" si="6"/>
        <v>884.12500000000023</v>
      </c>
      <c r="E87" s="193">
        <v>60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45">
      <c r="A88" s="180">
        <f>'Données projet'!A91</f>
        <v>58</v>
      </c>
      <c r="B88" s="181">
        <f>'Données projet'!D91</f>
        <v>65.819999999999993</v>
      </c>
      <c r="C88" s="191">
        <v>45.375</v>
      </c>
      <c r="D88" s="179">
        <f t="shared" si="6"/>
        <v>2986.5824999999995</v>
      </c>
      <c r="E88" s="193">
        <v>60</v>
      </c>
      <c r="F88" s="232"/>
      <c r="G88" s="205"/>
      <c r="H88" s="190"/>
      <c r="I88" s="191"/>
      <c r="J88" s="4"/>
      <c r="K88" s="173"/>
      <c r="L88" s="4"/>
      <c r="M88" s="4"/>
      <c r="N88" s="4"/>
      <c r="O88" s="194" t="str">
        <f>IF(O87+1&lt;=MIN('Données projet'!$E$9:$E$18),O87+1,"STOP")</f>
        <v>STOP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45">
      <c r="A89" s="180">
        <f>'Données projet'!A92</f>
        <v>66</v>
      </c>
      <c r="B89" s="181">
        <f>'Données projet'!D92</f>
        <v>76.480000000000018</v>
      </c>
      <c r="C89" s="191">
        <v>45.375</v>
      </c>
      <c r="D89" s="179">
        <f t="shared" si="6"/>
        <v>3470.2800000000007</v>
      </c>
      <c r="E89" s="193">
        <v>60</v>
      </c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45">
      <c r="A90" s="180">
        <f>'Données projet'!A93</f>
        <v>74</v>
      </c>
      <c r="B90" s="181">
        <f>'Données projet'!D93</f>
        <v>75.29000000000002</v>
      </c>
      <c r="C90" s="191">
        <v>45.375</v>
      </c>
      <c r="D90" s="179">
        <f t="shared" si="6"/>
        <v>3416.283750000001</v>
      </c>
      <c r="E90" s="193">
        <v>60</v>
      </c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45">
      <c r="A91" s="180">
        <f>'Données projet'!A94</f>
        <v>82</v>
      </c>
      <c r="B91" s="181">
        <f>'Données projet'!D94</f>
        <v>58.140000000000043</v>
      </c>
      <c r="C91" s="191">
        <v>45.375</v>
      </c>
      <c r="D91" s="179">
        <f t="shared" si="6"/>
        <v>2638.1025000000018</v>
      </c>
      <c r="E91" s="193">
        <v>60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45">
      <c r="A92" s="180">
        <f>'Données projet'!A95</f>
        <v>90</v>
      </c>
      <c r="B92" s="181">
        <f>'Données projet'!D95</f>
        <v>68.54000000000002</v>
      </c>
      <c r="C92" s="191">
        <v>45.375</v>
      </c>
      <c r="D92" s="179">
        <f t="shared" si="6"/>
        <v>3110.002500000001</v>
      </c>
      <c r="E92" s="193">
        <v>60</v>
      </c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45">
      <c r="A93" s="180">
        <f>'Données projet'!A96</f>
        <v>100</v>
      </c>
      <c r="B93" s="181">
        <f>'Données projet'!D96</f>
        <v>93.039999999999964</v>
      </c>
      <c r="C93" s="191">
        <v>138</v>
      </c>
      <c r="D93" s="179">
        <f t="shared" si="6"/>
        <v>12839.519999999995</v>
      </c>
      <c r="E93" s="193">
        <v>60</v>
      </c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45">
      <c r="A94" s="180">
        <f>'Données projet'!A97</f>
        <v>110</v>
      </c>
      <c r="B94" s="181">
        <f>'Données projet'!D97</f>
        <v>73.299999999999955</v>
      </c>
      <c r="C94" s="191">
        <v>138</v>
      </c>
      <c r="D94" s="179">
        <f t="shared" si="6"/>
        <v>10115.399999999994</v>
      </c>
      <c r="E94" s="193">
        <v>60</v>
      </c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45">
      <c r="A95" s="180">
        <f>'Données projet'!A98</f>
        <v>120</v>
      </c>
      <c r="B95" s="181">
        <f>'Données projet'!D98</f>
        <v>66.050000000000011</v>
      </c>
      <c r="C95" s="191">
        <v>138</v>
      </c>
      <c r="D95" s="179">
        <f t="shared" si="6"/>
        <v>9114.9000000000015</v>
      </c>
      <c r="E95" s="193">
        <v>60</v>
      </c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45">
      <c r="A96" s="180">
        <f>'Données projet'!A99</f>
        <v>130</v>
      </c>
      <c r="B96" s="181">
        <f>'Données projet'!D99</f>
        <v>75.799999999999955</v>
      </c>
      <c r="C96" s="191">
        <v>138</v>
      </c>
      <c r="D96" s="179">
        <f t="shared" si="6"/>
        <v>10460.399999999994</v>
      </c>
      <c r="E96" s="193">
        <v>60</v>
      </c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45">
      <c r="A97" s="180">
        <f>'Données projet'!A100</f>
        <v>140</v>
      </c>
      <c r="B97" s="181">
        <f>'Données projet'!D100</f>
        <v>74.669999999999959</v>
      </c>
      <c r="C97" s="191">
        <v>138</v>
      </c>
      <c r="D97" s="179">
        <f t="shared" si="6"/>
        <v>10304.459999999994</v>
      </c>
      <c r="E97" s="193">
        <v>60</v>
      </c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45">
      <c r="A98" s="180">
        <f>'Données projet'!A101</f>
        <v>150</v>
      </c>
      <c r="B98" s="181">
        <f>'Données projet'!D101</f>
        <v>259.52</v>
      </c>
      <c r="C98" s="191">
        <v>156.375</v>
      </c>
      <c r="D98" s="179">
        <f t="shared" si="6"/>
        <v>40582.439999999995</v>
      </c>
      <c r="E98" s="193">
        <v>60</v>
      </c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45">
      <c r="A99" s="180">
        <f>'Données projet'!A102</f>
        <v>153</v>
      </c>
      <c r="B99" s="181">
        <f>'Données projet'!D102</f>
        <v>156.29000000000002</v>
      </c>
      <c r="C99" s="191">
        <v>156.375</v>
      </c>
      <c r="D99" s="179">
        <f t="shared" si="6"/>
        <v>24439.848750000005</v>
      </c>
      <c r="E99" s="193">
        <v>60</v>
      </c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45">
      <c r="A100" s="180">
        <f>'Données projet'!A103</f>
        <v>156</v>
      </c>
      <c r="B100" s="181">
        <f>'Données projet'!D103</f>
        <v>96.65</v>
      </c>
      <c r="C100" s="191">
        <v>156.375</v>
      </c>
      <c r="D100" s="179">
        <f t="shared" si="6"/>
        <v>15113.643750000001</v>
      </c>
      <c r="E100" s="193">
        <v>60</v>
      </c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45">
      <c r="A101" s="180">
        <f>'Données projet'!A104</f>
        <v>159</v>
      </c>
      <c r="B101" s="181">
        <f>'Données projet'!D104</f>
        <v>201.48</v>
      </c>
      <c r="C101" s="191">
        <v>156.375</v>
      </c>
      <c r="D101" s="179">
        <f t="shared" si="6"/>
        <v>31506.434999999998</v>
      </c>
      <c r="E101" s="193">
        <v>60</v>
      </c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4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4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4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4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4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45">
      <c r="A107" s="46" t="s">
        <v>168</v>
      </c>
      <c r="B107" s="174" t="str">
        <f>IF('Données projet'!B12="","",'Données projet'!B12)</f>
        <v>Alisier torminal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4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4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4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4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4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4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4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4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45">
      <c r="A116" s="180">
        <f>'Données projet'!A114</f>
        <v>60</v>
      </c>
      <c r="B116" s="181">
        <f>'Données projet'!D114</f>
        <v>72.87</v>
      </c>
      <c r="C116" s="191">
        <v>11.25</v>
      </c>
      <c r="D116" s="179">
        <f>B116*C116</f>
        <v>819.78750000000002</v>
      </c>
      <c r="E116" s="193">
        <v>60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45">
      <c r="A117" s="180">
        <f>'Données projet'!A115</f>
        <v>69</v>
      </c>
      <c r="B117" s="181">
        <f>'Données projet'!D115</f>
        <v>42.22</v>
      </c>
      <c r="C117" s="191">
        <v>11.25</v>
      </c>
      <c r="D117" s="179">
        <f t="shared" ref="D117:D135" si="8">B117*C117</f>
        <v>474.97499999999997</v>
      </c>
      <c r="E117" s="193">
        <v>60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45">
      <c r="A118" s="180">
        <f>'Données projet'!A116</f>
        <v>77</v>
      </c>
      <c r="B118" s="181">
        <f>'Données projet'!D116</f>
        <v>33.950000000000017</v>
      </c>
      <c r="C118" s="191">
        <v>11.25</v>
      </c>
      <c r="D118" s="179">
        <f t="shared" si="8"/>
        <v>381.93750000000017</v>
      </c>
      <c r="E118" s="193">
        <v>60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45">
      <c r="A119" s="180">
        <f>'Données projet'!A117</f>
        <v>86</v>
      </c>
      <c r="B119" s="181">
        <f>'Données projet'!D117</f>
        <v>37.54000000000002</v>
      </c>
      <c r="C119" s="191">
        <v>18.125</v>
      </c>
      <c r="D119" s="179">
        <f t="shared" si="8"/>
        <v>680.41250000000036</v>
      </c>
      <c r="E119" s="193">
        <v>60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45">
      <c r="A120" s="180">
        <f>'Données projet'!A118</f>
        <v>95</v>
      </c>
      <c r="B120" s="181">
        <f>'Données projet'!D118</f>
        <v>42.199999999999989</v>
      </c>
      <c r="C120" s="191">
        <v>18.125</v>
      </c>
      <c r="D120" s="179">
        <f t="shared" si="8"/>
        <v>764.87499999999977</v>
      </c>
      <c r="E120" s="193">
        <v>60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45">
      <c r="A121" s="180">
        <f>'Données projet'!A119</f>
        <v>104</v>
      </c>
      <c r="B121" s="181">
        <f>'Données projet'!D119</f>
        <v>39.400000000000006</v>
      </c>
      <c r="C121" s="191">
        <v>18.125</v>
      </c>
      <c r="D121" s="179">
        <f t="shared" si="8"/>
        <v>714.12500000000011</v>
      </c>
      <c r="E121" s="193">
        <v>60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45">
      <c r="A122" s="180">
        <f>'Données projet'!A120</f>
        <v>113</v>
      </c>
      <c r="B122" s="181">
        <f>'Données projet'!D120</f>
        <v>41.639999999999986</v>
      </c>
      <c r="C122" s="191">
        <v>18.125</v>
      </c>
      <c r="D122" s="179">
        <f t="shared" si="8"/>
        <v>754.7249999999998</v>
      </c>
      <c r="E122" s="193">
        <v>60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45">
      <c r="A123" s="180">
        <f>'Données projet'!A121</f>
        <v>122</v>
      </c>
      <c r="B123" s="181">
        <f>'Données projet'!D121</f>
        <v>45.829999999999984</v>
      </c>
      <c r="C123" s="191">
        <v>18.125</v>
      </c>
      <c r="D123" s="179">
        <f t="shared" si="8"/>
        <v>830.6687499999997</v>
      </c>
      <c r="E123" s="193">
        <v>60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45">
      <c r="A124" s="180">
        <f>'Données projet'!A122</f>
        <v>132</v>
      </c>
      <c r="B124" s="181">
        <f>'Données projet'!D122</f>
        <v>48.699999999999989</v>
      </c>
      <c r="C124" s="191">
        <v>32.1875</v>
      </c>
      <c r="D124" s="179">
        <f t="shared" si="8"/>
        <v>1567.5312499999995</v>
      </c>
      <c r="E124" s="193">
        <v>60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45">
      <c r="A125" s="180">
        <f>'Données projet'!A123</f>
        <v>144</v>
      </c>
      <c r="B125" s="181">
        <f>'Données projet'!D123</f>
        <v>60.949999999999989</v>
      </c>
      <c r="C125" s="191">
        <v>32.1875</v>
      </c>
      <c r="D125" s="179">
        <f t="shared" si="8"/>
        <v>1961.8281249999995</v>
      </c>
      <c r="E125" s="193">
        <v>60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45">
      <c r="A126" s="180">
        <f>'Données projet'!A124</f>
        <v>156</v>
      </c>
      <c r="B126" s="181">
        <f>'Données projet'!D124</f>
        <v>65.69</v>
      </c>
      <c r="C126" s="191">
        <v>32.1875</v>
      </c>
      <c r="D126" s="179">
        <f t="shared" si="8"/>
        <v>2114.3968749999999</v>
      </c>
      <c r="E126" s="193">
        <v>60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45">
      <c r="A127" s="180">
        <f>'Données projet'!A125</f>
        <v>168</v>
      </c>
      <c r="B127" s="181">
        <f>'Données projet'!D125</f>
        <v>71.37</v>
      </c>
      <c r="C127" s="191">
        <v>32.1875</v>
      </c>
      <c r="D127" s="179">
        <f t="shared" si="8"/>
        <v>2297.2218750000002</v>
      </c>
      <c r="E127" s="193">
        <v>60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45">
      <c r="A128" s="180">
        <f>'Données projet'!A126</f>
        <v>180</v>
      </c>
      <c r="B128" s="181">
        <f>'Données projet'!D126</f>
        <v>175.59000000000003</v>
      </c>
      <c r="C128" s="191">
        <v>32.1875</v>
      </c>
      <c r="D128" s="179">
        <f t="shared" si="8"/>
        <v>5651.8031250000013</v>
      </c>
      <c r="E128" s="193">
        <v>60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45">
      <c r="A129" s="180">
        <f>'Données projet'!A127</f>
        <v>184</v>
      </c>
      <c r="B129" s="181">
        <f>'Données projet'!D127</f>
        <v>101.19999999999999</v>
      </c>
      <c r="C129" s="191">
        <v>32.1875</v>
      </c>
      <c r="D129" s="179">
        <f t="shared" si="8"/>
        <v>3257.3749999999995</v>
      </c>
      <c r="E129" s="193">
        <v>60</v>
      </c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45">
      <c r="A130" s="180">
        <f>'Données projet'!A128</f>
        <v>188</v>
      </c>
      <c r="B130" s="181">
        <f>'Données projet'!D128</f>
        <v>72.180000000000007</v>
      </c>
      <c r="C130" s="191">
        <v>32.1875</v>
      </c>
      <c r="D130" s="179">
        <f t="shared" si="8"/>
        <v>2323.2937500000003</v>
      </c>
      <c r="E130" s="193">
        <v>60</v>
      </c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45">
      <c r="A131" s="180">
        <f>'Données projet'!A129</f>
        <v>191</v>
      </c>
      <c r="B131" s="181">
        <f>'Données projet'!D129</f>
        <v>145.01</v>
      </c>
      <c r="C131" s="191">
        <v>32.1875</v>
      </c>
      <c r="D131" s="179">
        <f t="shared" si="8"/>
        <v>4667.5093749999996</v>
      </c>
      <c r="E131" s="193">
        <v>60</v>
      </c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4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4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4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4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4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4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45">
      <c r="A138" s="46" t="s">
        <v>169</v>
      </c>
      <c r="B138" s="174" t="str">
        <f>IF('Données projet'!B13="","",'Données projet'!B13)</f>
        <v>Merisier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4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4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4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4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45">
      <c r="A143" s="49">
        <v>2</v>
      </c>
      <c r="B143" s="199" t="s">
        <v>132</v>
      </c>
      <c r="C143" s="198"/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45">
      <c r="A144" s="49">
        <v>3</v>
      </c>
      <c r="B144" s="199" t="s">
        <v>132</v>
      </c>
      <c r="C144" s="198"/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45">
      <c r="A145" s="49">
        <v>4</v>
      </c>
      <c r="B145" s="199" t="s">
        <v>132</v>
      </c>
      <c r="C145" s="198"/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45">
      <c r="A146" s="49">
        <v>5</v>
      </c>
      <c r="B146" s="199" t="s">
        <v>132</v>
      </c>
      <c r="C146" s="198"/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45">
      <c r="A147" s="42">
        <f>'Données projet'!A140</f>
        <v>15</v>
      </c>
      <c r="B147" s="175">
        <f>'Données projet'!D140</f>
        <v>1.9230769230769229</v>
      </c>
      <c r="C147" s="191">
        <v>13.1625</v>
      </c>
      <c r="D147" s="182">
        <f>B147*C147</f>
        <v>25.312499999999996</v>
      </c>
      <c r="E147" s="193">
        <v>60</v>
      </c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45">
      <c r="A148" s="42">
        <f>'Données projet'!A141</f>
        <v>20</v>
      </c>
      <c r="B148" s="175">
        <f>'Données projet'!D141</f>
        <v>16.025641025641026</v>
      </c>
      <c r="C148" s="191">
        <v>13.1625</v>
      </c>
      <c r="D148" s="182">
        <f t="shared" ref="D148:D166" si="10">B148*C148</f>
        <v>210.9375</v>
      </c>
      <c r="E148" s="193">
        <v>60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45">
      <c r="A149" s="42">
        <f>'Données projet'!A142</f>
        <v>25</v>
      </c>
      <c r="B149" s="175">
        <f>'Données projet'!D142</f>
        <v>17.307692307692307</v>
      </c>
      <c r="C149" s="191">
        <v>13.1625</v>
      </c>
      <c r="D149" s="182">
        <f t="shared" si="10"/>
        <v>227.81249999999997</v>
      </c>
      <c r="E149" s="193">
        <v>60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45">
      <c r="A150" s="42">
        <f>'Données projet'!A143</f>
        <v>31</v>
      </c>
      <c r="B150" s="175">
        <f>'Données projet'!D143</f>
        <v>23.076923076923077</v>
      </c>
      <c r="C150" s="191">
        <v>21.206250000000001</v>
      </c>
      <c r="D150" s="182">
        <f t="shared" si="10"/>
        <v>489.375</v>
      </c>
      <c r="E150" s="193">
        <v>60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45">
      <c r="A151" s="42">
        <f>'Données projet'!A144</f>
        <v>37</v>
      </c>
      <c r="B151" s="175">
        <f>'Données projet'!D144</f>
        <v>23.076923076923077</v>
      </c>
      <c r="C151" s="191">
        <v>21.206250000000001</v>
      </c>
      <c r="D151" s="182">
        <f t="shared" si="10"/>
        <v>489.375</v>
      </c>
      <c r="E151" s="193">
        <v>60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45">
      <c r="A152" s="42">
        <f>'Données projet'!A145</f>
        <v>44</v>
      </c>
      <c r="B152" s="175">
        <f>'Données projet'!D145</f>
        <v>27.564102564102562</v>
      </c>
      <c r="C152" s="191">
        <v>21.206250000000001</v>
      </c>
      <c r="D152" s="182">
        <f t="shared" si="10"/>
        <v>584.53125</v>
      </c>
      <c r="E152" s="193">
        <v>60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45">
      <c r="A153" s="42">
        <f>'Données projet'!A146</f>
        <v>52</v>
      </c>
      <c r="B153" s="175">
        <f>'Données projet'!D146</f>
        <v>30.769230769230766</v>
      </c>
      <c r="C153" s="191">
        <v>21.206250000000001</v>
      </c>
      <c r="D153" s="182">
        <f t="shared" si="10"/>
        <v>652.5</v>
      </c>
      <c r="E153" s="193">
        <v>60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45">
      <c r="A154" s="42">
        <f>'Données projet'!A147</f>
        <v>60</v>
      </c>
      <c r="B154" s="175">
        <f>'Données projet'!D147</f>
        <v>30.128205128205128</v>
      </c>
      <c r="C154" s="191">
        <v>24.862500000000001</v>
      </c>
      <c r="D154" s="182">
        <f t="shared" si="10"/>
        <v>749.0625</v>
      </c>
      <c r="E154" s="193">
        <v>60</v>
      </c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45">
      <c r="A155" s="42">
        <f>'Données projet'!A148</f>
        <v>69</v>
      </c>
      <c r="B155" s="175">
        <f>'Données projet'!D148</f>
        <v>210.25641025641025</v>
      </c>
      <c r="C155" s="191">
        <v>26.690625000000001</v>
      </c>
      <c r="D155" s="182">
        <f t="shared" si="10"/>
        <v>5611.875</v>
      </c>
      <c r="E155" s="193">
        <v>60</v>
      </c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4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4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4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4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4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4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4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4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4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4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4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4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4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4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4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4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4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4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4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4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4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4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4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4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4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4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4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4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4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4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4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4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4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4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4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4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4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4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4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4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4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4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4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4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4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4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4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4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4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4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4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4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4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4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4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4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4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4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4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4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4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4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4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4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4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4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4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4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4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4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4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4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4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4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4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4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4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4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4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4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4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4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4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4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4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4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4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4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4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4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4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4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4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4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4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4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4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4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4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4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4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4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4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4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4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4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4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4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4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4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4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4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4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4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4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4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4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4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4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4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4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4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4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4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4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4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4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4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4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4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4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4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4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4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4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4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4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4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4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4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4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4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4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4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4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4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4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4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4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4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4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4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4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4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4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4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4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4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4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4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4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4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4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4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4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4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4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4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4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4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4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4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4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4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4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4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4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4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4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4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4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4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4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4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4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4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4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4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4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4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4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4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4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4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4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4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4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4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4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4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4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4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4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4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4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4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4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4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4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4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4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4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4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4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4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4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4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4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4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4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4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4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4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4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4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4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4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4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4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4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4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4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4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4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4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4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4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4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4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4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4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4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4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4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4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4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4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4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4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4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4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4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4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4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4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4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4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4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4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4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4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4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4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4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4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4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4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4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4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4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4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4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4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4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4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4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4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4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4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4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4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4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4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4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4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4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4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4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4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4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4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4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4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4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4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4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4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4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4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4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4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4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4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4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4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4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4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4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4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4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4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4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4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4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4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4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4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4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4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4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4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4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4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4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4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4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4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4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4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4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4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4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4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4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4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4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4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4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4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4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4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4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4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4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4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4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4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4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4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4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4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4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4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4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4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4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4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4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4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4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4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4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4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4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4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4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4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4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4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4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4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4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4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4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4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4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4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4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4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4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4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4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4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4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4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4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4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4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4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4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4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4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4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4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4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4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4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6" ma:contentTypeDescription="Create a new document." ma:contentTypeScope="" ma:versionID="b650ad57ab3a7623fd3df204a7303bfb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87e2e07588c417d1119dc0de3bcdcb0c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FAA7A5-08E0-4AB3-A520-642EC6EE8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205DCA-6742-4355-9597-9D6EAA81C88C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customXml/itemProps3.xml><?xml version="1.0" encoding="utf-8"?>
<ds:datastoreItem xmlns:ds="http://schemas.openxmlformats.org/officeDocument/2006/customXml" ds:itemID="{C7D0A96B-8F16-4B0F-8C8F-516B5F47D8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REE</vt:lpstr>
      <vt:lpstr>Scénario référence</vt:lpstr>
      <vt:lpstr>Calculateur</vt:lpstr>
      <vt:lpstr>Paramètres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Lucas ELLENS</cp:lastModifiedBy>
  <dcterms:created xsi:type="dcterms:W3CDTF">2021-02-01T08:22:39Z</dcterms:created>
  <dcterms:modified xsi:type="dcterms:W3CDTF">2024-02-13T10:12:04Z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2104800</vt:r8>
  </property>
  <property fmtid="{D5CDD505-2E9C-101B-9397-08002B2CF9AE}" pid="4" name="MediaServiceImageTags">
    <vt:lpwstr/>
  </property>
</Properties>
</file>