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S:\Sylviculture &amp; Gestion\Clients\GARRIGOU\LBC P3'\DOCS LBC\"/>
    </mc:Choice>
  </mc:AlternateContent>
  <xr:revisionPtr revIDLastSave="0" documentId="13_ncr:1_{5A532758-B7F0-4ADB-8EE8-A5DD4F936F71}" xr6:coauthVersionLast="47" xr6:coauthVersionMax="47" xr10:uidLastSave="{00000000-0000-0000-0000-000000000000}"/>
  <bookViews>
    <workbookView xWindow="-30828" yWindow="-12" windowWidth="30936" windowHeight="16896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1" i="1" l="1"/>
  <c r="B70" i="1"/>
  <c r="B69" i="1"/>
  <c r="B68" i="1"/>
  <c r="B67" i="1"/>
  <c r="B66" i="1"/>
  <c r="B65" i="1"/>
  <c r="B64" i="1"/>
  <c r="B63" i="1"/>
  <c r="D45" i="1"/>
  <c r="B45" i="1"/>
  <c r="B44" i="1"/>
  <c r="B43" i="1"/>
  <c r="B42" i="1"/>
  <c r="B41" i="1"/>
  <c r="B40" i="1"/>
  <c r="B39" i="1"/>
  <c r="B38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EA4" i="2" s="1"/>
  <c r="GI4" i="2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EA6" i="2" s="1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HH6" i="2" l="1"/>
  <c r="FR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EB7" i="2" s="1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A7" i="2" l="1"/>
  <c r="EW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HH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I13" i="2" l="1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A22" i="2"/>
  <c r="EW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A35" i="2" l="1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W38" i="2"/>
  <c r="EA38" i="2"/>
  <c r="HH38" i="2"/>
  <c r="EX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H44" i="2"/>
  <c r="EC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G48" i="2" l="1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G50" i="2" l="1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EV57" i="2"/>
  <c r="HH57" i="2"/>
  <c r="EB57" i="2"/>
  <c r="HG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H60" i="2" l="1"/>
  <c r="EW60" i="2"/>
  <c r="HG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B62" i="2" l="1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EV64" i="2" s="1"/>
  <c r="DX64" i="2"/>
  <c r="EA64" i="2" s="1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EB70" i="2" s="1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G70" i="2" l="1"/>
  <c r="HI70" i="2"/>
  <c r="EW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EW71" i="2" s="1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EC84" i="2" l="1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EV85" i="2" s="1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HI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V105" i="2" l="1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EB108" i="2" s="1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FS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X113" i="2"/>
  <c r="FS113" i="2"/>
  <c r="EB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EW114" i="2" s="1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H114" i="2" l="1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HI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EA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EV128" i="2" s="1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HG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X130" i="2"/>
  <c r="EB130" i="2"/>
  <c r="HH130" i="2"/>
  <c r="FS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EC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EV133" i="2" s="1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EB141" i="2" s="1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X141" i="2" l="1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EX144" i="2"/>
  <c r="HH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I146" i="2" l="1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HI147" i="2" l="1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EC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HG150" i="2"/>
  <c r="EV150" i="2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HH154" i="2" l="1"/>
  <c r="EX154" i="2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FS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V158" i="2" l="1"/>
  <c r="HG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Y159" i="2"/>
  <c r="HI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B161" i="2" l="1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HH162" i="2" l="1"/>
  <c r="HG162" i="2"/>
  <c r="EB162" i="2"/>
  <c r="FS162" i="2"/>
  <c r="AU162" i="2"/>
  <c r="EX162" i="2"/>
  <c r="EA162" i="2"/>
  <c r="ED162" i="2" s="1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A163" i="2" l="1"/>
  <c r="EV163" i="2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EV164" i="2" s="1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A164" i="2"/>
  <c r="EX164" i="2"/>
  <c r="DI163" i="2"/>
  <c r="DH164" i="2"/>
  <c r="FS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A167" i="2" l="1"/>
  <c r="HH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EX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I172" i="2" l="1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EW175" i="2" s="1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A175" i="2"/>
  <c r="FS175" i="2"/>
  <c r="HI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HB178" i="2"/>
  <c r="HC178" i="2"/>
  <c r="GI178" i="2"/>
  <c r="FP178" i="2"/>
  <c r="HD178" i="2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EB178" i="2"/>
  <c r="HG178" i="2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EB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HG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DG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EB183" i="2" s="1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FS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Y184" i="2" s="1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A185" i="2" l="1"/>
  <c r="EV185" i="2"/>
  <c r="EW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R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H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V189" i="2" l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W191" i="2" l="1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C192" i="2" l="1"/>
  <c r="EW192" i="2"/>
  <c r="HG192" i="2"/>
  <c r="EA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HI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HG195" i="2" l="1"/>
  <c r="AA195" i="2"/>
  <c r="EA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FS196" i="2" l="1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EV198" i="2" s="1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FS198" i="2" l="1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H199" i="2" l="1"/>
  <c r="EV199" i="2"/>
  <c r="FS199" i="2"/>
  <c r="EW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/>
  <c r="DI200" i="2"/>
  <c r="FS201" i="2" l="1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X202" i="2" l="1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P203" i="2" l="1"/>
  <c r="HG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<sst xmlns="http://schemas.openxmlformats.org/spreadsheetml/2006/main" count="1171" uniqueCount="324">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</sst>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2.1092085567804149</c:v>
                </c:pt>
                <c:pt idx="2">
                  <c:v>2.8690068673716276</c:v>
                </c:pt>
                <c:pt idx="3">
                  <c:v>3.9036654477309445</c:v>
                </c:pt>
                <c:pt idx="4">
                  <c:v>5.3130109258366689</c:v>
                </c:pt>
                <c:pt idx="5">
                  <c:v>7.2332599189088382</c:v>
                </c:pt>
                <c:pt idx="6">
                  <c:v>9.8503295906308832</c:v>
                </c:pt>
                <c:pt idx="7">
                  <c:v>13.418032112102033</c:v>
                </c:pt>
                <c:pt idx="8">
                  <c:v>18.282950136336385</c:v>
                </c:pt>
                <c:pt idx="9">
                  <c:v>24.918453380211091</c:v>
                </c:pt>
                <c:pt idx="10">
                  <c:v>33.971224547806742</c:v>
                </c:pt>
                <c:pt idx="11">
                  <c:v>46.324906967585214</c:v>
                </c:pt>
                <c:pt idx="12">
                  <c:v>63.187191019914216</c:v>
                </c:pt>
                <c:pt idx="13">
                  <c:v>83.488899475540265</c:v>
                </c:pt>
                <c:pt idx="14">
                  <c:v>103.66519566736689</c:v>
                </c:pt>
                <c:pt idx="15">
                  <c:v>123.74409768687555</c:v>
                </c:pt>
                <c:pt idx="16">
                  <c:v>143.74369273961921</c:v>
                </c:pt>
                <c:pt idx="17">
                  <c:v>133.57348387799991</c:v>
                </c:pt>
                <c:pt idx="18">
                  <c:v>155.9773303229338</c:v>
                </c:pt>
                <c:pt idx="19">
                  <c:v>178.30464667323099</c:v>
                </c:pt>
                <c:pt idx="20">
                  <c:v>200.5663743561463</c:v>
                </c:pt>
                <c:pt idx="21">
                  <c:v>182.71012786498821</c:v>
                </c:pt>
                <c:pt idx="22">
                  <c:v>208.44739368904513</c:v>
                </c:pt>
                <c:pt idx="23">
                  <c:v>234.11124817795204</c:v>
                </c:pt>
                <c:pt idx="24">
                  <c:v>259.71087111615634</c:v>
                </c:pt>
                <c:pt idx="25">
                  <c:v>230.08557934702876</c:v>
                </c:pt>
                <c:pt idx="26">
                  <c:v>255.66263432728726</c:v>
                </c:pt>
                <c:pt idx="27">
                  <c:v>281.18178557188253</c:v>
                </c:pt>
                <c:pt idx="28">
                  <c:v>306.64902461461696</c:v>
                </c:pt>
                <c:pt idx="29">
                  <c:v>277.5578261052076</c:v>
                </c:pt>
                <c:pt idx="30">
                  <c:v>301.52746504321459</c:v>
                </c:pt>
                <c:pt idx="31">
                  <c:v>325.45469493676904</c:v>
                </c:pt>
                <c:pt idx="32">
                  <c:v>349.3430700085691</c:v>
                </c:pt>
                <c:pt idx="33">
                  <c:v>373.19561882188344</c:v>
                </c:pt>
                <c:pt idx="34">
                  <c:v>397.0149513522162</c:v>
                </c:pt>
                <c:pt idx="35">
                  <c:v>339.57504464240793</c:v>
                </c:pt>
                <c:pt idx="36">
                  <c:v>358.5310296135292</c:v>
                </c:pt>
                <c:pt idx="37">
                  <c:v>377.46509105219997</c:v>
                </c:pt>
                <c:pt idx="38">
                  <c:v>396.3784829009673</c:v>
                </c:pt>
                <c:pt idx="39">
                  <c:v>415.27232971683731</c:v>
                </c:pt>
                <c:pt idx="40">
                  <c:v>434.14764542220854</c:v>
                </c:pt>
                <c:pt idx="41">
                  <c:v>404.84171743812584</c:v>
                </c:pt>
                <c:pt idx="42">
                  <c:v>418.89627246995241</c:v>
                </c:pt>
                <c:pt idx="43">
                  <c:v>432.94067027087976</c:v>
                </c:pt>
                <c:pt idx="44">
                  <c:v>446.97528670607409</c:v>
                </c:pt>
                <c:pt idx="45">
                  <c:v>461.00047211515522</c:v>
                </c:pt>
                <c:pt idx="46">
                  <c:v>475.01655378575714</c:v>
                </c:pt>
                <c:pt idx="47">
                  <c:v>457.25709576545205</c:v>
                </c:pt>
                <c:pt idx="48">
                  <c:v>466.51918419318849</c:v>
                </c:pt>
                <c:pt idx="49">
                  <c:v>475.77735351010136</c:v>
                </c:pt>
                <c:pt idx="50">
                  <c:v>485.03169075090017</c:v>
                </c:pt>
                <c:pt idx="51">
                  <c:v>494.28227935737868</c:v>
                </c:pt>
                <c:pt idx="52">
                  <c:v>503.52919939265217</c:v>
                </c:pt>
                <c:pt idx="53">
                  <c:v>512.77252773883436</c:v>
                </c:pt>
                <c:pt idx="54">
                  <c:v>522.01233827972089</c:v>
                </c:pt>
                <c:pt idx="55">
                  <c:v>503.82998023383288</c:v>
                </c:pt>
                <c:pt idx="56">
                  <c:v>507.67647479696649</c:v>
                </c:pt>
                <c:pt idx="57">
                  <c:v>511.52235334624737</c:v>
                </c:pt>
                <c:pt idx="58">
                  <c:v>515.3676211703862</c:v>
                </c:pt>
                <c:pt idx="59">
                  <c:v>519.2122834726739</c:v>
                </c:pt>
                <c:pt idx="60">
                  <c:v>523.05634537299545</c:v>
                </c:pt>
                <c:pt idx="61">
                  <c:v>526.89981190978597</c:v>
                </c:pt>
                <c:pt idx="62">
                  <c:v>530.74268804192309</c:v>
                </c:pt>
                <c:pt idx="63">
                  <c:v>6.8067219078872727E-12</c:v>
                </c:pt>
                <c:pt idx="64">
                  <c:v>6.8067219078872727E-12</c:v>
                </c:pt>
                <c:pt idx="65">
                  <c:v>6.8067219078872727E-12</c:v>
                </c:pt>
                <c:pt idx="66">
                  <c:v>6.8067219078872727E-12</c:v>
                </c:pt>
                <c:pt idx="67">
                  <c:v>6.8067219078872727E-12</c:v>
                </c:pt>
                <c:pt idx="68">
                  <c:v>6.8067219078872727E-12</c:v>
                </c:pt>
                <c:pt idx="69">
                  <c:v>6.8067219078872727E-12</c:v>
                </c:pt>
                <c:pt idx="70">
                  <c:v>6.8067219078872727E-12</c:v>
                </c:pt>
                <c:pt idx="71">
                  <c:v>6.8067219078872727E-12</c:v>
                </c:pt>
                <c:pt idx="72">
                  <c:v>6.8067219078872727E-12</c:v>
                </c:pt>
                <c:pt idx="73">
                  <c:v>6.8067219078872727E-12</c:v>
                </c:pt>
                <c:pt idx="74">
                  <c:v>6.8067219078872727E-12</c:v>
                </c:pt>
                <c:pt idx="75">
                  <c:v>6.8067219078872727E-12</c:v>
                </c:pt>
                <c:pt idx="76">
                  <c:v>6.8067219078872727E-12</c:v>
                </c:pt>
                <c:pt idx="77">
                  <c:v>6.8067219078872727E-12</c:v>
                </c:pt>
                <c:pt idx="78">
                  <c:v>6.8067219078872727E-12</c:v>
                </c:pt>
                <c:pt idx="79">
                  <c:v>6.8067219078872727E-12</c:v>
                </c:pt>
                <c:pt idx="80">
                  <c:v>6.8067219078872727E-12</c:v>
                </c:pt>
                <c:pt idx="81">
                  <c:v>6.8067219078872727E-12</c:v>
                </c:pt>
                <c:pt idx="82">
                  <c:v>6.8067219078872727E-12</c:v>
                </c:pt>
                <c:pt idx="83">
                  <c:v>6.8067219078872727E-12</c:v>
                </c:pt>
                <c:pt idx="84">
                  <c:v>6.8067219078872727E-12</c:v>
                </c:pt>
                <c:pt idx="85">
                  <c:v>6.8067219078872727E-12</c:v>
                </c:pt>
                <c:pt idx="86">
                  <c:v>6.8067219078872727E-12</c:v>
                </c:pt>
                <c:pt idx="87">
                  <c:v>6.8067219078872727E-12</c:v>
                </c:pt>
                <c:pt idx="88">
                  <c:v>6.8067219078872727E-12</c:v>
                </c:pt>
                <c:pt idx="89">
                  <c:v>6.8067219078872727E-12</c:v>
                </c:pt>
                <c:pt idx="90">
                  <c:v>6.8067219078872727E-12</c:v>
                </c:pt>
                <c:pt idx="91">
                  <c:v>6.8067219078872727E-12</c:v>
                </c:pt>
                <c:pt idx="92">
                  <c:v>6.8067219078872727E-12</c:v>
                </c:pt>
                <c:pt idx="93">
                  <c:v>6.8067219078872727E-12</c:v>
                </c:pt>
                <c:pt idx="94">
                  <c:v>6.8067219078872727E-12</c:v>
                </c:pt>
                <c:pt idx="95">
                  <c:v>6.8067219078872727E-12</c:v>
                </c:pt>
                <c:pt idx="96">
                  <c:v>6.8067219078872727E-12</c:v>
                </c:pt>
                <c:pt idx="97">
                  <c:v>6.8067219078872727E-12</c:v>
                </c:pt>
                <c:pt idx="98">
                  <c:v>6.8067219078872727E-12</c:v>
                </c:pt>
                <c:pt idx="99">
                  <c:v>6.8067219078872727E-12</c:v>
                </c:pt>
                <c:pt idx="100">
                  <c:v>6.8067219078872727E-12</c:v>
                </c:pt>
                <c:pt idx="101">
                  <c:v>6.8067219078872727E-12</c:v>
                </c:pt>
                <c:pt idx="102">
                  <c:v>6.8067219078872727E-12</c:v>
                </c:pt>
                <c:pt idx="103">
                  <c:v>6.8067219078872727E-12</c:v>
                </c:pt>
                <c:pt idx="104">
                  <c:v>6.8067219078872727E-12</c:v>
                </c:pt>
                <c:pt idx="105">
                  <c:v>6.8067219078872727E-12</c:v>
                </c:pt>
                <c:pt idx="106">
                  <c:v>6.8067219078872727E-12</c:v>
                </c:pt>
                <c:pt idx="107">
                  <c:v>6.8067219078872727E-12</c:v>
                </c:pt>
                <c:pt idx="108">
                  <c:v>6.8067219078872727E-12</c:v>
                </c:pt>
                <c:pt idx="109">
                  <c:v>6.8067219078872727E-12</c:v>
                </c:pt>
                <c:pt idx="110">
                  <c:v>6.8067219078872727E-12</c:v>
                </c:pt>
                <c:pt idx="111">
                  <c:v>6.8067219078872727E-12</c:v>
                </c:pt>
                <c:pt idx="112">
                  <c:v>6.8067219078872727E-12</c:v>
                </c:pt>
                <c:pt idx="113">
                  <c:v>6.8067219078872727E-12</c:v>
                </c:pt>
                <c:pt idx="114">
                  <c:v>6.8067219078872727E-12</c:v>
                </c:pt>
                <c:pt idx="115">
                  <c:v>6.8067219078872727E-12</c:v>
                </c:pt>
                <c:pt idx="116">
                  <c:v>6.8067219078872727E-12</c:v>
                </c:pt>
                <c:pt idx="117">
                  <c:v>6.8067219078872727E-12</c:v>
                </c:pt>
                <c:pt idx="118">
                  <c:v>6.8067219078872727E-12</c:v>
                </c:pt>
                <c:pt idx="119">
                  <c:v>6.8067219078872727E-12</c:v>
                </c:pt>
                <c:pt idx="120">
                  <c:v>6.8067219078872727E-12</c:v>
                </c:pt>
                <c:pt idx="121">
                  <c:v>6.8067219078872727E-12</c:v>
                </c:pt>
                <c:pt idx="122">
                  <c:v>6.8067219078872727E-12</c:v>
                </c:pt>
                <c:pt idx="123">
                  <c:v>6.8067219078872727E-12</c:v>
                </c:pt>
                <c:pt idx="124">
                  <c:v>6.8067219078872727E-12</c:v>
                </c:pt>
                <c:pt idx="125">
                  <c:v>6.8067219078872727E-12</c:v>
                </c:pt>
                <c:pt idx="126">
                  <c:v>6.8067219078872727E-12</c:v>
                </c:pt>
                <c:pt idx="127">
                  <c:v>6.8067219078872727E-12</c:v>
                </c:pt>
                <c:pt idx="128">
                  <c:v>6.8067219078872727E-12</c:v>
                </c:pt>
                <c:pt idx="129">
                  <c:v>6.8067219078872727E-12</c:v>
                </c:pt>
                <c:pt idx="130">
                  <c:v>6.8067219078872727E-12</c:v>
                </c:pt>
                <c:pt idx="131">
                  <c:v>6.8067219078872727E-12</c:v>
                </c:pt>
                <c:pt idx="132">
                  <c:v>6.8067219078872727E-12</c:v>
                </c:pt>
                <c:pt idx="133">
                  <c:v>6.8067219078872727E-12</c:v>
                </c:pt>
                <c:pt idx="134">
                  <c:v>6.8067219078872727E-12</c:v>
                </c:pt>
                <c:pt idx="135">
                  <c:v>6.8067219078872727E-12</c:v>
                </c:pt>
                <c:pt idx="136">
                  <c:v>6.8067219078872727E-12</c:v>
                </c:pt>
                <c:pt idx="137">
                  <c:v>6.8067219078872727E-12</c:v>
                </c:pt>
                <c:pt idx="138">
                  <c:v>6.8067219078872727E-12</c:v>
                </c:pt>
                <c:pt idx="139">
                  <c:v>6.8067219078872727E-12</c:v>
                </c:pt>
                <c:pt idx="140">
                  <c:v>6.8067219078872727E-12</c:v>
                </c:pt>
                <c:pt idx="141">
                  <c:v>6.8067219078872727E-12</c:v>
                </c:pt>
                <c:pt idx="142">
                  <c:v>6.8067219078872727E-12</c:v>
                </c:pt>
                <c:pt idx="143">
                  <c:v>6.8067219078872727E-12</c:v>
                </c:pt>
                <c:pt idx="144">
                  <c:v>6.8067219078872727E-12</c:v>
                </c:pt>
                <c:pt idx="145">
                  <c:v>6.8067219078872727E-12</c:v>
                </c:pt>
                <c:pt idx="146">
                  <c:v>6.8067219078872727E-12</c:v>
                </c:pt>
                <c:pt idx="147">
                  <c:v>6.8067219078872727E-12</c:v>
                </c:pt>
                <c:pt idx="148">
                  <c:v>6.8067219078872727E-12</c:v>
                </c:pt>
                <c:pt idx="149">
                  <c:v>6.8067219078872727E-12</c:v>
                </c:pt>
                <c:pt idx="150">
                  <c:v>6.8067219078872727E-12</c:v>
                </c:pt>
                <c:pt idx="151">
                  <c:v>6.8067219078872727E-12</c:v>
                </c:pt>
                <c:pt idx="152">
                  <c:v>6.8067219078872727E-12</c:v>
                </c:pt>
                <c:pt idx="153">
                  <c:v>6.8067219078872727E-12</c:v>
                </c:pt>
                <c:pt idx="154">
                  <c:v>6.8067219078872727E-12</c:v>
                </c:pt>
                <c:pt idx="155">
                  <c:v>6.8067219078872727E-12</c:v>
                </c:pt>
                <c:pt idx="156">
                  <c:v>6.8067219078872727E-12</c:v>
                </c:pt>
                <c:pt idx="157">
                  <c:v>6.8067219078872727E-12</c:v>
                </c:pt>
                <c:pt idx="158">
                  <c:v>6.8067219078872727E-12</c:v>
                </c:pt>
                <c:pt idx="159">
                  <c:v>6.8067219078872727E-12</c:v>
                </c:pt>
                <c:pt idx="160">
                  <c:v>6.8067219078872727E-12</c:v>
                </c:pt>
                <c:pt idx="161">
                  <c:v>6.8067219078872727E-12</c:v>
                </c:pt>
                <c:pt idx="162">
                  <c:v>6.8067219078872727E-12</c:v>
                </c:pt>
                <c:pt idx="163">
                  <c:v>6.8067219078872727E-12</c:v>
                </c:pt>
                <c:pt idx="164">
                  <c:v>6.8067219078872727E-12</c:v>
                </c:pt>
                <c:pt idx="165">
                  <c:v>6.8067219078872727E-12</c:v>
                </c:pt>
                <c:pt idx="166">
                  <c:v>6.8067219078872727E-12</c:v>
                </c:pt>
                <c:pt idx="167">
                  <c:v>6.8067219078872727E-12</c:v>
                </c:pt>
                <c:pt idx="168">
                  <c:v>6.8067219078872727E-12</c:v>
                </c:pt>
                <c:pt idx="169">
                  <c:v>6.8067219078872727E-12</c:v>
                </c:pt>
                <c:pt idx="170">
                  <c:v>6.8067219078872727E-12</c:v>
                </c:pt>
                <c:pt idx="171">
                  <c:v>6.8067219078872727E-12</c:v>
                </c:pt>
                <c:pt idx="172">
                  <c:v>6.8067219078872727E-12</c:v>
                </c:pt>
                <c:pt idx="173">
                  <c:v>6.8067219078872727E-12</c:v>
                </c:pt>
                <c:pt idx="174">
                  <c:v>6.8067219078872727E-12</c:v>
                </c:pt>
                <c:pt idx="175">
                  <c:v>6.8067219078872727E-12</c:v>
                </c:pt>
                <c:pt idx="176">
                  <c:v>6.8067219078872727E-12</c:v>
                </c:pt>
                <c:pt idx="177">
                  <c:v>6.8067219078872727E-12</c:v>
                </c:pt>
                <c:pt idx="178">
                  <c:v>6.8067219078872727E-12</c:v>
                </c:pt>
                <c:pt idx="179">
                  <c:v>6.8067219078872727E-12</c:v>
                </c:pt>
                <c:pt idx="180">
                  <c:v>6.8067219078872727E-12</c:v>
                </c:pt>
                <c:pt idx="181">
                  <c:v>6.8067219078872727E-12</c:v>
                </c:pt>
                <c:pt idx="182">
                  <c:v>6.8067219078872727E-12</c:v>
                </c:pt>
                <c:pt idx="183">
                  <c:v>6.8067219078872727E-12</c:v>
                </c:pt>
                <c:pt idx="184">
                  <c:v>6.8067219078872727E-12</c:v>
                </c:pt>
                <c:pt idx="185">
                  <c:v>6.8067219078872727E-12</c:v>
                </c:pt>
                <c:pt idx="186">
                  <c:v>6.8067219078872727E-12</c:v>
                </c:pt>
                <c:pt idx="187">
                  <c:v>6.8067219078872727E-12</c:v>
                </c:pt>
                <c:pt idx="188">
                  <c:v>6.8067219078872727E-12</c:v>
                </c:pt>
                <c:pt idx="189">
                  <c:v>6.8067219078872727E-12</c:v>
                </c:pt>
                <c:pt idx="190">
                  <c:v>6.8067219078872727E-12</c:v>
                </c:pt>
                <c:pt idx="191">
                  <c:v>6.8067219078872727E-12</c:v>
                </c:pt>
                <c:pt idx="192">
                  <c:v>6.8067219078872727E-12</c:v>
                </c:pt>
                <c:pt idx="193">
                  <c:v>6.8067219078872727E-12</c:v>
                </c:pt>
                <c:pt idx="194">
                  <c:v>6.8067219078872727E-12</c:v>
                </c:pt>
                <c:pt idx="195">
                  <c:v>6.8067219078872727E-12</c:v>
                </c:pt>
                <c:pt idx="196">
                  <c:v>6.8067219078872727E-12</c:v>
                </c:pt>
                <c:pt idx="197">
                  <c:v>6.8067219078872727E-12</c:v>
                </c:pt>
                <c:pt idx="198">
                  <c:v>6.8067219078872727E-12</c:v>
                </c:pt>
                <c:pt idx="199">
                  <c:v>6.8067219078872727E-12</c:v>
                </c:pt>
                <c:pt idx="200">
                  <c:v>6.8067219078872727E-12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2.6519655211592874</c:v>
                </c:pt>
                <c:pt idx="2">
                  <c:v>3.2610223314459752</c:v>
                </c:pt>
                <c:pt idx="3">
                  <c:v>4.0104905158163051</c:v>
                </c:pt>
                <c:pt idx="4">
                  <c:v>4.9328564726428068</c:v>
                </c:pt>
                <c:pt idx="5">
                  <c:v>6.068147991440398</c:v>
                </c:pt>
                <c:pt idx="6">
                  <c:v>7.4656903389318279</c:v>
                </c:pt>
                <c:pt idx="7">
                  <c:v>9.1862724344194735</c:v>
                </c:pt>
                <c:pt idx="8">
                  <c:v>11.304819130811806</c:v>
                </c:pt>
                <c:pt idx="9">
                  <c:v>13.913688152008866</c:v>
                </c:pt>
                <c:pt idx="10">
                  <c:v>17.126738071781514</c:v>
                </c:pt>
                <c:pt idx="11">
                  <c:v>21.084348102790369</c:v>
                </c:pt>
                <c:pt idx="12">
                  <c:v>25.959612940843225</c:v>
                </c:pt>
                <c:pt idx="13">
                  <c:v>31.965988387315338</c:v>
                </c:pt>
                <c:pt idx="14">
                  <c:v>39.366728311080898</c:v>
                </c:pt>
                <c:pt idx="15">
                  <c:v>48.486533626988098</c:v>
                </c:pt>
                <c:pt idx="16">
                  <c:v>59.725932966858835</c:v>
                </c:pt>
                <c:pt idx="17">
                  <c:v>73.579037059713301</c:v>
                </c:pt>
                <c:pt idx="18">
                  <c:v>90.655460033245092</c:v>
                </c:pt>
                <c:pt idx="19">
                  <c:v>111.70738771533587</c:v>
                </c:pt>
                <c:pt idx="20">
                  <c:v>137.66300398229683</c:v>
                </c:pt>
                <c:pt idx="21">
                  <c:v>141.70314168283105</c:v>
                </c:pt>
                <c:pt idx="22">
                  <c:v>156.7381873159442</c:v>
                </c:pt>
                <c:pt idx="23">
                  <c:v>171.73898922232453</c:v>
                </c:pt>
                <c:pt idx="24">
                  <c:v>186.70896148611726</c:v>
                </c:pt>
                <c:pt idx="25">
                  <c:v>201.65092519188457</c:v>
                </c:pt>
                <c:pt idx="26">
                  <c:v>216.56724871446315</c:v>
                </c:pt>
                <c:pt idx="27">
                  <c:v>231.45994723108015</c:v>
                </c:pt>
                <c:pt idx="28">
                  <c:v>246.33075522558093</c:v>
                </c:pt>
                <c:pt idx="29">
                  <c:v>261.18118053705035</c:v>
                </c:pt>
                <c:pt idx="30">
                  <c:v>276.01254545472335</c:v>
                </c:pt>
                <c:pt idx="31">
                  <c:v>234.36323716840602</c:v>
                </c:pt>
                <c:pt idx="32">
                  <c:v>254.30172220416441</c:v>
                </c:pt>
                <c:pt idx="33">
                  <c:v>274.20482243650338</c:v>
                </c:pt>
                <c:pt idx="34">
                  <c:v>294.07546687495898</c:v>
                </c:pt>
                <c:pt idx="35">
                  <c:v>313.91615631143912</c:v>
                </c:pt>
                <c:pt idx="36">
                  <c:v>333.72904960580678</c:v>
                </c:pt>
                <c:pt idx="37">
                  <c:v>353.51602838820548</c:v>
                </c:pt>
                <c:pt idx="38">
                  <c:v>373.27874650728057</c:v>
                </c:pt>
                <c:pt idx="39">
                  <c:v>393.01866845402543</c:v>
                </c:pt>
                <c:pt idx="40">
                  <c:v>412.73709966044299</c:v>
                </c:pt>
                <c:pt idx="41">
                  <c:v>332.28900698270718</c:v>
                </c:pt>
                <c:pt idx="42">
                  <c:v>352.43737829470524</c:v>
                </c:pt>
                <c:pt idx="43">
                  <c:v>372.56050997482794</c:v>
                </c:pt>
                <c:pt idx="44">
                  <c:v>392.65995633948432</c:v>
                </c:pt>
                <c:pt idx="45">
                  <c:v>412.73709966044294</c:v>
                </c:pt>
                <c:pt idx="46">
                  <c:v>432.7931768227923</c:v>
                </c:pt>
                <c:pt idx="47">
                  <c:v>452.82930078346516</c:v>
                </c:pt>
                <c:pt idx="48">
                  <c:v>472.8464780341605</c:v>
                </c:pt>
                <c:pt idx="49">
                  <c:v>492.84562295362849</c:v>
                </c:pt>
                <c:pt idx="50">
                  <c:v>512.82756970962589</c:v>
                </c:pt>
                <c:pt idx="51">
                  <c:v>430.28728010448077</c:v>
                </c:pt>
                <c:pt idx="52">
                  <c:v>447.822083688443</c:v>
                </c:pt>
                <c:pt idx="53">
                  <c:v>465.34219697734244</c:v>
                </c:pt>
                <c:pt idx="54">
                  <c:v>482.848250644968</c:v>
                </c:pt>
                <c:pt idx="55">
                  <c:v>500.34082592690083</c:v>
                </c:pt>
                <c:pt idx="56">
                  <c:v>517.82046012438161</c:v>
                </c:pt>
                <c:pt idx="57">
                  <c:v>535.28765132659362</c:v>
                </c:pt>
                <c:pt idx="58">
                  <c:v>552.74286248474129</c:v>
                </c:pt>
                <c:pt idx="59">
                  <c:v>570.18652494495939</c:v>
                </c:pt>
                <c:pt idx="60">
                  <c:v>587.61904152662339</c:v>
                </c:pt>
                <c:pt idx="61">
                  <c:v>503.01710610159353</c:v>
                </c:pt>
                <c:pt idx="62">
                  <c:v>518.17705616178989</c:v>
                </c:pt>
                <c:pt idx="63">
                  <c:v>533.3276533779632</c:v>
                </c:pt>
                <c:pt idx="64">
                  <c:v>548.46920075259288</c:v>
                </c:pt>
                <c:pt idx="65">
                  <c:v>563.60198320153904</c:v>
                </c:pt>
                <c:pt idx="66">
                  <c:v>578.72626910034865</c:v>
                </c:pt>
                <c:pt idx="67">
                  <c:v>593.84231166058748</c:v>
                </c:pt>
                <c:pt idx="68">
                  <c:v>608.9503501588116</c:v>
                </c:pt>
                <c:pt idx="69">
                  <c:v>624.05061103730088</c:v>
                </c:pt>
                <c:pt idx="70">
                  <c:v>639.14330889277016</c:v>
                </c:pt>
                <c:pt idx="71">
                  <c:v>552.74286248474129</c:v>
                </c:pt>
                <c:pt idx="72">
                  <c:v>565.91565317360812</c:v>
                </c:pt>
                <c:pt idx="73">
                  <c:v>579.08203442466458</c:v>
                </c:pt>
                <c:pt idx="74">
                  <c:v>592.24217245006037</c:v>
                </c:pt>
                <c:pt idx="75">
                  <c:v>605.39622547563874</c:v>
                </c:pt>
                <c:pt idx="76">
                  <c:v>618.54434429348237</c:v>
                </c:pt>
                <c:pt idx="77">
                  <c:v>631.6866727650571</c:v>
                </c:pt>
                <c:pt idx="78">
                  <c:v>644.82334828032594</c:v>
                </c:pt>
                <c:pt idx="79">
                  <c:v>657.954502177525</c:v>
                </c:pt>
                <c:pt idx="80">
                  <c:v>671.08026012770199</c:v>
                </c:pt>
                <c:pt idx="81">
                  <c:v>583.35086355242265</c:v>
                </c:pt>
                <c:pt idx="82">
                  <c:v>595.08680233554469</c:v>
                </c:pt>
                <c:pt idx="83">
                  <c:v>606.81792719810755</c:v>
                </c:pt>
                <c:pt idx="84">
                  <c:v>618.54434429348237</c:v>
                </c:pt>
                <c:pt idx="85">
                  <c:v>630.26615542315426</c:v>
                </c:pt>
                <c:pt idx="86">
                  <c:v>641.98345829445509</c:v>
                </c:pt>
                <c:pt idx="87">
                  <c:v>653.69634675850784</c:v>
                </c:pt>
                <c:pt idx="88">
                  <c:v>665.40491103024135</c:v>
                </c:pt>
                <c:pt idx="89">
                  <c:v>677.10923789211859</c:v>
                </c:pt>
                <c:pt idx="90">
                  <c:v>688.80941088305383</c:v>
                </c:pt>
                <c:pt idx="91">
                  <c:v>599.8864745901825</c:v>
                </c:pt>
                <c:pt idx="92">
                  <c:v>610.37187931946244</c:v>
                </c:pt>
                <c:pt idx="93">
                  <c:v>620.85354700868629</c:v>
                </c:pt>
                <c:pt idx="94">
                  <c:v>631.33154962955371</c:v>
                </c:pt>
                <c:pt idx="95">
                  <c:v>641.80595657052174</c:v>
                </c:pt>
                <c:pt idx="96">
                  <c:v>652.27683477106223</c:v>
                </c:pt>
                <c:pt idx="97">
                  <c:v>662.74424884685482</c:v>
                </c:pt>
                <c:pt idx="98">
                  <c:v>673.20826120666038</c:v>
                </c:pt>
                <c:pt idx="99">
                  <c:v>683.66893216155495</c:v>
                </c:pt>
                <c:pt idx="100">
                  <c:v>694.12632002713235</c:v>
                </c:pt>
                <c:pt idx="101">
                  <c:v>605.75165740042155</c:v>
                </c:pt>
                <c:pt idx="102">
                  <c:v>614.99137555182222</c:v>
                </c:pt>
                <c:pt idx="103">
                  <c:v>624.22821574393265</c:v>
                </c:pt>
                <c:pt idx="104">
                  <c:v>633.4622265621307</c:v>
                </c:pt>
                <c:pt idx="105">
                  <c:v>642.69345505999547</c:v>
                </c:pt>
                <c:pt idx="106">
                  <c:v>651.92194682938123</c:v>
                </c:pt>
                <c:pt idx="107">
                  <c:v>661.14774606631465</c:v>
                </c:pt>
                <c:pt idx="108">
                  <c:v>670.37089563302823</c:v>
                </c:pt>
                <c:pt idx="109">
                  <c:v>679.59143711639888</c:v>
                </c:pt>
                <c:pt idx="110">
                  <c:v>688.80941088305337</c:v>
                </c:pt>
                <c:pt idx="111">
                  <c:v>606.28479716717038</c:v>
                </c:pt>
                <c:pt idx="112">
                  <c:v>614.28073080742161</c:v>
                </c:pt>
                <c:pt idx="113">
                  <c:v>622.27450634851618</c:v>
                </c:pt>
                <c:pt idx="114">
                  <c:v>630.26615542315403</c:v>
                </c:pt>
                <c:pt idx="115">
                  <c:v>638.25570879642146</c:v>
                </c:pt>
                <c:pt idx="116">
                  <c:v>646.24319640038686</c:v>
                </c:pt>
                <c:pt idx="117">
                  <c:v>654.22864736689314</c:v>
                </c:pt>
                <c:pt idx="118">
                  <c:v>662.21209005866956</c:v>
                </c:pt>
                <c:pt idx="119">
                  <c:v>670.19355209886214</c:v>
                </c:pt>
                <c:pt idx="120">
                  <c:v>678.17306039908749</c:v>
                </c:pt>
                <c:pt idx="121">
                  <c:v>602.01940560599712</c:v>
                </c:pt>
                <c:pt idx="122">
                  <c:v>609.30573889991354</c:v>
                </c:pt>
                <c:pt idx="123">
                  <c:v>616.59026400024413</c:v>
                </c:pt>
                <c:pt idx="124">
                  <c:v>623.87300528400885</c:v>
                </c:pt>
                <c:pt idx="125">
                  <c:v>631.15398651263888</c:v>
                </c:pt>
                <c:pt idx="126">
                  <c:v>638.43323085459633</c:v>
                </c:pt>
                <c:pt idx="127">
                  <c:v>645.71076090691292</c:v>
                </c:pt>
                <c:pt idx="128">
                  <c:v>652.98659871570203</c:v>
                </c:pt>
                <c:pt idx="129">
                  <c:v>660.26076579571293</c:v>
                </c:pt>
                <c:pt idx="130">
                  <c:v>667.53328314897692</c:v>
                </c:pt>
                <c:pt idx="131">
                  <c:v>596.15346552704329</c:v>
                </c:pt>
                <c:pt idx="132">
                  <c:v>602.90808047917312</c:v>
                </c:pt>
                <c:pt idx="133">
                  <c:v>609.66112333848082</c:v>
                </c:pt>
                <c:pt idx="134">
                  <c:v>616.41261397739322</c:v>
                </c:pt>
                <c:pt idx="135">
                  <c:v>623.16257179744491</c:v>
                </c:pt>
                <c:pt idx="136">
                  <c:v>629.9110157455292</c:v>
                </c:pt>
                <c:pt idx="137">
                  <c:v>636.65796432941295</c:v>
                </c:pt>
                <c:pt idx="138">
                  <c:v>643.40343563256113</c:v>
                </c:pt>
                <c:pt idx="139">
                  <c:v>650.14744732830798</c:v>
                </c:pt>
                <c:pt idx="140">
                  <c:v>656.89001669340769</c:v>
                </c:pt>
                <c:pt idx="141">
                  <c:v>590.10851345584717</c:v>
                </c:pt>
                <c:pt idx="142">
                  <c:v>596.15346552704364</c:v>
                </c:pt>
                <c:pt idx="143">
                  <c:v>602.19714276019192</c:v>
                </c:pt>
                <c:pt idx="144">
                  <c:v>608.23955975752642</c:v>
                </c:pt>
                <c:pt idx="145">
                  <c:v>614.28073080742195</c:v>
                </c:pt>
                <c:pt idx="146">
                  <c:v>620.32066989422731</c:v>
                </c:pt>
                <c:pt idx="147">
                  <c:v>626.35939070769678</c:v>
                </c:pt>
                <c:pt idx="148">
                  <c:v>632.39690665203761</c:v>
                </c:pt>
                <c:pt idx="149">
                  <c:v>638.43323085459633</c:v>
                </c:pt>
                <c:pt idx="150">
                  <c:v>644.46837617419669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A1:AS427"/>
  <sheetViews>
    <sheetView topLeftCell="A14" zoomScale="55" zoomScaleNormal="55" workbookViewId="0">
      <selection activeCell="Q33" sqref="Q33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68" t="s">
        <v>231</v>
      </c>
      <c r="B5" s="268"/>
      <c r="C5" s="24">
        <v>2.9855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36</v>
      </c>
      <c r="C9" s="32">
        <v>0.7</v>
      </c>
      <c r="D9" s="33">
        <f t="shared" ref="D9:D18" si="0">C9*$C$5</f>
        <v>2.0898499999999998</v>
      </c>
      <c r="E9" s="34">
        <v>62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 t="s">
        <v>11</v>
      </c>
      <c r="C10" s="32">
        <v>0.3</v>
      </c>
      <c r="D10" s="33">
        <f t="shared" si="0"/>
        <v>0.89564999999999995</v>
      </c>
      <c r="E10" s="34">
        <v>150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175</v>
      </c>
      <c r="C19" s="37">
        <f>SUM(C9:C18)</f>
        <v>1</v>
      </c>
      <c r="D19" s="38">
        <f>SUM(D9:D18)</f>
        <v>2.9854999999999996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0.2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50">
        <v>12</v>
      </c>
      <c r="B36" s="60">
        <v>46.2</v>
      </c>
      <c r="C36" s="60">
        <v>1</v>
      </c>
      <c r="D36" s="60">
        <v>0</v>
      </c>
      <c r="E36" s="51"/>
      <c r="F36" s="51"/>
      <c r="G36" s="51"/>
      <c r="H36" s="51"/>
      <c r="I36" s="49">
        <f>IFERROR(B36/A36,"")</f>
        <v>3.85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50">
        <v>16</v>
      </c>
      <c r="B37" s="60">
        <v>107.5</v>
      </c>
      <c r="C37" s="60">
        <v>2</v>
      </c>
      <c r="D37" s="60">
        <v>25</v>
      </c>
      <c r="E37" s="51"/>
      <c r="F37" s="51"/>
      <c r="G37" s="51">
        <v>0.5</v>
      </c>
      <c r="H37" s="51">
        <v>0.5</v>
      </c>
      <c r="I37" s="53">
        <f t="shared" ref="I37:I55" si="1">IF(A37&lt;&gt;0,(B37-(B36-D36))/(A37-A36),"")</f>
        <v>15.324999999999999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50">
        <v>20</v>
      </c>
      <c r="B38" s="60">
        <f>176.3-SUM(D36:D37)</f>
        <v>151.30000000000001</v>
      </c>
      <c r="C38" s="60">
        <v>3</v>
      </c>
      <c r="D38" s="60">
        <v>33.700000000000003</v>
      </c>
      <c r="E38" s="51">
        <v>0.2</v>
      </c>
      <c r="F38" s="51"/>
      <c r="G38" s="51">
        <v>0.6</v>
      </c>
      <c r="H38" s="51">
        <v>0.2</v>
      </c>
      <c r="I38" s="53">
        <f t="shared" si="1"/>
        <v>17.200000000000003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50">
        <v>24</v>
      </c>
      <c r="B39" s="60">
        <f>255.9-SUM(D36:D38)</f>
        <v>197.2</v>
      </c>
      <c r="C39" s="60">
        <v>4</v>
      </c>
      <c r="D39" s="60">
        <v>42.9</v>
      </c>
      <c r="E39" s="51">
        <v>0.3</v>
      </c>
      <c r="F39" s="51"/>
      <c r="G39" s="51">
        <v>0.5</v>
      </c>
      <c r="H39" s="51">
        <v>0.2</v>
      </c>
      <c r="I39" s="49">
        <f t="shared" si="1"/>
        <v>19.899999999999995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50">
        <v>28</v>
      </c>
      <c r="B40" s="60">
        <f>335.4-SUM(D36:D39)</f>
        <v>233.79999999999998</v>
      </c>
      <c r="C40" s="60">
        <v>5</v>
      </c>
      <c r="D40" s="60">
        <v>41.4</v>
      </c>
      <c r="E40" s="51">
        <v>0.5</v>
      </c>
      <c r="F40" s="51"/>
      <c r="G40" s="51">
        <v>0.4</v>
      </c>
      <c r="H40" s="51">
        <v>0.1</v>
      </c>
      <c r="I40" s="49">
        <f t="shared" si="1"/>
        <v>19.875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50">
        <v>34</v>
      </c>
      <c r="B41" s="60">
        <f>447.6-SUM(D36:D40)</f>
        <v>304.60000000000002</v>
      </c>
      <c r="C41" s="60">
        <v>6</v>
      </c>
      <c r="D41" s="60">
        <v>59.9</v>
      </c>
      <c r="E41" s="51">
        <v>0.7</v>
      </c>
      <c r="F41" s="51"/>
      <c r="G41" s="51">
        <v>0.2</v>
      </c>
      <c r="H41" s="51">
        <v>0.1</v>
      </c>
      <c r="I41" s="53">
        <f t="shared" si="1"/>
        <v>18.700000000000006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50">
        <v>40</v>
      </c>
      <c r="B42" s="60">
        <f>536.7-SUM(D36:D41)</f>
        <v>333.80000000000007</v>
      </c>
      <c r="C42" s="60">
        <v>7</v>
      </c>
      <c r="D42" s="60">
        <v>34.1</v>
      </c>
      <c r="E42" s="51"/>
      <c r="F42" s="51"/>
      <c r="G42" s="51"/>
      <c r="H42" s="51"/>
      <c r="I42" s="53">
        <f t="shared" si="1"/>
        <v>14.850000000000009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50">
        <v>46</v>
      </c>
      <c r="B43" s="60">
        <f>603-SUM(D36:D42)</f>
        <v>366</v>
      </c>
      <c r="C43" s="60">
        <v>8</v>
      </c>
      <c r="D43" s="60">
        <v>21.3</v>
      </c>
      <c r="E43" s="51"/>
      <c r="F43" s="51"/>
      <c r="G43" s="51"/>
      <c r="H43" s="51"/>
      <c r="I43" s="49">
        <f t="shared" si="1"/>
        <v>11.049999999999992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50">
        <v>54</v>
      </c>
      <c r="B44" s="60">
        <f>661.4-SUM(D36:D43)</f>
        <v>403.09999999999997</v>
      </c>
      <c r="C44" s="60">
        <v>9</v>
      </c>
      <c r="D44" s="60">
        <v>17.399999999999999</v>
      </c>
      <c r="E44" s="51"/>
      <c r="F44" s="51"/>
      <c r="G44" s="51"/>
      <c r="H44" s="51"/>
      <c r="I44" s="49">
        <f t="shared" si="1"/>
        <v>7.2999999999999972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50">
        <v>62</v>
      </c>
      <c r="B45" s="60">
        <f>685.7-SUM(D36:D44)</f>
        <v>410.00000000000006</v>
      </c>
      <c r="C45" s="60">
        <v>10</v>
      </c>
      <c r="D45" s="60">
        <f>B45</f>
        <v>410.00000000000006</v>
      </c>
      <c r="E45" s="51"/>
      <c r="F45" s="51"/>
      <c r="G45" s="51"/>
      <c r="H45" s="51"/>
      <c r="I45" s="49">
        <f t="shared" si="1"/>
        <v>3.0375000000000085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Chêne pédonculé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20</v>
      </c>
      <c r="B62" s="60">
        <v>73</v>
      </c>
      <c r="C62" s="60">
        <v>1</v>
      </c>
      <c r="D62" s="60">
        <v>6</v>
      </c>
      <c r="E62" s="51"/>
      <c r="F62" s="51"/>
      <c r="G62" s="51"/>
      <c r="H62" s="51">
        <v>1</v>
      </c>
      <c r="I62" s="53">
        <f>IFERROR(B62/A62,"")</f>
        <v>3.65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30</v>
      </c>
      <c r="B63" s="60">
        <f>155-D62</f>
        <v>149</v>
      </c>
      <c r="C63" s="60">
        <v>2</v>
      </c>
      <c r="D63" s="60">
        <v>34</v>
      </c>
      <c r="E63" s="51"/>
      <c r="F63" s="51"/>
      <c r="G63" s="51"/>
      <c r="H63" s="51">
        <v>1</v>
      </c>
      <c r="I63" s="49">
        <f>IF(A63&lt;&gt;0,(B63-(B62-D62))/(A63-A62),"")</f>
        <v>8.1999999999999993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40</v>
      </c>
      <c r="B64" s="60">
        <f>265-SUM($D62:D$63)</f>
        <v>225</v>
      </c>
      <c r="C64" s="60">
        <v>3</v>
      </c>
      <c r="D64" s="60">
        <v>56</v>
      </c>
      <c r="E64" s="51"/>
      <c r="F64" s="51"/>
      <c r="G64" s="51"/>
      <c r="H64" s="51">
        <v>1</v>
      </c>
      <c r="I64" s="49">
        <f>IF(A64&lt;&gt;0,(B64-(B63-D63))/(A64-A63),"")</f>
        <v>11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50</v>
      </c>
      <c r="B65" s="60">
        <f>377-SUM($D62:D$64)</f>
        <v>281</v>
      </c>
      <c r="C65" s="60">
        <v>4</v>
      </c>
      <c r="D65" s="60">
        <v>56</v>
      </c>
      <c r="E65" s="51">
        <v>1</v>
      </c>
      <c r="F65" s="51"/>
      <c r="G65" s="51"/>
      <c r="H65" s="51"/>
      <c r="I65" s="49">
        <f>IF(A65&lt;&gt;0,(B65-(B64-D64))/(A65-A64),"")</f>
        <v>11.2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60</v>
      </c>
      <c r="B66" s="60">
        <f>475-SUM($D62:D$65)</f>
        <v>323</v>
      </c>
      <c r="C66" s="60">
        <v>5</v>
      </c>
      <c r="D66" s="60">
        <v>56</v>
      </c>
      <c r="E66" s="51"/>
      <c r="F66" s="51"/>
      <c r="G66" s="51"/>
      <c r="H66" s="51"/>
      <c r="I66" s="49">
        <f t="shared" ref="I66:I81" si="2">IF(A66&lt;&gt;0,(B66-(B65-D65))/(A66-A65),"")</f>
        <v>9.8000000000000007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70</v>
      </c>
      <c r="B67" s="60">
        <f>560-SUM($D62:D$66)</f>
        <v>352</v>
      </c>
      <c r="C67" s="60">
        <v>6</v>
      </c>
      <c r="D67" s="60">
        <v>56</v>
      </c>
      <c r="E67" s="51">
        <v>1</v>
      </c>
      <c r="F67" s="51"/>
      <c r="G67" s="51"/>
      <c r="H67" s="51"/>
      <c r="I67" s="49">
        <f t="shared" si="2"/>
        <v>8.5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80</v>
      </c>
      <c r="B68" s="60">
        <f>634-SUM($D62:D$67)</f>
        <v>370</v>
      </c>
      <c r="C68" s="60">
        <v>7</v>
      </c>
      <c r="D68" s="60">
        <v>56</v>
      </c>
      <c r="E68" s="51"/>
      <c r="F68" s="51"/>
      <c r="G68" s="51"/>
      <c r="H68" s="51"/>
      <c r="I68" s="49">
        <f t="shared" si="2"/>
        <v>7.4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>
        <v>90</v>
      </c>
      <c r="B69" s="50">
        <f>700-SUM($D62:D$68)</f>
        <v>380</v>
      </c>
      <c r="C69" s="50">
        <v>8</v>
      </c>
      <c r="D69" s="50">
        <v>56</v>
      </c>
      <c r="E69" s="51">
        <v>1</v>
      </c>
      <c r="F69" s="51"/>
      <c r="G69" s="51"/>
      <c r="H69" s="51"/>
      <c r="I69" s="49">
        <f t="shared" si="2"/>
        <v>6.6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>
        <v>100</v>
      </c>
      <c r="B70" s="50">
        <f>759-SUM($D62:D$69)</f>
        <v>383</v>
      </c>
      <c r="C70" s="50">
        <v>9</v>
      </c>
      <c r="D70" s="50">
        <v>55</v>
      </c>
      <c r="E70" s="51"/>
      <c r="F70" s="51"/>
      <c r="G70" s="51"/>
      <c r="H70" s="51"/>
      <c r="I70" s="49">
        <f t="shared" si="2"/>
        <v>5.9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>
        <v>110</v>
      </c>
      <c r="B71" s="50">
        <f>811-SUM($D62:D$70)</f>
        <v>380</v>
      </c>
      <c r="C71" s="50">
        <v>10</v>
      </c>
      <c r="D71" s="50">
        <v>51</v>
      </c>
      <c r="E71" s="51">
        <v>1</v>
      </c>
      <c r="F71" s="51"/>
      <c r="G71" s="51"/>
      <c r="H71" s="51"/>
      <c r="I71" s="49">
        <f t="shared" si="2"/>
        <v>5.2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>
        <v>120</v>
      </c>
      <c r="B72" s="50">
        <v>374</v>
      </c>
      <c r="C72" s="50">
        <v>11</v>
      </c>
      <c r="D72" s="50">
        <v>47</v>
      </c>
      <c r="E72" s="51"/>
      <c r="F72" s="51"/>
      <c r="G72" s="51"/>
      <c r="H72" s="51"/>
      <c r="I72" s="49">
        <f t="shared" si="2"/>
        <v>4.5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>
        <v>130</v>
      </c>
      <c r="B73" s="50">
        <v>368</v>
      </c>
      <c r="C73" s="50">
        <v>12</v>
      </c>
      <c r="D73" s="50">
        <v>44</v>
      </c>
      <c r="E73" s="51">
        <v>1</v>
      </c>
      <c r="F73" s="51"/>
      <c r="G73" s="51"/>
      <c r="H73" s="51"/>
      <c r="I73" s="49">
        <f t="shared" si="2"/>
        <v>4.0999999999999996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>
        <v>140</v>
      </c>
      <c r="B74" s="50">
        <v>362</v>
      </c>
      <c r="C74" s="50">
        <v>13</v>
      </c>
      <c r="D74" s="50">
        <v>41</v>
      </c>
      <c r="E74" s="51"/>
      <c r="F74" s="51"/>
      <c r="G74" s="51"/>
      <c r="H74" s="51"/>
      <c r="I74" s="49">
        <f t="shared" si="2"/>
        <v>3.8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>
        <v>150</v>
      </c>
      <c r="B75" s="50">
        <v>355</v>
      </c>
      <c r="C75" s="50">
        <v>14</v>
      </c>
      <c r="D75" s="50">
        <v>355</v>
      </c>
      <c r="E75" s="51">
        <v>1</v>
      </c>
      <c r="F75" s="51"/>
      <c r="G75" s="51"/>
      <c r="H75" s="51"/>
      <c r="I75" s="49">
        <f t="shared" si="2"/>
        <v>3.4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/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8" scale="16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>
    <pageSetUpPr fitToPage="1"/>
  </sheetPr>
  <dimension ref="A1:AL163"/>
  <sheetViews>
    <sheetView zoomScaleNormal="100" workbookViewId="0">
      <selection activeCell="G23" sqref="G23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scale="7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maritime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Chêne pédonculé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/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252.28378247570731</v>
      </c>
      <c r="T3" s="59">
        <f>IF('Données projet'!E9&gt;30,$R$33-$H$33,LOOKUP('Données projet'!$E$9,$A$3:$A$203,R3:R203)-LOOKUP('Données projet'!$E$9,$A$3:$A$203,$H$3:$H$203))</f>
        <v>263.50418595307343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382.67703499770795</v>
      </c>
      <c r="AO3" s="59">
        <f>IF('Données projet'!E10&gt;30,$AM$33-$H$33,LOOKUP('Données projet'!$E$10,$A$3:$A$203,AM3:AM203)-LOOKUP('Données projet'!$E$10,$A$3:$A$203,$H$3:$H$203))</f>
        <v>237.98926636458219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3.85</v>
      </c>
      <c r="N4" s="13">
        <f>IF('Données projet'!$A$36&gt;35,N3+M4-V3,IF(A4&lt;'Données projet'!$A$36,$K$205^A4,IF(A4='Données projet'!$A$36,'Données projet'!$B$36,N3+M4-V3)))</f>
        <v>1.3763223570336161</v>
      </c>
      <c r="O4" s="13">
        <f>N4*VLOOKUP('Données projet'!$B$9,Paramètres!$A$1:$I$89,3,0)*VLOOKUP('Données projet'!$B$9,Paramètres!$A$1:$I$89,5,0)</f>
        <v>0.82304076950610239</v>
      </c>
      <c r="P4" s="13">
        <f>EXP(-1.0587+0.8836*LN(O4)+0.284)</f>
        <v>0.38798806692284393</v>
      </c>
      <c r="Q4" s="20">
        <f t="shared" ref="Q4:Q34" si="2">(O4+P4)*0.475*44/12</f>
        <v>2.1092085567804149</v>
      </c>
      <c r="R4" s="59">
        <f t="shared" si="0"/>
        <v>295.44254189011372</v>
      </c>
      <c r="S4" s="59">
        <f ca="1">AVERAGE(OFFSET($R$3,0,0,'Données projet'!$E$9+1,1))-AVERAGE(OFFSET($H$3,0,0,'Données projet'!$E$9+1,1))</f>
        <v>252.28378247570731</v>
      </c>
      <c r="T4" s="59">
        <f>$T$3</f>
        <v>263.50418595307343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3.65</v>
      </c>
      <c r="AI4" s="13">
        <f>IF('Données projet'!$A$62&gt;35,AI3+AH4-AQ3,IF(A4&lt;'Données projet'!$A$62,$AF$205^A4,IF(A4='Données projet'!$A$62,'Données projet'!$B$62,AI3+AH4-AQ3)))</f>
        <v>1.2392705892426346</v>
      </c>
      <c r="AJ4" s="13">
        <f>AI4*VLOOKUP('Données projet'!$B$10,Paramètres!$A$1:$I$89,3,0)*VLOOKUP('Données projet'!$B$10,Paramètres!$A$1:$I$89,5,0)</f>
        <v>1.0439615443779955</v>
      </c>
      <c r="AK4" s="13">
        <f>EXP(-1.0587+0.8836*LN(AJ4)+0.284)</f>
        <v>0.478698084995758</v>
      </c>
      <c r="AL4" s="20">
        <f t="shared" ref="AL4:AL67" si="4">(AJ4+AK4)*0.475*44/12</f>
        <v>2.6519655211592874</v>
      </c>
      <c r="AM4" s="59">
        <f t="shared" ref="AM4:AM67" si="5">AL4+(AD4+AE4)*44/12</f>
        <v>295.98529885449261</v>
      </c>
      <c r="AN4" s="59">
        <f ca="1">AVERAGE(OFFSET($AM$3,0,0,'Données projet'!$E$10+1,1))-AVERAGE(OFFSET($H$3,0,0,'Données projet'!$E$10+1,1))</f>
        <v>382.67703499770795</v>
      </c>
      <c r="AO4" s="59">
        <f>$AO$3</f>
        <v>237.98926636458219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3.85</v>
      </c>
      <c r="N5" s="13">
        <f>IF('Données projet'!$A$36&gt;35,N4+M5-V4,IF(A5&lt;'Données projet'!$A$36,$K$205^A5,IF(A5='Données projet'!$A$36,'Données projet'!$B$36,N4+M5-V4)))</f>
        <v>1.8942632304705684</v>
      </c>
      <c r="O5" s="13">
        <f>N5*VLOOKUP('Données projet'!$B$9,Paramètres!$A$1:$I$89,3,0)*VLOOKUP('Données projet'!$B$9,Paramètres!$A$1:$I$89,5,0)</f>
        <v>1.1327694118214</v>
      </c>
      <c r="P5" s="13">
        <f t="shared" ref="P5:P68" si="33">EXP(-1.0587+0.8836*LN(O5)+0.284)</f>
        <v>0.51450725843982192</v>
      </c>
      <c r="Q5" s="20">
        <f t="shared" si="2"/>
        <v>2.8690068673716276</v>
      </c>
      <c r="R5" s="59">
        <f t="shared" si="0"/>
        <v>296.20234020070495</v>
      </c>
      <c r="S5" s="59">
        <f ca="1">AVERAGE(OFFSET($R$3,0,0,'Données projet'!$E$9+1,1))-AVERAGE(OFFSET($H$3,0,0,'Données projet'!$E$9+1,1))</f>
        <v>252.28378247570731</v>
      </c>
      <c r="T5" s="59">
        <f t="shared" ref="T5:T68" si="34">$T$3</f>
        <v>263.50418595307343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3.65</v>
      </c>
      <c r="AI5" s="13">
        <f>IF('Données projet'!$A$62&gt;35,AI4+AH5-AQ4,IF(A5&lt;'Données projet'!$A$62,$AF$205^A5,IF(A5='Données projet'!$A$62,'Données projet'!$B$62,AI4+AH5-AQ4)))</f>
        <v>1.5357915933617867</v>
      </c>
      <c r="AJ5" s="13">
        <f>AI5*VLOOKUP('Données projet'!$B$10,Paramètres!$A$1:$I$89,3,0)*VLOOKUP('Données projet'!$B$10,Paramètres!$A$1:$I$89,5,0)</f>
        <v>1.2937508382479692</v>
      </c>
      <c r="AK5" s="13">
        <f t="shared" ref="AK5:AK68" si="35">EXP(-1.0587+0.8836*LN(AJ5)+0.284)</f>
        <v>0.57860648124254321</v>
      </c>
      <c r="AL5" s="20">
        <f t="shared" si="4"/>
        <v>3.2610223314459752</v>
      </c>
      <c r="AM5" s="59">
        <f t="shared" si="5"/>
        <v>296.5943556647793</v>
      </c>
      <c r="AN5" s="59">
        <f ca="1">AVERAGE(OFFSET($AM$3,0,0,'Données projet'!$E$10+1,1))-AVERAGE(OFFSET($H$3,0,0,'Données projet'!$E$10+1,1))</f>
        <v>382.67703499770795</v>
      </c>
      <c r="AO5" s="59">
        <f t="shared" ref="AO5:AO68" si="36">$AO$3</f>
        <v>237.98926636458219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3.85</v>
      </c>
      <c r="N6" s="13">
        <f>IF('Données projet'!$A$36&gt;35,N5+M6-V5,IF(A6&lt;'Données projet'!$A$36,$K$205^A6,IF(A6='Données projet'!$A$36,'Données projet'!$B$36,N5+M6-V5)))</f>
        <v>2.6071168342033646</v>
      </c>
      <c r="O6" s="13">
        <f>N6*VLOOKUP('Données projet'!$B$9,Paramètres!$A$1:$I$89,3,0)*VLOOKUP('Données projet'!$B$9,Paramètres!$A$1:$I$89,5,0)</f>
        <v>1.5590558668536121</v>
      </c>
      <c r="P6" s="13">
        <f t="shared" si="33"/>
        <v>0.68228314619764829</v>
      </c>
      <c r="Q6" s="20">
        <f t="shared" si="2"/>
        <v>3.9036654477309445</v>
      </c>
      <c r="R6" s="59">
        <f t="shared" si="0"/>
        <v>297.23699878106424</v>
      </c>
      <c r="S6" s="59">
        <f ca="1">AVERAGE(OFFSET($R$3,0,0,'Données projet'!$E$9+1,1))-AVERAGE(OFFSET($H$3,0,0,'Données projet'!$E$9+1,1))</f>
        <v>252.28378247570731</v>
      </c>
      <c r="T6" s="59">
        <f t="shared" si="34"/>
        <v>263.50418595307343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3.65</v>
      </c>
      <c r="AI6" s="13">
        <f>IF('Données projet'!$A$62&gt;35,AI5+AH6-AQ5,IF(A6&lt;'Données projet'!$A$62,$AF$205^A6,IF(A6='Données projet'!$A$62,'Données projet'!$B$62,AI5+AH6-AQ5)))</f>
        <v>1.9032613528593461</v>
      </c>
      <c r="AJ6" s="13">
        <f>AI6*VLOOKUP('Données projet'!$B$10,Paramètres!$A$1:$I$89,3,0)*VLOOKUP('Données projet'!$B$10,Paramètres!$A$1:$I$89,5,0)</f>
        <v>1.6033073636487132</v>
      </c>
      <c r="AK6" s="13">
        <f t="shared" si="35"/>
        <v>0.69936661672428513</v>
      </c>
      <c r="AL6" s="20">
        <f t="shared" si="4"/>
        <v>4.0104905158163051</v>
      </c>
      <c r="AM6" s="59">
        <f t="shared" si="5"/>
        <v>297.3438238491496</v>
      </c>
      <c r="AN6" s="59">
        <f ca="1">AVERAGE(OFFSET($AM$3,0,0,'Données projet'!$E$10+1,1))-AVERAGE(OFFSET($H$3,0,0,'Données projet'!$E$10+1,1))</f>
        <v>382.67703499770795</v>
      </c>
      <c r="AO6" s="59">
        <f t="shared" si="36"/>
        <v>237.98926636458219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3.85</v>
      </c>
      <c r="N7" s="13">
        <f>IF('Données projet'!$A$36&gt;35,N6+M7-V6,IF(A7&lt;'Données projet'!$A$36,$K$205^A7,IF(A7='Données projet'!$A$36,'Données projet'!$B$36,N6+M7-V6)))</f>
        <v>3.5882331863127939</v>
      </c>
      <c r="O7" s="13">
        <f>N7*VLOOKUP('Données projet'!$B$9,Paramètres!$A$1:$I$89,3,0)*VLOOKUP('Données projet'!$B$9,Paramètres!$A$1:$I$89,5,0)</f>
        <v>2.1457634454150507</v>
      </c>
      <c r="P7" s="13">
        <f t="shared" si="33"/>
        <v>0.90476914358207983</v>
      </c>
      <c r="Q7" s="20">
        <f t="shared" si="2"/>
        <v>5.3130109258366689</v>
      </c>
      <c r="R7" s="59">
        <f t="shared" si="0"/>
        <v>298.64634425917001</v>
      </c>
      <c r="S7" s="59">
        <f ca="1">AVERAGE(OFFSET($R$3,0,0,'Données projet'!$E$9+1,1))-AVERAGE(OFFSET($H$3,0,0,'Données projet'!$E$9+1,1))</f>
        <v>252.28378247570731</v>
      </c>
      <c r="T7" s="59">
        <f t="shared" si="34"/>
        <v>263.50418595307343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3.65</v>
      </c>
      <c r="AI7" s="13">
        <f>IF('Données projet'!$A$62&gt;35,AI6+AH7-AQ6,IF(A7&lt;'Données projet'!$A$62,$AF$205^A7,IF(A7='Données projet'!$A$62,'Données projet'!$B$62,AI6+AH7-AQ6)))</f>
        <v>2.3586558182407358</v>
      </c>
      <c r="AJ7" s="13">
        <f>AI7*VLOOKUP('Données projet'!$B$10,Paramètres!$A$1:$I$89,3,0)*VLOOKUP('Données projet'!$B$10,Paramètres!$A$1:$I$89,5,0)</f>
        <v>1.9869316612859962</v>
      </c>
      <c r="AK7" s="13">
        <f t="shared" si="35"/>
        <v>0.84533042826968274</v>
      </c>
      <c r="AL7" s="20">
        <f t="shared" si="4"/>
        <v>4.9328564726428068</v>
      </c>
      <c r="AM7" s="59">
        <f t="shared" si="5"/>
        <v>298.26618980597613</v>
      </c>
      <c r="AN7" s="59">
        <f ca="1">AVERAGE(OFFSET($AM$3,0,0,'Données projet'!$E$10+1,1))-AVERAGE(OFFSET($H$3,0,0,'Données projet'!$E$10+1,1))</f>
        <v>382.67703499770795</v>
      </c>
      <c r="AO7" s="59">
        <f t="shared" si="36"/>
        <v>237.98926636458219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3.85</v>
      </c>
      <c r="N8" s="13">
        <f>IF('Données projet'!$A$36&gt;35,N7+M8-V7,IF(A8&lt;'Données projet'!$A$36,$K$205^A8,IF(A8='Données projet'!$A$36,'Données projet'!$B$36,N7+M8-V7)))</f>
        <v>4.938565556572267</v>
      </c>
      <c r="O8" s="13">
        <f>N8*VLOOKUP('Données projet'!$B$9,Paramètres!$A$1:$I$89,3,0)*VLOOKUP('Données projet'!$B$9,Paramètres!$A$1:$I$89,5,0)</f>
        <v>2.9532622028302162</v>
      </c>
      <c r="P8" s="13">
        <f t="shared" si="33"/>
        <v>1.1998056931939969</v>
      </c>
      <c r="Q8" s="20">
        <f t="shared" si="2"/>
        <v>7.2332599189088382</v>
      </c>
      <c r="R8" s="59">
        <f t="shared" si="0"/>
        <v>300.56659325224217</v>
      </c>
      <c r="S8" s="59">
        <f ca="1">AVERAGE(OFFSET($R$3,0,0,'Données projet'!$E$9+1,1))-AVERAGE(OFFSET($H$3,0,0,'Données projet'!$E$9+1,1))</f>
        <v>252.28378247570731</v>
      </c>
      <c r="T8" s="59">
        <f t="shared" si="34"/>
        <v>263.50418595307343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3.65</v>
      </c>
      <c r="AI8" s="13">
        <f>IF('Données projet'!$A$62&gt;35,AI7+AH8-AQ7,IF(A8&lt;'Données projet'!$A$62,$AF$205^A8,IF(A8='Données projet'!$A$62,'Données projet'!$B$62,AI7+AH8-AQ7)))</f>
        <v>2.9230127856917649</v>
      </c>
      <c r="AJ8" s="13">
        <f>AI8*VLOOKUP('Données projet'!$B$10,Paramètres!$A$1:$I$89,3,0)*VLOOKUP('Données projet'!$B$10,Paramètres!$A$1:$I$89,5,0)</f>
        <v>2.462345970666743</v>
      </c>
      <c r="AK8" s="13">
        <f t="shared" si="35"/>
        <v>1.021758139251189</v>
      </c>
      <c r="AL8" s="20">
        <f t="shared" si="4"/>
        <v>6.068147991440398</v>
      </c>
      <c r="AM8" s="59">
        <f t="shared" si="5"/>
        <v>299.40148132477373</v>
      </c>
      <c r="AN8" s="59">
        <f ca="1">AVERAGE(OFFSET($AM$3,0,0,'Données projet'!$E$10+1,1))-AVERAGE(OFFSET($H$3,0,0,'Données projet'!$E$10+1,1))</f>
        <v>382.67703499770795</v>
      </c>
      <c r="AO8" s="59">
        <f t="shared" si="36"/>
        <v>237.98926636458219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3.85</v>
      </c>
      <c r="N9" s="13">
        <f>IF('Données projet'!$A$36&gt;35,N8+M9-V8,IF(A9&lt;'Données projet'!$A$36,$K$205^A9,IF(A9='Données projet'!$A$36,'Données projet'!$B$36,N8+M9-V8)))</f>
        <v>6.7970581871865736</v>
      </c>
      <c r="O9" s="13">
        <f>N9*VLOOKUP('Données projet'!$B$9,Paramètres!$A$1:$I$89,3,0)*VLOOKUP('Données projet'!$B$9,Paramètres!$A$1:$I$89,5,0)</f>
        <v>4.0646407959375717</v>
      </c>
      <c r="P9" s="13">
        <f t="shared" si="33"/>
        <v>1.5910508350466677</v>
      </c>
      <c r="Q9" s="20">
        <f t="shared" si="2"/>
        <v>9.8503295906308832</v>
      </c>
      <c r="R9" s="59">
        <f t="shared" si="0"/>
        <v>303.18366292396422</v>
      </c>
      <c r="S9" s="59">
        <f ca="1">AVERAGE(OFFSET($R$3,0,0,'Données projet'!$E$9+1,1))-AVERAGE(OFFSET($H$3,0,0,'Données projet'!$E$9+1,1))</f>
        <v>252.28378247570731</v>
      </c>
      <c r="T9" s="59">
        <f t="shared" si="34"/>
        <v>263.50418595307343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3.65</v>
      </c>
      <c r="AI9" s="13">
        <f>IF('Données projet'!$A$62&gt;35,AI8+AH9-AQ8,IF(A9&lt;'Données projet'!$A$62,$AF$205^A9,IF(A9='Données projet'!$A$62,'Données projet'!$B$62,AI8+AH9-AQ8)))</f>
        <v>3.6224037772879885</v>
      </c>
      <c r="AJ9" s="13">
        <f>AI9*VLOOKUP('Données projet'!$B$10,Paramètres!$A$1:$I$89,3,0)*VLOOKUP('Données projet'!$B$10,Paramètres!$A$1:$I$89,5,0)</f>
        <v>3.0515129419874016</v>
      </c>
      <c r="AK9" s="13">
        <f t="shared" si="35"/>
        <v>1.2350078267772846</v>
      </c>
      <c r="AL9" s="20">
        <f t="shared" si="4"/>
        <v>7.4656903389318279</v>
      </c>
      <c r="AM9" s="59">
        <f t="shared" si="5"/>
        <v>300.79902367226515</v>
      </c>
      <c r="AN9" s="59">
        <f ca="1">AVERAGE(OFFSET($AM$3,0,0,'Données projet'!$E$10+1,1))-AVERAGE(OFFSET($H$3,0,0,'Données projet'!$E$10+1,1))</f>
        <v>382.67703499770795</v>
      </c>
      <c r="AO9" s="59">
        <f t="shared" si="36"/>
        <v>237.98926636458219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3.85</v>
      </c>
      <c r="N10" s="13">
        <f>IF('Données projet'!$A$36&gt;35,N9+M10-V9,IF(A10&lt;'Données projet'!$A$36,$K$205^A10,IF(A10='Données projet'!$A$36,'Données projet'!$B$36,N9+M10-V9)))</f>
        <v>9.3549431450832632</v>
      </c>
      <c r="O10" s="13">
        <f>N10*VLOOKUP('Données projet'!$B$9,Paramètres!$A$1:$I$89,3,0)*VLOOKUP('Données projet'!$B$9,Paramètres!$A$1:$I$89,5,0)</f>
        <v>5.5942560007597919</v>
      </c>
      <c r="P10" s="13">
        <f t="shared" si="33"/>
        <v>2.1098772693466379</v>
      </c>
      <c r="Q10" s="20">
        <f t="shared" si="2"/>
        <v>13.418032112102033</v>
      </c>
      <c r="R10" s="59">
        <f t="shared" si="0"/>
        <v>306.75136544543534</v>
      </c>
      <c r="S10" s="59">
        <f ca="1">AVERAGE(OFFSET($R$3,0,0,'Données projet'!$E$9+1,1))-AVERAGE(OFFSET($H$3,0,0,'Données projet'!$E$9+1,1))</f>
        <v>252.28378247570731</v>
      </c>
      <c r="T10" s="59">
        <f t="shared" si="34"/>
        <v>263.50418595307343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3.65</v>
      </c>
      <c r="AI10" s="13">
        <f>IF('Données projet'!$A$62&gt;35,AI9+AH10-AQ9,IF(A10&lt;'Données projet'!$A$62,$AF$205^A10,IF(A10='Données projet'!$A$62,'Données projet'!$B$62,AI9+AH10-AQ9)))</f>
        <v>4.4891384635544309</v>
      </c>
      <c r="AJ10" s="13">
        <f>AI10*VLOOKUP('Données projet'!$B$10,Paramètres!$A$1:$I$89,3,0)*VLOOKUP('Données projet'!$B$10,Paramètres!$A$1:$I$89,5,0)</f>
        <v>3.7816502416982529</v>
      </c>
      <c r="AK10" s="13">
        <f t="shared" si="35"/>
        <v>1.492764553183741</v>
      </c>
      <c r="AL10" s="20">
        <f t="shared" si="4"/>
        <v>9.1862724344194735</v>
      </c>
      <c r="AM10" s="59">
        <f t="shared" si="5"/>
        <v>302.51960576775281</v>
      </c>
      <c r="AN10" s="59">
        <f ca="1">AVERAGE(OFFSET($AM$3,0,0,'Données projet'!$E$10+1,1))-AVERAGE(OFFSET($H$3,0,0,'Données projet'!$E$10+1,1))</f>
        <v>382.67703499770795</v>
      </c>
      <c r="AO10" s="59">
        <f t="shared" si="36"/>
        <v>237.98926636458219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3.85</v>
      </c>
      <c r="N11" s="13">
        <f>IF('Données projet'!$A$36&gt;35,N10+M11-V10,IF(A11&lt;'Données projet'!$A$36,$K$205^A11,IF(A11='Données projet'!$A$36,'Données projet'!$B$36,N10+M11-V10)))</f>
        <v>12.875417399356465</v>
      </c>
      <c r="O11" s="13">
        <f>N11*VLOOKUP('Données projet'!$B$9,Paramètres!$A$1:$I$89,3,0)*VLOOKUP('Données projet'!$B$9,Paramètres!$A$1:$I$89,5,0)</f>
        <v>7.6994996048151672</v>
      </c>
      <c r="P11" s="13">
        <f t="shared" si="33"/>
        <v>2.7978880332727099</v>
      </c>
      <c r="Q11" s="20">
        <f t="shared" si="2"/>
        <v>18.282950136336385</v>
      </c>
      <c r="R11" s="59">
        <f t="shared" si="0"/>
        <v>311.61628346966972</v>
      </c>
      <c r="S11" s="59">
        <f ca="1">AVERAGE(OFFSET($R$3,0,0,'Données projet'!$E$9+1,1))-AVERAGE(OFFSET($H$3,0,0,'Données projet'!$E$9+1,1))</f>
        <v>252.28378247570731</v>
      </c>
      <c r="T11" s="59">
        <f t="shared" si="34"/>
        <v>263.50418595307343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3.65</v>
      </c>
      <c r="AI11" s="13">
        <f>IF('Données projet'!$A$62&gt;35,AI10+AH11-AQ10,IF(A11&lt;'Données projet'!$A$62,$AF$205^A11,IF(A11='Données projet'!$A$62,'Données projet'!$B$62,AI10+AH11-AQ10)))</f>
        <v>5.563257268920875</v>
      </c>
      <c r="AJ11" s="13">
        <f>AI11*VLOOKUP('Données projet'!$B$10,Paramètres!$A$1:$I$89,3,0)*VLOOKUP('Données projet'!$B$10,Paramètres!$A$1:$I$89,5,0)</f>
        <v>4.6864879233389463</v>
      </c>
      <c r="AK11" s="13">
        <f t="shared" si="35"/>
        <v>1.8043173192324258</v>
      </c>
      <c r="AL11" s="20">
        <f t="shared" si="4"/>
        <v>11.304819130811806</v>
      </c>
      <c r="AM11" s="59">
        <f t="shared" si="5"/>
        <v>304.63815246414509</v>
      </c>
      <c r="AN11" s="59">
        <f ca="1">AVERAGE(OFFSET($AM$3,0,0,'Données projet'!$E$10+1,1))-AVERAGE(OFFSET($H$3,0,0,'Données projet'!$E$10+1,1))</f>
        <v>382.67703499770795</v>
      </c>
      <c r="AO11" s="59">
        <f t="shared" si="36"/>
        <v>237.98926636458219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3.85</v>
      </c>
      <c r="N12" s="13">
        <f>IF('Données projet'!$A$36&gt;35,N11+M12-V11,IF(A12&lt;'Données projet'!$A$36,$K$205^A12,IF(A12='Données projet'!$A$36,'Données projet'!$B$36,N11+M12-V11)))</f>
        <v>17.720724822873922</v>
      </c>
      <c r="O12" s="13">
        <f>N12*VLOOKUP('Données projet'!$B$9,Paramètres!$A$1:$I$89,3,0)*VLOOKUP('Données projet'!$B$9,Paramètres!$A$1:$I$89,5,0)</f>
        <v>10.596993444078608</v>
      </c>
      <c r="P12" s="13">
        <f t="shared" si="33"/>
        <v>3.7102525158512041</v>
      </c>
      <c r="Q12" s="20">
        <f t="shared" si="2"/>
        <v>24.918453380211091</v>
      </c>
      <c r="R12" s="59">
        <f t="shared" si="0"/>
        <v>318.25178671354439</v>
      </c>
      <c r="S12" s="59">
        <f ca="1">AVERAGE(OFFSET($R$3,0,0,'Données projet'!$E$9+1,1))-AVERAGE(OFFSET($H$3,0,0,'Données projet'!$E$9+1,1))</f>
        <v>252.28378247570731</v>
      </c>
      <c r="T12" s="59">
        <f t="shared" si="34"/>
        <v>263.50418595307343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3.65</v>
      </c>
      <c r="AI12" s="13">
        <f>IF('Données projet'!$A$62&gt;35,AI11+AH12-AQ11,IF(A12&lt;'Données projet'!$A$62,$AF$205^A12,IF(A12='Données projet'!$A$62,'Données projet'!$B$62,AI11+AH12-AQ11)))</f>
        <v>6.8943811137639424</v>
      </c>
      <c r="AJ12" s="13">
        <f>AI12*VLOOKUP('Données projet'!$B$10,Paramètres!$A$1:$I$89,3,0)*VLOOKUP('Données projet'!$B$10,Paramètres!$A$1:$I$89,5,0)</f>
        <v>5.8078266502347455</v>
      </c>
      <c r="AK12" s="13">
        <f t="shared" si="35"/>
        <v>2.1808938198181922</v>
      </c>
      <c r="AL12" s="20">
        <f t="shared" si="4"/>
        <v>13.913688152008866</v>
      </c>
      <c r="AM12" s="59">
        <f t="shared" si="5"/>
        <v>307.2470214853422</v>
      </c>
      <c r="AN12" s="59">
        <f ca="1">AVERAGE(OFFSET($AM$3,0,0,'Données projet'!$E$10+1,1))-AVERAGE(OFFSET($H$3,0,0,'Données projet'!$E$10+1,1))</f>
        <v>382.67703499770795</v>
      </c>
      <c r="AO12" s="59">
        <f t="shared" si="36"/>
        <v>237.98926636458219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3.85</v>
      </c>
      <c r="N13" s="13">
        <f>IF('Données projet'!$A$36&gt;35,N12+M13-V12,IF(A13&lt;'Données projet'!$A$36,$K$205^A13,IF(A13='Données projet'!$A$36,'Données projet'!$B$36,N12+M13-V12)))</f>
        <v>24.389429756561942</v>
      </c>
      <c r="O13" s="13">
        <f>N13*VLOOKUP('Données projet'!$B$9,Paramètres!$A$1:$I$89,3,0)*VLOOKUP('Données projet'!$B$9,Paramètres!$A$1:$I$89,5,0)</f>
        <v>14.584878994424042</v>
      </c>
      <c r="P13" s="13">
        <f t="shared" si="33"/>
        <v>4.9201303153214564</v>
      </c>
      <c r="Q13" s="20">
        <f t="shared" si="2"/>
        <v>33.971224547806742</v>
      </c>
      <c r="R13" s="59">
        <f t="shared" si="0"/>
        <v>327.30455788114006</v>
      </c>
      <c r="S13" s="59">
        <f ca="1">AVERAGE(OFFSET($R$3,0,0,'Données projet'!$E$9+1,1))-AVERAGE(OFFSET($H$3,0,0,'Données projet'!$E$9+1,1))</f>
        <v>252.28378247570731</v>
      </c>
      <c r="T13" s="59">
        <f t="shared" si="34"/>
        <v>263.50418595307343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3.65</v>
      </c>
      <c r="AI13" s="13">
        <f>IF('Données projet'!$A$62&gt;35,AI12+AH13-AQ12,IF(A13&lt;'Données projet'!$A$62,$AF$205^A13,IF(A13='Données projet'!$A$62,'Données projet'!$B$62,AI12+AH13-AQ12)))</f>
        <v>8.5440037453175322</v>
      </c>
      <c r="AJ13" s="13">
        <f>AI13*VLOOKUP('Données projet'!$B$10,Paramètres!$A$1:$I$89,3,0)*VLOOKUP('Données projet'!$B$10,Paramètres!$A$1:$I$89,5,0)</f>
        <v>7.1974687550554899</v>
      </c>
      <c r="AK13" s="13">
        <f t="shared" si="35"/>
        <v>2.6360650660630816</v>
      </c>
      <c r="AL13" s="20">
        <f t="shared" si="4"/>
        <v>17.126738071781514</v>
      </c>
      <c r="AM13" s="59">
        <f t="shared" si="5"/>
        <v>310.46007140511483</v>
      </c>
      <c r="AN13" s="59">
        <f ca="1">AVERAGE(OFFSET($AM$3,0,0,'Données projet'!$E$10+1,1))-AVERAGE(OFFSET($H$3,0,0,'Données projet'!$E$10+1,1))</f>
        <v>382.67703499770795</v>
      </c>
      <c r="AO13" s="59">
        <f t="shared" si="36"/>
        <v>237.98926636458219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3.85</v>
      </c>
      <c r="N14" s="13">
        <f>IF('Données projet'!$A$36&gt;35,N13+M14-V13,IF(A14&lt;'Données projet'!$A$36,$K$205^A14,IF(A14='Données projet'!$A$36,'Données projet'!$B$36,N13+M14-V13)))</f>
        <v>33.567717449257145</v>
      </c>
      <c r="O14" s="13">
        <f>N14*VLOOKUP('Données projet'!$B$9,Paramètres!$A$1:$I$89,3,0)*VLOOKUP('Données projet'!$B$9,Paramètres!$A$1:$I$89,5,0)</f>
        <v>20.073495034655775</v>
      </c>
      <c r="P14" s="13">
        <f t="shared" si="33"/>
        <v>6.5245376740055958</v>
      </c>
      <c r="Q14" s="20">
        <f t="shared" si="2"/>
        <v>46.324906967585214</v>
      </c>
      <c r="R14" s="59">
        <f t="shared" si="0"/>
        <v>339.65824030091852</v>
      </c>
      <c r="S14" s="59">
        <f ca="1">AVERAGE(OFFSET($R$3,0,0,'Données projet'!$E$9+1,1))-AVERAGE(OFFSET($H$3,0,0,'Données projet'!$E$9+1,1))</f>
        <v>252.28378247570731</v>
      </c>
      <c r="T14" s="59">
        <f t="shared" si="34"/>
        <v>263.50418595307343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3.65</v>
      </c>
      <c r="AI14" s="13">
        <f>IF('Données projet'!$A$62&gt;35,AI13+AH14-AQ13,IF(A14&lt;'Données projet'!$A$62,$AF$205^A14,IF(A14='Données projet'!$A$62,'Données projet'!$B$62,AI13+AH14-AQ13)))</f>
        <v>10.588332555950936</v>
      </c>
      <c r="AJ14" s="13">
        <f>AI14*VLOOKUP('Données projet'!$B$10,Paramètres!$A$1:$I$89,3,0)*VLOOKUP('Données projet'!$B$10,Paramètres!$A$1:$I$89,5,0)</f>
        <v>8.9196113451330703</v>
      </c>
      <c r="AK14" s="13">
        <f t="shared" si="35"/>
        <v>3.186234455512118</v>
      </c>
      <c r="AL14" s="20">
        <f t="shared" si="4"/>
        <v>21.084348102790369</v>
      </c>
      <c r="AM14" s="59">
        <f t="shared" si="5"/>
        <v>314.4176814361237</v>
      </c>
      <c r="AN14" s="59">
        <f ca="1">AVERAGE(OFFSET($AM$3,0,0,'Données projet'!$E$10+1,1))-AVERAGE(OFFSET($H$3,0,0,'Données projet'!$E$10+1,1))</f>
        <v>382.67703499770795</v>
      </c>
      <c r="AO14" s="59">
        <f t="shared" si="36"/>
        <v>237.98926636458219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46.2</v>
      </c>
      <c r="L15" s="12">
        <f>VLOOKUP(A15,'Données projet'!$A$35:$I$55,9,0)</f>
        <v>3.85</v>
      </c>
      <c r="M15" s="12">
        <f t="array" ref="M15">INDEX(L:L,MIN(IF(ISNUMBER(L15:L211),ROW(L15:L211),"")))</f>
        <v>3.85</v>
      </c>
      <c r="N15" s="13">
        <f>IF('Données projet'!$A$36&gt;35,N14+M15-V14,IF(A15&lt;'Données projet'!$A$36,$K$205^A15,IF(A15='Données projet'!$A$36,'Données projet'!$B$36,N14+M15-V14)))</f>
        <v>46.2</v>
      </c>
      <c r="O15" s="13">
        <f>N15*VLOOKUP('Données projet'!$B$9,Paramètres!$A$1:$I$89,3,0)*VLOOKUP('Données projet'!$B$9,Paramètres!$A$1:$I$89,5,0)</f>
        <v>27.627600000000005</v>
      </c>
      <c r="P15" s="13">
        <f t="shared" si="33"/>
        <v>8.6521269013861506</v>
      </c>
      <c r="Q15" s="20">
        <f t="shared" si="2"/>
        <v>63.187191019914216</v>
      </c>
      <c r="R15" s="59">
        <f t="shared" si="0"/>
        <v>356.52052435324754</v>
      </c>
      <c r="S15" s="59">
        <f ca="1">AVERAGE(OFFSET($R$3,0,0,'Données projet'!$E$9+1,1))-AVERAGE(OFFSET($H$3,0,0,'Données projet'!$E$9+1,1))</f>
        <v>252.28378247570731</v>
      </c>
      <c r="T15" s="59">
        <f t="shared" si="34"/>
        <v>263.50418595307343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3.65</v>
      </c>
      <c r="AI15" s="13">
        <f>IF('Données projet'!$A$62&gt;35,AI14+AH15-AQ14,IF(A15&lt;'Données projet'!$A$62,$AF$205^A15,IF(A15='Données projet'!$A$62,'Données projet'!$B$62,AI14+AH15-AQ14)))</f>
        <v>13.121809125710287</v>
      </c>
      <c r="AJ15" s="13">
        <f>AI15*VLOOKUP('Données projet'!$B$10,Paramètres!$A$1:$I$89,3,0)*VLOOKUP('Données projet'!$B$10,Paramètres!$A$1:$I$89,5,0)</f>
        <v>11.053812007498347</v>
      </c>
      <c r="AK15" s="13">
        <f t="shared" si="35"/>
        <v>3.8512289154738402</v>
      </c>
      <c r="AL15" s="20">
        <f t="shared" si="4"/>
        <v>25.959612940843225</v>
      </c>
      <c r="AM15" s="59">
        <f t="shared" si="5"/>
        <v>319.29294627417653</v>
      </c>
      <c r="AN15" s="59">
        <f ca="1">AVERAGE(OFFSET($AM$3,0,0,'Données projet'!$E$10+1,1))-AVERAGE(OFFSET($H$3,0,0,'Données projet'!$E$10+1,1))</f>
        <v>382.67703499770795</v>
      </c>
      <c r="AO15" s="59">
        <f t="shared" si="36"/>
        <v>237.98926636458219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15.324999999999999</v>
      </c>
      <c r="N16" s="13">
        <f>IF('Données projet'!$A$36&gt;35,N15+M16-V15,IF(A16&lt;'Données projet'!$A$36,$K$205^A16,IF(A16='Données projet'!$A$36,'Données projet'!$B$36,N15+M16-V15)))</f>
        <v>61.525000000000006</v>
      </c>
      <c r="O16" s="13">
        <f>N16*VLOOKUP('Données projet'!$B$9,Paramètres!$A$1:$I$89,3,0)*VLOOKUP('Données projet'!$B$9,Paramètres!$A$1:$I$89,5,0)</f>
        <v>36.791950000000007</v>
      </c>
      <c r="P16" s="13">
        <f t="shared" si="33"/>
        <v>11.144260225190576</v>
      </c>
      <c r="Q16" s="20">
        <f t="shared" si="2"/>
        <v>83.488899475540265</v>
      </c>
      <c r="R16" s="59">
        <f t="shared" si="0"/>
        <v>376.82223280887359</v>
      </c>
      <c r="S16" s="59">
        <f ca="1">AVERAGE(OFFSET($R$3,0,0,'Données projet'!$E$9+1,1))-AVERAGE(OFFSET($H$3,0,0,'Données projet'!$E$9+1,1))</f>
        <v>252.28378247570731</v>
      </c>
      <c r="T16" s="59">
        <f t="shared" si="34"/>
        <v>263.50418595307343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3.65</v>
      </c>
      <c r="AI16" s="13">
        <f>IF('Données projet'!$A$62&gt;35,AI15+AH16-AQ15,IF(A16&lt;'Données projet'!$A$62,$AF$205^A16,IF(A16='Données projet'!$A$62,'Données projet'!$B$62,AI15+AH16-AQ15)))</f>
        <v>16.261472127148366</v>
      </c>
      <c r="AJ16" s="13">
        <f>AI16*VLOOKUP('Données projet'!$B$10,Paramètres!$A$1:$I$89,3,0)*VLOOKUP('Données projet'!$B$10,Paramètres!$A$1:$I$89,5,0)</f>
        <v>13.698664119909786</v>
      </c>
      <c r="AK16" s="13">
        <f t="shared" si="35"/>
        <v>4.6550134230463893</v>
      </c>
      <c r="AL16" s="20">
        <f t="shared" si="4"/>
        <v>31.965988387315338</v>
      </c>
      <c r="AM16" s="59">
        <f t="shared" si="5"/>
        <v>325.29932172064866</v>
      </c>
      <c r="AN16" s="59">
        <f ca="1">AVERAGE(OFFSET($AM$3,0,0,'Données projet'!$E$10+1,1))-AVERAGE(OFFSET($H$3,0,0,'Données projet'!$E$10+1,1))</f>
        <v>382.67703499770795</v>
      </c>
      <c r="AO16" s="59">
        <f t="shared" si="36"/>
        <v>237.98926636458219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15.324999999999999</v>
      </c>
      <c r="N17" s="13">
        <f>IF('Données projet'!$A$36&gt;35,N16+M17-V16,IF(A17&lt;'Données projet'!$A$36,$K$205^A17,IF(A17='Données projet'!$A$36,'Données projet'!$B$36,N16+M17-V16)))</f>
        <v>76.850000000000009</v>
      </c>
      <c r="O17" s="13">
        <f>N17*VLOOKUP('Données projet'!$B$9,Paramètres!$A$1:$I$89,3,0)*VLOOKUP('Données projet'!$B$9,Paramètres!$A$1:$I$89,5,0)</f>
        <v>45.956300000000013</v>
      </c>
      <c r="P17" s="13">
        <f t="shared" si="33"/>
        <v>13.564386507579055</v>
      </c>
      <c r="Q17" s="20">
        <f t="shared" si="2"/>
        <v>103.66519566736689</v>
      </c>
      <c r="R17" s="59">
        <f t="shared" si="0"/>
        <v>396.99852900070022</v>
      </c>
      <c r="S17" s="59">
        <f ca="1">AVERAGE(OFFSET($R$3,0,0,'Données projet'!$E$9+1,1))-AVERAGE(OFFSET($H$3,0,0,'Données projet'!$E$9+1,1))</f>
        <v>252.28378247570731</v>
      </c>
      <c r="T17" s="59">
        <f t="shared" si="34"/>
        <v>263.50418595307343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3.65</v>
      </c>
      <c r="AI17" s="13">
        <f>IF('Données projet'!$A$62&gt;35,AI16+AH17-AQ16,IF(A17&lt;'Données projet'!$A$62,$AF$205^A17,IF(A17='Données projet'!$A$62,'Données projet'!$B$62,AI16+AH17-AQ16)))</f>
        <v>20.152364144963837</v>
      </c>
      <c r="AJ17" s="13">
        <f>AI17*VLOOKUP('Données projet'!$B$10,Paramètres!$A$1:$I$89,3,0)*VLOOKUP('Données projet'!$B$10,Paramètres!$A$1:$I$89,5,0)</f>
        <v>16.976351555717539</v>
      </c>
      <c r="AK17" s="13">
        <f t="shared" si="35"/>
        <v>5.6265546516016363</v>
      </c>
      <c r="AL17" s="20">
        <f t="shared" si="4"/>
        <v>39.366728311080898</v>
      </c>
      <c r="AM17" s="59">
        <f t="shared" si="5"/>
        <v>332.70006164441423</v>
      </c>
      <c r="AN17" s="59">
        <f ca="1">AVERAGE(OFFSET($AM$3,0,0,'Données projet'!$E$10+1,1))-AVERAGE(OFFSET($H$3,0,0,'Données projet'!$E$10+1,1))</f>
        <v>382.67703499770795</v>
      </c>
      <c r="AO17" s="59">
        <f t="shared" si="36"/>
        <v>237.98926636458219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15.324999999999999</v>
      </c>
      <c r="N18" s="13">
        <f>IF('Données projet'!$A$36&gt;35,N17+M18-V17,IF(A18&lt;'Données projet'!$A$36,$K$205^A18,IF(A18='Données projet'!$A$36,'Données projet'!$B$36,N17+M18-V17)))</f>
        <v>92.175000000000011</v>
      </c>
      <c r="O18" s="13">
        <f>N18*VLOOKUP('Données projet'!$B$9,Paramètres!$A$1:$I$89,3,0)*VLOOKUP('Données projet'!$B$9,Paramètres!$A$1:$I$89,5,0)</f>
        <v>55.120650000000012</v>
      </c>
      <c r="P18" s="13">
        <f t="shared" si="33"/>
        <v>15.928592691029031</v>
      </c>
      <c r="Q18" s="20">
        <f t="shared" si="2"/>
        <v>123.74409768687555</v>
      </c>
      <c r="R18" s="59">
        <f t="shared" si="0"/>
        <v>417.07743102020885</v>
      </c>
      <c r="S18" s="59">
        <f ca="1">AVERAGE(OFFSET($R$3,0,0,'Données projet'!$E$9+1,1))-AVERAGE(OFFSET($H$3,0,0,'Données projet'!$E$9+1,1))</f>
        <v>252.28378247570731</v>
      </c>
      <c r="T18" s="59">
        <f t="shared" si="34"/>
        <v>263.50418595307343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3.65</v>
      </c>
      <c r="AI18" s="13">
        <f>IF('Données projet'!$A$62&gt;35,AI17+AH18-AQ17,IF(A18&lt;'Données projet'!$A$62,$AF$205^A18,IF(A18='Données projet'!$A$62,'Données projet'!$B$62,AI17+AH18-AQ17)))</f>
        <v>24.974232188561476</v>
      </c>
      <c r="AJ18" s="13">
        <f>AI18*VLOOKUP('Données projet'!$B$10,Paramètres!$A$1:$I$89,3,0)*VLOOKUP('Données projet'!$B$10,Paramètres!$A$1:$I$89,5,0)</f>
        <v>21.03829319564419</v>
      </c>
      <c r="AK18" s="13">
        <f t="shared" si="35"/>
        <v>6.8008648676982615</v>
      </c>
      <c r="AL18" s="20">
        <f t="shared" si="4"/>
        <v>48.486533626988098</v>
      </c>
      <c r="AM18" s="59">
        <f t="shared" si="5"/>
        <v>341.81986696032141</v>
      </c>
      <c r="AN18" s="59">
        <f ca="1">AVERAGE(OFFSET($AM$3,0,0,'Données projet'!$E$10+1,1))-AVERAGE(OFFSET($H$3,0,0,'Données projet'!$E$10+1,1))</f>
        <v>382.67703499770795</v>
      </c>
      <c r="AO18" s="59">
        <f t="shared" si="36"/>
        <v>237.98926636458219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107.5</v>
      </c>
      <c r="L19" s="12">
        <f>VLOOKUP(A19,'Données projet'!$A$35:$I$55,9,0)</f>
        <v>15.324999999999999</v>
      </c>
      <c r="M19" s="12">
        <f t="array" ref="M19">INDEX(L:L,MIN(IF(ISNUMBER(L19:L215),ROW(L19:L215),"")))</f>
        <v>15.324999999999999</v>
      </c>
      <c r="N19" s="13">
        <f>IF('Données projet'!$A$36&gt;35,N18+M19-V18,IF(A19&lt;'Données projet'!$A$36,$K$205^A19,IF(A19='Données projet'!$A$36,'Données projet'!$B$36,N18+M19-V18)))</f>
        <v>107.50000000000001</v>
      </c>
      <c r="O19" s="13">
        <f>N19*VLOOKUP('Données projet'!$B$9,Paramètres!$A$1:$I$89,3,0)*VLOOKUP('Données projet'!$B$9,Paramètres!$A$1:$I$89,5,0)</f>
        <v>64.285000000000011</v>
      </c>
      <c r="P19" s="13">
        <f t="shared" si="33"/>
        <v>18.247263773944024</v>
      </c>
      <c r="Q19" s="20">
        <f t="shared" si="2"/>
        <v>143.74369273961921</v>
      </c>
      <c r="R19" s="59">
        <f t="shared" si="0"/>
        <v>437.07702607295255</v>
      </c>
      <c r="S19" s="59">
        <f ca="1">AVERAGE(OFFSET($R$3,0,0,'Données projet'!$E$9+1,1))-AVERAGE(OFFSET($H$3,0,0,'Données projet'!$E$9+1,1))</f>
        <v>252.28378247570731</v>
      </c>
      <c r="T19" s="59">
        <f t="shared" si="34"/>
        <v>263.50418595307343</v>
      </c>
      <c r="U19" s="15">
        <f>IF(ISNA(VLOOKUP(A19,'Données projet'!$A$35:$I$55,3,0)),0,VLOOKUP(A19,'Données projet'!$A$35:$I$55,3,0))</f>
        <v>2</v>
      </c>
      <c r="V19" s="15">
        <f>IF(ISNA(VLOOKUP(A19,'Données projet'!$A$35:$I$55,4,0)),0,VLOOKUP(A19,'Données projet'!$A$35:$I$55,4,0))</f>
        <v>25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0.5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8.4634364240103324</v>
      </c>
      <c r="AC19" s="22">
        <f t="shared" si="3"/>
        <v>8.4634364240103324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3.65</v>
      </c>
      <c r="AI19" s="13">
        <f>IF('Données projet'!$A$62&gt;35,AI18+AH19-AQ18,IF(A19&lt;'Données projet'!$A$62,$AF$205^A19,IF(A19='Données projet'!$A$62,'Données projet'!$B$62,AI18+AH19-AQ18)))</f>
        <v>30.949831440200953</v>
      </c>
      <c r="AJ19" s="13">
        <f>AI19*VLOOKUP('Données projet'!$B$10,Paramètres!$A$1:$I$89,3,0)*VLOOKUP('Données projet'!$B$10,Paramètres!$A$1:$I$89,5,0)</f>
        <v>26.072138005225284</v>
      </c>
      <c r="AK19" s="13">
        <f t="shared" si="35"/>
        <v>8.2202636982343371</v>
      </c>
      <c r="AL19" s="20">
        <f t="shared" si="4"/>
        <v>59.725932966858835</v>
      </c>
      <c r="AM19" s="59">
        <f t="shared" si="5"/>
        <v>353.05926630019212</v>
      </c>
      <c r="AN19" s="59">
        <f ca="1">AVERAGE(OFFSET($AM$3,0,0,'Données projet'!$E$10+1,1))-AVERAGE(OFFSET($H$3,0,0,'Données projet'!$E$10+1,1))</f>
        <v>382.67703499770795</v>
      </c>
      <c r="AO19" s="59">
        <f t="shared" si="36"/>
        <v>237.98926636458219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17.200000000000003</v>
      </c>
      <c r="N20" s="13">
        <f>IF('Données projet'!$A$36&gt;35,N19+M20-V19,IF(A20&lt;'Données projet'!$A$36,$K$205^A20,IF(A20='Données projet'!$A$36,'Données projet'!$B$36,N19+M20-V19)))</f>
        <v>99.700000000000017</v>
      </c>
      <c r="O20" s="13">
        <f>N20*VLOOKUP('Données projet'!$B$9,Paramètres!$A$1:$I$89,3,0)*VLOOKUP('Données projet'!$B$9,Paramètres!$A$1:$I$89,5,0)</f>
        <v>59.62060000000001</v>
      </c>
      <c r="P20" s="13">
        <f t="shared" si="33"/>
        <v>17.072309403636297</v>
      </c>
      <c r="Q20" s="20">
        <f t="shared" si="2"/>
        <v>133.57348387799991</v>
      </c>
      <c r="R20" s="59">
        <f t="shared" si="0"/>
        <v>426.90681721133319</v>
      </c>
      <c r="S20" s="59">
        <f ca="1">AVERAGE(OFFSET($R$3,0,0,'Données projet'!$E$9+1,1))-AVERAGE(OFFSET($H$3,0,0,'Données projet'!$E$9+1,1))</f>
        <v>252.28378247570731</v>
      </c>
      <c r="T20" s="59">
        <f t="shared" si="34"/>
        <v>263.50418595307343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5.9845532875589305</v>
      </c>
      <c r="AC20" s="22">
        <f t="shared" si="3"/>
        <v>5.9845532875589305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3.65</v>
      </c>
      <c r="AI20" s="13">
        <f>IF('Données projet'!$A$62&gt;35,AI19+AH20-AQ19,IF(A20&lt;'Données projet'!$A$62,$AF$205^A20,IF(A20='Données projet'!$A$62,'Données projet'!$B$62,AI19+AH20-AQ19)))</f>
        <v>38.355215845858055</v>
      </c>
      <c r="AJ20" s="13">
        <f>AI20*VLOOKUP('Données projet'!$B$10,Paramètres!$A$1:$I$89,3,0)*VLOOKUP('Données projet'!$B$10,Paramètres!$A$1:$I$89,5,0)</f>
        <v>32.310433828550828</v>
      </c>
      <c r="AK20" s="13">
        <f t="shared" si="35"/>
        <v>9.9359032392271498</v>
      </c>
      <c r="AL20" s="20">
        <f t="shared" si="4"/>
        <v>73.579037059713301</v>
      </c>
      <c r="AM20" s="59">
        <f t="shared" si="5"/>
        <v>366.91237039304661</v>
      </c>
      <c r="AN20" s="59">
        <f ca="1">AVERAGE(OFFSET($AM$3,0,0,'Données projet'!$E$10+1,1))-AVERAGE(OFFSET($H$3,0,0,'Données projet'!$E$10+1,1))</f>
        <v>382.67703499770795</v>
      </c>
      <c r="AO20" s="59">
        <f t="shared" si="36"/>
        <v>237.98926636458219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17.200000000000003</v>
      </c>
      <c r="N21" s="13">
        <f>IF('Données projet'!$A$36&gt;35,N20+M21-V20,IF(A21&lt;'Données projet'!$A$36,$K$205^A21,IF(A21='Données projet'!$A$36,'Données projet'!$B$36,N20+M21-V20)))</f>
        <v>116.90000000000002</v>
      </c>
      <c r="O21" s="13">
        <f>N21*VLOOKUP('Données projet'!$B$9,Paramètres!$A$1:$I$89,3,0)*VLOOKUP('Données projet'!$B$9,Paramètres!$A$1:$I$89,5,0)</f>
        <v>69.906200000000013</v>
      </c>
      <c r="P21" s="13">
        <f t="shared" si="33"/>
        <v>19.650161907904558</v>
      </c>
      <c r="Q21" s="20">
        <f t="shared" si="2"/>
        <v>155.9773303229338</v>
      </c>
      <c r="R21" s="59">
        <f t="shared" si="0"/>
        <v>449.31066365626714</v>
      </c>
      <c r="S21" s="59">
        <f ca="1">AVERAGE(OFFSET($R$3,0,0,'Données projet'!$E$9+1,1))-AVERAGE(OFFSET($H$3,0,0,'Données projet'!$E$9+1,1))</f>
        <v>252.28378247570731</v>
      </c>
      <c r="T21" s="59">
        <f t="shared" si="34"/>
        <v>263.50418595307343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4.2317182120051662</v>
      </c>
      <c r="AC21" s="22">
        <f t="shared" si="3"/>
        <v>4.2317182120051662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3.65</v>
      </c>
      <c r="AI21" s="13">
        <f>IF('Données projet'!$A$62&gt;35,AI20+AH21-AQ20,IF(A21&lt;'Données projet'!$A$62,$AF$205^A21,IF(A21='Données projet'!$A$62,'Données projet'!$B$62,AI20+AH21-AQ20)))</f>
        <v>47.532490941824946</v>
      </c>
      <c r="AJ21" s="13">
        <f>AI21*VLOOKUP('Données projet'!$B$10,Paramètres!$A$1:$I$89,3,0)*VLOOKUP('Données projet'!$B$10,Paramètres!$A$1:$I$89,5,0)</f>
        <v>40.041370369393334</v>
      </c>
      <c r="AK21" s="13">
        <f t="shared" si="35"/>
        <v>12.009611467876571</v>
      </c>
      <c r="AL21" s="20">
        <f t="shared" si="4"/>
        <v>90.655460033245092</v>
      </c>
      <c r="AM21" s="59">
        <f t="shared" si="5"/>
        <v>383.98879336657842</v>
      </c>
      <c r="AN21" s="59">
        <f ca="1">AVERAGE(OFFSET($AM$3,0,0,'Données projet'!$E$10+1,1))-AVERAGE(OFFSET($H$3,0,0,'Données projet'!$E$10+1,1))</f>
        <v>382.67703499770795</v>
      </c>
      <c r="AO21" s="59">
        <f t="shared" si="36"/>
        <v>237.98926636458219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17.200000000000003</v>
      </c>
      <c r="N22" s="13">
        <f>IF('Données projet'!$A$36&gt;35,N21+M22-V21,IF(A22&lt;'Données projet'!$A$36,$K$205^A22,IF(A22='Données projet'!$A$36,'Données projet'!$B$36,N21+M22-V21)))</f>
        <v>134.10000000000002</v>
      </c>
      <c r="O22" s="13">
        <f>N22*VLOOKUP('Données projet'!$B$9,Paramètres!$A$1:$I$89,3,0)*VLOOKUP('Données projet'!$B$9,Paramètres!$A$1:$I$89,5,0)</f>
        <v>80.191800000000015</v>
      </c>
      <c r="P22" s="13">
        <f t="shared" si="33"/>
        <v>22.184073687979513</v>
      </c>
      <c r="Q22" s="20">
        <f t="shared" si="2"/>
        <v>178.30464667323099</v>
      </c>
      <c r="R22" s="59">
        <f t="shared" si="0"/>
        <v>471.63798000656431</v>
      </c>
      <c r="S22" s="59">
        <f ca="1">AVERAGE(OFFSET($R$3,0,0,'Données projet'!$E$9+1,1))-AVERAGE(OFFSET($H$3,0,0,'Données projet'!$E$9+1,1))</f>
        <v>252.28378247570731</v>
      </c>
      <c r="T22" s="59">
        <f t="shared" si="34"/>
        <v>263.50418595307343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2.9922766437794652</v>
      </c>
      <c r="AC22" s="22">
        <f t="shared" si="3"/>
        <v>2.9922766437794652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3.65</v>
      </c>
      <c r="AI22" s="13">
        <f>IF('Données projet'!$A$62&gt;35,AI21+AH22-AQ21,IF(A22&lt;'Données projet'!$A$62,$AF$205^A22,IF(A22='Données projet'!$A$62,'Données projet'!$B$62,AI21+AH22-AQ21)))</f>
        <v>58.90561805764559</v>
      </c>
      <c r="AJ22" s="13">
        <f>AI22*VLOOKUP('Données projet'!$B$10,Paramètres!$A$1:$I$89,3,0)*VLOOKUP('Données projet'!$B$10,Paramètres!$A$1:$I$89,5,0)</f>
        <v>49.622092651760646</v>
      </c>
      <c r="AK22" s="13">
        <f t="shared" si="35"/>
        <v>14.516120390537463</v>
      </c>
      <c r="AL22" s="20">
        <f t="shared" si="4"/>
        <v>111.70738771533587</v>
      </c>
      <c r="AM22" s="59">
        <f t="shared" si="5"/>
        <v>405.04072104866918</v>
      </c>
      <c r="AN22" s="59">
        <f ca="1">AVERAGE(OFFSET($AM$3,0,0,'Données projet'!$E$10+1,1))-AVERAGE(OFFSET($H$3,0,0,'Données projet'!$E$10+1,1))</f>
        <v>382.67703499770795</v>
      </c>
      <c r="AO22" s="59">
        <f t="shared" si="36"/>
        <v>237.98926636458219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151.30000000000001</v>
      </c>
      <c r="L23" s="12">
        <f>VLOOKUP(A23,'Données projet'!$A$35:$I$55,9,0)</f>
        <v>17.200000000000003</v>
      </c>
      <c r="M23" s="12">
        <f t="array" ref="M23">INDEX(L:L,MIN(IF(ISNUMBER(L23:L219),ROW(L23:L219),"")))</f>
        <v>17.200000000000003</v>
      </c>
      <c r="N23" s="13">
        <f>IF('Données projet'!$A$36&gt;35,N22+M23-V22,IF(A23&lt;'Données projet'!$A$36,$K$205^A23,IF(A23='Données projet'!$A$36,'Données projet'!$B$36,N22+M23-V22)))</f>
        <v>151.30000000000001</v>
      </c>
      <c r="O23" s="13">
        <f>N23*VLOOKUP('Données projet'!$B$9,Paramètres!$A$1:$I$89,3,0)*VLOOKUP('Données projet'!$B$9,Paramètres!$A$1:$I$89,5,0)</f>
        <v>90.477400000000017</v>
      </c>
      <c r="P23" s="13">
        <f t="shared" si="33"/>
        <v>24.680326903050478</v>
      </c>
      <c r="Q23" s="20">
        <f t="shared" si="2"/>
        <v>200.5663743561463</v>
      </c>
      <c r="R23" s="59">
        <f t="shared" si="0"/>
        <v>493.89970768947961</v>
      </c>
      <c r="S23" s="59">
        <f ca="1">AVERAGE(OFFSET($R$3,0,0,'Données projet'!$E$9+1,1))-AVERAGE(OFFSET($H$3,0,0,'Données projet'!$E$9+1,1))</f>
        <v>252.28378247570731</v>
      </c>
      <c r="T23" s="59">
        <f t="shared" si="34"/>
        <v>263.50418595307343</v>
      </c>
      <c r="U23" s="15">
        <f>IF(ISNA(VLOOKUP(A23,'Données projet'!$A$35:$I$55,3,0)),0,VLOOKUP(A23,'Données projet'!$A$35:$I$55,3,0))</f>
        <v>3</v>
      </c>
      <c r="V23" s="15">
        <f>IF(ISNA(VLOOKUP(A23,'Données projet'!$A$35:$I$55,4,0)),0,VLOOKUP(A23,'Données projet'!$A$35:$I$55,4,0))</f>
        <v>33.700000000000003</v>
      </c>
      <c r="W23" s="16">
        <f>IF(ISNA(VLOOKUP(A23,'Données projet'!$A$35:$I$55,5,0)),0%,VLOOKUP(A23,'Données projet'!$A$35:$I$55,5,0)*VLOOKUP('Données projet'!$B$9,Paramètres!$A$1:$I$89,7,0))</f>
        <v>9.0000000000000011E-2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0.6</v>
      </c>
      <c r="Z23" s="21">
        <f>EXP(-LN(2)/35)*Z22+(1-EXP(-LN(2)/35))/(LN(2)/35)*V23*W23*VLOOKUP('Données projet'!$B$9,Paramètres!$A$1:$I$89,3,0)*0.475*44/12</f>
        <v>2.4060350560221795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15.8063138654817</v>
      </c>
      <c r="AC23" s="22">
        <f t="shared" si="3"/>
        <v>18.212348921503878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73</v>
      </c>
      <c r="AG23" s="12">
        <f>VLOOKUP(A23,'Données projet'!$A$61:$I$81,9,0)</f>
        <v>3.65</v>
      </c>
      <c r="AH23" s="12">
        <f t="array" ref="AH23">INDEX(AG:AG,MIN(IF(ISNUMBER(AG23:AG219),ROW(AG23:AG219),"")))</f>
        <v>3.65</v>
      </c>
      <c r="AI23" s="13">
        <f>IF('Données projet'!$A$62&gt;35,AI22+AH23-AQ22,IF(A23&lt;'Données projet'!$A$62,$AF$205^A23,IF(A23='Données projet'!$A$62,'Données projet'!$B$62,AI22+AH23-AQ22)))</f>
        <v>73</v>
      </c>
      <c r="AJ23" s="13">
        <f>AI23*VLOOKUP('Données projet'!$B$10,Paramètres!$A$1:$I$89,3,0)*VLOOKUP('Données projet'!$B$10,Paramètres!$A$1:$I$89,5,0)</f>
        <v>61.495200000000004</v>
      </c>
      <c r="AK23" s="13">
        <f t="shared" si="35"/>
        <v>17.545759224285259</v>
      </c>
      <c r="AL23" s="20">
        <f t="shared" si="4"/>
        <v>137.66300398229683</v>
      </c>
      <c r="AM23" s="59">
        <f t="shared" si="5"/>
        <v>430.99633731563017</v>
      </c>
      <c r="AN23" s="59">
        <f ca="1">AVERAGE(OFFSET($AM$3,0,0,'Données projet'!$E$10+1,1))-AVERAGE(OFFSET($H$3,0,0,'Données projet'!$E$10+1,1))</f>
        <v>382.67703499770795</v>
      </c>
      <c r="AO23" s="59">
        <f t="shared" si="36"/>
        <v>237.98926636458219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6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19.899999999999995</v>
      </c>
      <c r="N24" s="13">
        <f>IF('Données projet'!$A$36&gt;35,N23+M24-V23,IF(A24&lt;'Données projet'!$A$36,$K$205^A24,IF(A24='Données projet'!$A$36,'Données projet'!$B$36,N23+M24-V23)))</f>
        <v>137.5</v>
      </c>
      <c r="O24" s="13">
        <f>N24*VLOOKUP('Données projet'!$B$9,Paramètres!$A$1:$I$89,3,0)*VLOOKUP('Données projet'!$B$9,Paramètres!$A$1:$I$89,5,0)</f>
        <v>82.225000000000009</v>
      </c>
      <c r="P24" s="13">
        <f t="shared" si="33"/>
        <v>22.680336573198979</v>
      </c>
      <c r="Q24" s="20">
        <f t="shared" si="2"/>
        <v>182.71012786498821</v>
      </c>
      <c r="R24" s="59">
        <f t="shared" si="0"/>
        <v>476.04346119832155</v>
      </c>
      <c r="S24" s="59">
        <f ca="1">AVERAGE(OFFSET($R$3,0,0,'Données projet'!$E$9+1,1))-AVERAGE(OFFSET($H$3,0,0,'Données projet'!$E$9+1,1))</f>
        <v>252.28378247570731</v>
      </c>
      <c r="T24" s="59">
        <f t="shared" si="34"/>
        <v>263.50418595307343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2.3588541761100617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11.176751719845061</v>
      </c>
      <c r="AC24" s="22">
        <f t="shared" si="3"/>
        <v>13.535605895955122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8.1999999999999993</v>
      </c>
      <c r="AI24" s="13">
        <f>IF('Données projet'!$A$62&gt;35,AI23+AH24-AQ23,IF(A24&lt;'Données projet'!$A$62,$AF$205^A24,IF(A24='Données projet'!$A$62,'Données projet'!$B$62,AI23+AH24-AQ23)))</f>
        <v>75.2</v>
      </c>
      <c r="AJ24" s="13">
        <f>AI24*VLOOKUP('Données projet'!$B$10,Paramètres!$A$1:$I$89,3,0)*VLOOKUP('Données projet'!$B$10,Paramètres!$A$1:$I$89,5,0)</f>
        <v>63.348480000000009</v>
      </c>
      <c r="AK24" s="13">
        <f t="shared" si="35"/>
        <v>18.012175511673341</v>
      </c>
      <c r="AL24" s="20">
        <f t="shared" si="4"/>
        <v>141.70314168283105</v>
      </c>
      <c r="AM24" s="59">
        <f t="shared" si="5"/>
        <v>435.03647501616433</v>
      </c>
      <c r="AN24" s="59">
        <f ca="1">AVERAGE(OFFSET($AM$3,0,0,'Données projet'!$E$10+1,1))-AVERAGE(OFFSET($H$3,0,0,'Données projet'!$E$10+1,1))</f>
        <v>382.67703499770795</v>
      </c>
      <c r="AO24" s="59">
        <f t="shared" si="36"/>
        <v>237.98926636458219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19.899999999999995</v>
      </c>
      <c r="N25" s="13">
        <f>IF('Données projet'!$A$36&gt;35,N24+M25-V24,IF(A25&lt;'Données projet'!$A$36,$K$205^A25,IF(A25='Données projet'!$A$36,'Données projet'!$B$36,N24+M25-V24)))</f>
        <v>157.4</v>
      </c>
      <c r="O25" s="13">
        <f>N25*VLOOKUP('Données projet'!$B$9,Paramètres!$A$1:$I$89,3,0)*VLOOKUP('Données projet'!$B$9,Paramètres!$A$1:$I$89,5,0)</f>
        <v>94.125200000000021</v>
      </c>
      <c r="P25" s="13">
        <f t="shared" si="33"/>
        <v>25.557514079834487</v>
      </c>
      <c r="Q25" s="20">
        <f t="shared" si="2"/>
        <v>208.44739368904513</v>
      </c>
      <c r="R25" s="59">
        <f t="shared" si="0"/>
        <v>501.78072702237841</v>
      </c>
      <c r="S25" s="59">
        <f ca="1">AVERAGE(OFFSET($R$3,0,0,'Données projet'!$E$9+1,1))-AVERAGE(OFFSET($H$3,0,0,'Données projet'!$E$9+1,1))</f>
        <v>252.28378247570731</v>
      </c>
      <c r="T25" s="59">
        <f t="shared" si="34"/>
        <v>263.50418595307343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2.312598484475525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7.9031569327408508</v>
      </c>
      <c r="AC25" s="22">
        <f t="shared" si="3"/>
        <v>10.215755417216375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8.1999999999999993</v>
      </c>
      <c r="AI25" s="13">
        <f>IF('Données projet'!$A$62&gt;35,AI24+AH25-AQ24,IF(A25&lt;'Données projet'!$A$62,$AF$205^A25,IF(A25='Données projet'!$A$62,'Données projet'!$B$62,AI24+AH25-AQ24)))</f>
        <v>83.4</v>
      </c>
      <c r="AJ25" s="13">
        <f>AI25*VLOOKUP('Données projet'!$B$10,Paramètres!$A$1:$I$89,3,0)*VLOOKUP('Données projet'!$B$10,Paramètres!$A$1:$I$89,5,0)</f>
        <v>70.256160000000023</v>
      </c>
      <c r="AK25" s="13">
        <f t="shared" si="35"/>
        <v>19.737057597671299</v>
      </c>
      <c r="AL25" s="20">
        <f t="shared" si="4"/>
        <v>156.7381873159442</v>
      </c>
      <c r="AM25" s="59">
        <f t="shared" si="5"/>
        <v>450.07152064927755</v>
      </c>
      <c r="AN25" s="59">
        <f ca="1">AVERAGE(OFFSET($AM$3,0,0,'Données projet'!$E$10+1,1))-AVERAGE(OFFSET($H$3,0,0,'Données projet'!$E$10+1,1))</f>
        <v>382.67703499770795</v>
      </c>
      <c r="AO25" s="59">
        <f t="shared" si="36"/>
        <v>237.98926636458219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19.899999999999995</v>
      </c>
      <c r="N26" s="13">
        <f>IF('Données projet'!$A$36&gt;35,N25+M26-V25,IF(A26&lt;'Données projet'!$A$36,$K$205^A26,IF(A26='Données projet'!$A$36,'Données projet'!$B$36,N25+M26-V25)))</f>
        <v>177.3</v>
      </c>
      <c r="O26" s="13">
        <f>N26*VLOOKUP('Données projet'!$B$9,Paramètres!$A$1:$I$89,3,0)*VLOOKUP('Données projet'!$B$9,Paramètres!$A$1:$I$89,5,0)</f>
        <v>106.02540000000002</v>
      </c>
      <c r="P26" s="13">
        <f t="shared" si="33"/>
        <v>28.392541537580129</v>
      </c>
      <c r="Q26" s="20">
        <f t="shared" si="2"/>
        <v>234.11124817795204</v>
      </c>
      <c r="R26" s="59">
        <f t="shared" si="0"/>
        <v>527.44458151128538</v>
      </c>
      <c r="S26" s="59">
        <f ca="1">AVERAGE(OFFSET($R$3,0,0,'Données projet'!$E$9+1,1))-AVERAGE(OFFSET($H$3,0,0,'Données projet'!$E$9+1,1))</f>
        <v>252.28378247570731</v>
      </c>
      <c r="T26" s="59">
        <f t="shared" si="34"/>
        <v>263.50418595307343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2.2672498387407556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5.5883758599225315</v>
      </c>
      <c r="AC26" s="22">
        <f t="shared" si="3"/>
        <v>7.8556256986632871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8.1999999999999993</v>
      </c>
      <c r="AI26" s="13">
        <f>IF('Données projet'!$A$62&gt;35,AI25+AH26-AQ25,IF(A26&lt;'Données projet'!$A$62,$AF$205^A26,IF(A26='Données projet'!$A$62,'Données projet'!$B$62,AI25+AH26-AQ25)))</f>
        <v>91.600000000000009</v>
      </c>
      <c r="AJ26" s="13">
        <f>AI26*VLOOKUP('Données projet'!$B$10,Paramètres!$A$1:$I$89,3,0)*VLOOKUP('Données projet'!$B$10,Paramètres!$A$1:$I$89,5,0)</f>
        <v>77.163840000000008</v>
      </c>
      <c r="AK26" s="13">
        <f t="shared" si="35"/>
        <v>21.442278213774838</v>
      </c>
      <c r="AL26" s="20">
        <f t="shared" si="4"/>
        <v>171.73898922232453</v>
      </c>
      <c r="AM26" s="59">
        <f t="shared" si="5"/>
        <v>465.07232255565782</v>
      </c>
      <c r="AN26" s="59">
        <f ca="1">AVERAGE(OFFSET($AM$3,0,0,'Données projet'!$E$10+1,1))-AVERAGE(OFFSET($H$3,0,0,'Données projet'!$E$10+1,1))</f>
        <v>382.67703499770795</v>
      </c>
      <c r="AO26" s="59">
        <f t="shared" si="36"/>
        <v>237.98926636458219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197.2</v>
      </c>
      <c r="L27" s="12">
        <f>VLOOKUP(A27,'Données projet'!$A$35:$I$55,9,0)</f>
        <v>19.899999999999995</v>
      </c>
      <c r="M27" s="12">
        <f t="array" ref="M27">INDEX(L:L,MIN(IF(ISNUMBER(L27:L223),ROW(L27:L223),"")))</f>
        <v>19.899999999999995</v>
      </c>
      <c r="N27" s="13">
        <f>IF('Données projet'!$A$36&gt;35,N26+M27-V26,IF(A27&lt;'Données projet'!$A$36,$K$205^A27,IF(A27='Données projet'!$A$36,'Données projet'!$B$36,N26+M27-V26)))</f>
        <v>197.20000000000002</v>
      </c>
      <c r="O27" s="13">
        <f>N27*VLOOKUP('Données projet'!$B$9,Paramètres!$A$1:$I$89,3,0)*VLOOKUP('Données projet'!$B$9,Paramètres!$A$1:$I$89,5,0)</f>
        <v>117.92560000000003</v>
      </c>
      <c r="P27" s="13">
        <f t="shared" si="33"/>
        <v>31.190689636070587</v>
      </c>
      <c r="Q27" s="20">
        <f t="shared" si="2"/>
        <v>259.71087111615634</v>
      </c>
      <c r="R27" s="59">
        <f t="shared" si="0"/>
        <v>553.0442044494896</v>
      </c>
      <c r="S27" s="59">
        <f ca="1">AVERAGE(OFFSET($R$3,0,0,'Données projet'!$E$9+1,1))-AVERAGE(OFFSET($H$3,0,0,'Données projet'!$E$9+1,1))</f>
        <v>252.28378247570731</v>
      </c>
      <c r="T27" s="59">
        <f t="shared" si="34"/>
        <v>263.50418595307343</v>
      </c>
      <c r="U27" s="15">
        <f>IF(ISNA(VLOOKUP(A27,'Données projet'!$A$35:$I$55,3,0)),0,VLOOKUP(A27,'Données projet'!$A$35:$I$55,3,0))</f>
        <v>4</v>
      </c>
      <c r="V27" s="15">
        <f>IF(ISNA(VLOOKUP(A27,'Données projet'!$A$35:$I$55,4,0)),0,VLOOKUP(A27,'Données projet'!$A$35:$I$55,4,0))</f>
        <v>42.9</v>
      </c>
      <c r="W27" s="16">
        <f>IF(ISNA(VLOOKUP(A27,'Données projet'!$A$35:$I$55,5,0)),0%,VLOOKUP(A27,'Données projet'!$A$35:$I$55,5,0)*VLOOKUP('Données projet'!$B$9,Paramètres!$A$1:$I$89,7,0))</f>
        <v>0.13500000000000001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0.5</v>
      </c>
      <c r="Z27" s="21">
        <f>EXP(-LN(2)/35)*Z26+(1-EXP(-LN(2)/35))/(LN(2)/35)*V27*W27*VLOOKUP('Données projet'!$B$9,Paramètres!$A$1:$I$89,3,0)*0.475*44/12</f>
        <v>6.8171036824084048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18.474835369972155</v>
      </c>
      <c r="AC27" s="22">
        <f t="shared" si="3"/>
        <v>25.29193905238056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8.1999999999999993</v>
      </c>
      <c r="AI27" s="13">
        <f>IF('Données projet'!$A$62&gt;35,AI26+AH27-AQ26,IF(A27&lt;'Données projet'!$A$62,$AF$205^A27,IF(A27='Données projet'!$A$62,'Données projet'!$B$62,AI26+AH27-AQ26)))</f>
        <v>99.800000000000011</v>
      </c>
      <c r="AJ27" s="13">
        <f>AI27*VLOOKUP('Données projet'!$B$10,Paramètres!$A$1:$I$89,3,0)*VLOOKUP('Données projet'!$B$10,Paramètres!$A$1:$I$89,5,0)</f>
        <v>84.071520000000021</v>
      </c>
      <c r="AK27" s="13">
        <f t="shared" si="35"/>
        <v>23.129797599684554</v>
      </c>
      <c r="AL27" s="20">
        <f t="shared" si="4"/>
        <v>186.70896148611726</v>
      </c>
      <c r="AM27" s="59">
        <f t="shared" si="5"/>
        <v>480.0422948194506</v>
      </c>
      <c r="AN27" s="59">
        <f ca="1">AVERAGE(OFFSET($AM$3,0,0,'Données projet'!$E$10+1,1))-AVERAGE(OFFSET($H$3,0,0,'Données projet'!$E$10+1,1))</f>
        <v>382.67703499770795</v>
      </c>
      <c r="AO27" s="59">
        <f t="shared" si="36"/>
        <v>237.98926636458219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19.875</v>
      </c>
      <c r="N28" s="13">
        <f>IF('Données projet'!$A$36&gt;35,N27+M28-V27,IF(A28&lt;'Données projet'!$A$36,$K$205^A28,IF(A28='Données projet'!$A$36,'Données projet'!$B$36,N27+M28-V27)))</f>
        <v>174.17500000000001</v>
      </c>
      <c r="O28" s="13">
        <f>N28*VLOOKUP('Données projet'!$B$9,Paramètres!$A$1:$I$89,3,0)*VLOOKUP('Données projet'!$B$9,Paramètres!$A$1:$I$89,5,0)</f>
        <v>104.15665000000001</v>
      </c>
      <c r="P28" s="13">
        <f t="shared" si="33"/>
        <v>27.949902735136092</v>
      </c>
      <c r="Q28" s="20">
        <f t="shared" si="2"/>
        <v>230.08557934702876</v>
      </c>
      <c r="R28" s="59">
        <f t="shared" si="0"/>
        <v>523.41891268036204</v>
      </c>
      <c r="S28" s="59">
        <f ca="1">AVERAGE(OFFSET($R$3,0,0,'Données projet'!$E$9+1,1))-AVERAGE(OFFSET($H$3,0,0,'Données projet'!$E$9+1,1))</f>
        <v>252.28378247570731</v>
      </c>
      <c r="T28" s="59">
        <f t="shared" si="34"/>
        <v>263.50418595307343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6.6834244372190517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13.06368137141239</v>
      </c>
      <c r="AC28" s="22">
        <f t="shared" si="3"/>
        <v>19.747105808631442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8.1999999999999993</v>
      </c>
      <c r="AI28" s="13">
        <f>IF('Données projet'!$A$62&gt;35,AI27+AH28-AQ27,IF(A28&lt;'Données projet'!$A$62,$AF$205^A28,IF(A28='Données projet'!$A$62,'Données projet'!$B$62,AI27+AH28-AQ27)))</f>
        <v>108.00000000000001</v>
      </c>
      <c r="AJ28" s="13">
        <f>AI28*VLOOKUP('Données projet'!$B$10,Paramètres!$A$1:$I$89,3,0)*VLOOKUP('Données projet'!$B$10,Paramètres!$A$1:$I$89,5,0)</f>
        <v>90.97920000000002</v>
      </c>
      <c r="AK28" s="13">
        <f t="shared" si="35"/>
        <v>24.801235516871511</v>
      </c>
      <c r="AL28" s="20">
        <f t="shared" si="4"/>
        <v>201.65092519188457</v>
      </c>
      <c r="AM28" s="59">
        <f t="shared" si="5"/>
        <v>494.98425852521791</v>
      </c>
      <c r="AN28" s="59">
        <f ca="1">AVERAGE(OFFSET($AM$3,0,0,'Données projet'!$E$10+1,1))-AVERAGE(OFFSET($H$3,0,0,'Données projet'!$E$10+1,1))</f>
        <v>382.67703499770795</v>
      </c>
      <c r="AO28" s="59">
        <f t="shared" si="36"/>
        <v>237.98926636458219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19.875</v>
      </c>
      <c r="N29" s="13">
        <f>IF('Données projet'!$A$36&gt;35,N28+M29-V28,IF(A29&lt;'Données projet'!$A$36,$K$205^A29,IF(A29='Données projet'!$A$36,'Données projet'!$B$36,N28+M29-V28)))</f>
        <v>194.05</v>
      </c>
      <c r="O29" s="13">
        <f>N29*VLOOKUP('Données projet'!$B$9,Paramètres!$A$1:$I$89,3,0)*VLOOKUP('Données projet'!$B$9,Paramètres!$A$1:$I$89,5,0)</f>
        <v>116.04190000000001</v>
      </c>
      <c r="P29" s="13">
        <f t="shared" si="33"/>
        <v>30.750043154423295</v>
      </c>
      <c r="Q29" s="20">
        <f t="shared" si="2"/>
        <v>255.66263432728726</v>
      </c>
      <c r="R29" s="59">
        <f t="shared" si="0"/>
        <v>548.99596766062064</v>
      </c>
      <c r="S29" s="59">
        <f ca="1">AVERAGE(OFFSET($R$3,0,0,'Données projet'!$E$9+1,1))-AVERAGE(OFFSET($H$3,0,0,'Données projet'!$E$9+1,1))</f>
        <v>252.28378247570731</v>
      </c>
      <c r="T29" s="59">
        <f t="shared" si="34"/>
        <v>263.50418595307343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6.5523665604915733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9.2374176849860774</v>
      </c>
      <c r="AC29" s="22">
        <f t="shared" si="3"/>
        <v>15.789784245477652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8.1999999999999993</v>
      </c>
      <c r="AI29" s="13">
        <f>IF('Données projet'!$A$62&gt;35,AI28+AH29-AQ28,IF(A29&lt;'Données projet'!$A$62,$AF$205^A29,IF(A29='Données projet'!$A$62,'Données projet'!$B$62,AI28+AH29-AQ28)))</f>
        <v>116.20000000000002</v>
      </c>
      <c r="AJ29" s="13">
        <f>AI29*VLOOKUP('Données projet'!$B$10,Paramètres!$A$1:$I$89,3,0)*VLOOKUP('Données projet'!$B$10,Paramètres!$A$1:$I$89,5,0)</f>
        <v>97.886880000000019</v>
      </c>
      <c r="AK29" s="13">
        <f t="shared" si="35"/>
        <v>26.457951797777866</v>
      </c>
      <c r="AL29" s="20">
        <f t="shared" si="4"/>
        <v>216.56724871446315</v>
      </c>
      <c r="AM29" s="59">
        <f t="shared" si="5"/>
        <v>509.90058204779643</v>
      </c>
      <c r="AN29" s="59">
        <f ca="1">AVERAGE(OFFSET($AM$3,0,0,'Données projet'!$E$10+1,1))-AVERAGE(OFFSET($H$3,0,0,'Données projet'!$E$10+1,1))</f>
        <v>382.67703499770795</v>
      </c>
      <c r="AO29" s="59">
        <f t="shared" si="36"/>
        <v>237.98926636458219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19.875</v>
      </c>
      <c r="N30" s="13">
        <f>IF('Données projet'!$A$36&gt;35,N29+M30-V29,IF(A30&lt;'Données projet'!$A$36,$K$205^A30,IF(A30='Données projet'!$A$36,'Données projet'!$B$36,N29+M30-V29)))</f>
        <v>213.92500000000001</v>
      </c>
      <c r="O30" s="13">
        <f>N30*VLOOKUP('Données projet'!$B$9,Paramètres!$A$1:$I$89,3,0)*VLOOKUP('Données projet'!$B$9,Paramètres!$A$1:$I$89,5,0)</f>
        <v>127.92715000000001</v>
      </c>
      <c r="P30" s="13">
        <f t="shared" si="33"/>
        <v>33.51693740969332</v>
      </c>
      <c r="Q30" s="20">
        <f t="shared" si="2"/>
        <v>281.18178557188253</v>
      </c>
      <c r="R30" s="59">
        <f t="shared" si="0"/>
        <v>574.51511890521579</v>
      </c>
      <c r="S30" s="59">
        <f ca="1">AVERAGE(OFFSET($R$3,0,0,'Données projet'!$E$9+1,1))-AVERAGE(OFFSET($H$3,0,0,'Données projet'!$E$9+1,1))</f>
        <v>252.28378247570731</v>
      </c>
      <c r="T30" s="59">
        <f t="shared" si="34"/>
        <v>263.50418595307343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6.4238786487893087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6.5318406857061948</v>
      </c>
      <c r="AC30" s="22">
        <f t="shared" si="3"/>
        <v>12.955719334495504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8.1999999999999993</v>
      </c>
      <c r="AI30" s="13">
        <f>IF('Données projet'!$A$62&gt;35,AI29+AH30-AQ29,IF(A30&lt;'Données projet'!$A$62,$AF$205^A30,IF(A30='Données projet'!$A$62,'Données projet'!$B$62,AI29+AH30-AQ29)))</f>
        <v>124.40000000000002</v>
      </c>
      <c r="AJ30" s="13">
        <f>AI30*VLOOKUP('Données projet'!$B$10,Paramètres!$A$1:$I$89,3,0)*VLOOKUP('Données projet'!$B$10,Paramètres!$A$1:$I$89,5,0)</f>
        <v>104.79456000000003</v>
      </c>
      <c r="AK30" s="13">
        <f t="shared" si="35"/>
        <v>28.101103481959861</v>
      </c>
      <c r="AL30" s="20">
        <f t="shared" si="4"/>
        <v>231.45994723108015</v>
      </c>
      <c r="AM30" s="59">
        <f t="shared" si="5"/>
        <v>524.79328056441341</v>
      </c>
      <c r="AN30" s="59">
        <f ca="1">AVERAGE(OFFSET($AM$3,0,0,'Données projet'!$E$10+1,1))-AVERAGE(OFFSET($H$3,0,0,'Données projet'!$E$10+1,1))</f>
        <v>382.67703499770795</v>
      </c>
      <c r="AO30" s="59">
        <f t="shared" si="36"/>
        <v>237.98926636458219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233.79999999999998</v>
      </c>
      <c r="L31" s="12">
        <f>VLOOKUP(A31,'Données projet'!$A$35:$I$55,9,0)</f>
        <v>19.875</v>
      </c>
      <c r="M31" s="12">
        <f t="array" ref="M31">INDEX(L:L,MIN(IF(ISNUMBER(L31:L227),ROW(L31:L227),"")))</f>
        <v>19.875</v>
      </c>
      <c r="N31" s="13">
        <f>IF('Données projet'!$A$36&gt;35,N30+M31-V30,IF(A31&lt;'Données projet'!$A$36,$K$205^A31,IF(A31='Données projet'!$A$36,'Données projet'!$B$36,N30+M31-V30)))</f>
        <v>233.8</v>
      </c>
      <c r="O31" s="13">
        <f>N31*VLOOKUP('Données projet'!$B$9,Paramètres!$A$1:$I$89,3,0)*VLOOKUP('Données projet'!$B$9,Paramètres!$A$1:$I$89,5,0)</f>
        <v>139.81240000000003</v>
      </c>
      <c r="P31" s="13">
        <f t="shared" si="33"/>
        <v>36.254025616047976</v>
      </c>
      <c r="Q31" s="20">
        <f t="shared" si="2"/>
        <v>306.64902461461696</v>
      </c>
      <c r="R31" s="59">
        <f t="shared" si="0"/>
        <v>599.98235794795028</v>
      </c>
      <c r="S31" s="59">
        <f ca="1">AVERAGE(OFFSET($R$3,0,0,'Données projet'!$E$9+1,1))-AVERAGE(OFFSET($H$3,0,0,'Données projet'!$E$9+1,1))</f>
        <v>252.28378247570731</v>
      </c>
      <c r="T31" s="59">
        <f t="shared" si="34"/>
        <v>263.50418595307343</v>
      </c>
      <c r="U31" s="15">
        <f>IF(ISNA(VLOOKUP(A31,'Données projet'!$A$35:$I$55,3,0)),0,VLOOKUP(A31,'Données projet'!$A$35:$I$55,3,0))</f>
        <v>5</v>
      </c>
      <c r="V31" s="15">
        <f>IF(ISNA(VLOOKUP(A31,'Données projet'!$A$35:$I$55,4,0)),0,VLOOKUP(A31,'Données projet'!$A$35:$I$55,4,0))</f>
        <v>41.4</v>
      </c>
      <c r="W31" s="16">
        <f>IF(ISNA(VLOOKUP(A31,'Données projet'!$A$35:$I$55,5,0)),0%,VLOOKUP(A31,'Données projet'!$A$35:$I$55,5,0)*VLOOKUP('Données projet'!$B$9,Paramètres!$A$1:$I$89,7,0))</f>
        <v>0.22500000000000001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0.4</v>
      </c>
      <c r="Z31" s="21">
        <f>EXP(-LN(2)/35)*Z30+(1-EXP(-LN(2)/35))/(LN(2)/35)*V31*W31*VLOOKUP('Données projet'!$B$9,Paramètres!$A$1:$I$89,3,0)*0.475*44/12</f>
        <v>13.68736515231239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15.831069417021927</v>
      </c>
      <c r="AC31" s="22">
        <f t="shared" si="3"/>
        <v>29.518434569334318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8.1999999999999993</v>
      </c>
      <c r="AI31" s="13">
        <f>IF('Données projet'!$A$62&gt;35,AI30+AH31-AQ30,IF(A31&lt;'Données projet'!$A$62,$AF$205^A31,IF(A31='Données projet'!$A$62,'Données projet'!$B$62,AI30+AH31-AQ30)))</f>
        <v>132.60000000000002</v>
      </c>
      <c r="AJ31" s="13">
        <f>AI31*VLOOKUP('Données projet'!$B$10,Paramètres!$A$1:$I$89,3,0)*VLOOKUP('Données projet'!$B$10,Paramètres!$A$1:$I$89,5,0)</f>
        <v>111.70224000000003</v>
      </c>
      <c r="AK31" s="13">
        <f t="shared" si="35"/>
        <v>29.731686445309627</v>
      </c>
      <c r="AL31" s="20">
        <f t="shared" si="4"/>
        <v>246.33075522558093</v>
      </c>
      <c r="AM31" s="59">
        <f t="shared" si="5"/>
        <v>539.66408855891427</v>
      </c>
      <c r="AN31" s="59">
        <f ca="1">AVERAGE(OFFSET($AM$3,0,0,'Données projet'!$E$10+1,1))-AVERAGE(OFFSET($H$3,0,0,'Données projet'!$E$10+1,1))</f>
        <v>382.67703499770795</v>
      </c>
      <c r="AO31" s="59">
        <f t="shared" si="36"/>
        <v>237.98926636458219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18.700000000000006</v>
      </c>
      <c r="N32" s="13">
        <f>IF('Données projet'!$A$36&gt;35,N31+M32-V31,IF(A32&lt;'Données projet'!$A$36,$K$205^A32,IF(A32='Données projet'!$A$36,'Données projet'!$B$36,N31+M32-V31)))</f>
        <v>211.10000000000002</v>
      </c>
      <c r="O32" s="13">
        <f>N32*VLOOKUP('Données projet'!$B$9,Paramètres!$A$1:$I$89,3,0)*VLOOKUP('Données projet'!$B$9,Paramètres!$A$1:$I$89,5,0)</f>
        <v>126.23780000000002</v>
      </c>
      <c r="P32" s="13">
        <f t="shared" si="33"/>
        <v>33.12554513217659</v>
      </c>
      <c r="Q32" s="20">
        <f t="shared" si="2"/>
        <v>277.5578261052076</v>
      </c>
      <c r="R32" s="59">
        <f t="shared" si="0"/>
        <v>570.89115943854085</v>
      </c>
      <c r="S32" s="59">
        <f ca="1">AVERAGE(OFFSET($R$3,0,0,'Données projet'!$E$9+1,1))-AVERAGE(OFFSET($H$3,0,0,'Données projet'!$E$9+1,1))</f>
        <v>252.28378247570731</v>
      </c>
      <c r="T32" s="59">
        <f t="shared" si="34"/>
        <v>263.50418595307343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13.418964270143944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11.194256538211169</v>
      </c>
      <c r="AC32" s="22">
        <f t="shared" si="3"/>
        <v>24.613220808355113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8.1999999999999993</v>
      </c>
      <c r="AI32" s="13">
        <f>IF('Données projet'!$A$62&gt;35,AI31+AH32-AQ31,IF(A32&lt;'Données projet'!$A$62,$AF$205^A32,IF(A32='Données projet'!$A$62,'Données projet'!$B$62,AI31+AH32-AQ31)))</f>
        <v>140.80000000000001</v>
      </c>
      <c r="AJ32" s="13">
        <f>AI32*VLOOKUP('Données projet'!$B$10,Paramètres!$A$1:$I$89,3,0)*VLOOKUP('Données projet'!$B$10,Paramètres!$A$1:$I$89,5,0)</f>
        <v>118.60992000000002</v>
      </c>
      <c r="AK32" s="13">
        <f t="shared" si="35"/>
        <v>31.35056643275615</v>
      </c>
      <c r="AL32" s="20">
        <f t="shared" si="4"/>
        <v>261.18118053705035</v>
      </c>
      <c r="AM32" s="59">
        <f t="shared" si="5"/>
        <v>554.51451387038367</v>
      </c>
      <c r="AN32" s="59">
        <f ca="1">AVERAGE(OFFSET($AM$3,0,0,'Données projet'!$E$10+1,1))-AVERAGE(OFFSET($H$3,0,0,'Données projet'!$E$10+1,1))</f>
        <v>382.67703499770795</v>
      </c>
      <c r="AO32" s="59">
        <f t="shared" si="36"/>
        <v>237.98926636458219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18.700000000000006</v>
      </c>
      <c r="N33" s="13">
        <f>IF('Données projet'!$A$36&gt;35,N32+M33-V32,IF(A33&lt;'Données projet'!$A$36,$K$205^A33,IF(A33='Données projet'!$A$36,'Données projet'!$B$36,N32+M33-V32)))</f>
        <v>229.80000000000004</v>
      </c>
      <c r="O33" s="13">
        <f>N33*VLOOKUP('Données projet'!$B$9,Paramètres!$A$1:$I$89,3,0)*VLOOKUP('Données projet'!$B$9,Paramètres!$A$1:$I$89,5,0)</f>
        <v>137.42040000000003</v>
      </c>
      <c r="P33" s="13">
        <f t="shared" si="33"/>
        <v>35.705417249692559</v>
      </c>
      <c r="Q33" s="20">
        <f t="shared" si="2"/>
        <v>301.52746504321459</v>
      </c>
      <c r="R33" s="59">
        <f t="shared" si="0"/>
        <v>594.8607983765479</v>
      </c>
      <c r="S33" s="59">
        <f ca="1">AVERAGE(OFFSET($R$3,0,0,'Données projet'!$E$9+1,1))-AVERAGE(OFFSET($H$3,0,0,'Données projet'!$E$9+1,1))</f>
        <v>252.28378247570731</v>
      </c>
      <c r="T33" s="59">
        <f t="shared" si="34"/>
        <v>263.50418595307343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13.155826565566448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7.9155347085109646</v>
      </c>
      <c r="AC33" s="22">
        <f t="shared" si="3"/>
        <v>21.071361274077411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149</v>
      </c>
      <c r="AG33" s="12">
        <f>VLOOKUP(A33,'Données projet'!$A$61:$I$81,9,0)</f>
        <v>8.1999999999999993</v>
      </c>
      <c r="AH33" s="12">
        <f t="array" ref="AH33">INDEX(AG:AG,MIN(IF(ISNUMBER(AG33:AG229),ROW(AG33:AG229),"")))</f>
        <v>8.1999999999999993</v>
      </c>
      <c r="AI33" s="13">
        <f>IF('Données projet'!$A$62&gt;35,AI32+AH33-AQ32,IF(A33&lt;'Données projet'!$A$62,$AF$205^A33,IF(A33='Données projet'!$A$62,'Données projet'!$B$62,AI32+AH33-AQ32)))</f>
        <v>149</v>
      </c>
      <c r="AJ33" s="13">
        <f>AI33*VLOOKUP('Données projet'!$B$10,Paramètres!$A$1:$I$89,3,0)*VLOOKUP('Données projet'!$B$10,Paramètres!$A$1:$I$89,5,0)</f>
        <v>125.51760000000002</v>
      </c>
      <c r="AK33" s="13">
        <f t="shared" si="35"/>
        <v>32.95850265342969</v>
      </c>
      <c r="AL33" s="20">
        <f t="shared" si="4"/>
        <v>276.01254545472335</v>
      </c>
      <c r="AM33" s="59">
        <f t="shared" si="5"/>
        <v>569.34587878805667</v>
      </c>
      <c r="AN33" s="59">
        <f ca="1">AVERAGE(OFFSET($AM$3,0,0,'Données projet'!$E$10+1,1))-AVERAGE(OFFSET($H$3,0,0,'Données projet'!$E$10+1,1))</f>
        <v>382.67703499770795</v>
      </c>
      <c r="AO33" s="59">
        <f t="shared" si="36"/>
        <v>237.98926636458219</v>
      </c>
      <c r="AP33" s="15">
        <f>IF(ISNA(VLOOKUP(A33,'Données projet'!$A$61:$I$81,3,0)),0,VLOOKUP(A33,'Données projet'!$A$61:$I$81,3,0))</f>
        <v>2</v>
      </c>
      <c r="AQ33" s="15">
        <f>IF(ISNA(VLOOKUP(A33,'Données projet'!$A$61:$I$81,4,0)),0,VLOOKUP(A33,'Données projet'!$A$61:$I$81,4,0))</f>
        <v>34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18.700000000000006</v>
      </c>
      <c r="N34" s="13">
        <f>IF('Données projet'!$A$36&gt;35,N33+M34-V33,IF(A34&lt;'Données projet'!$A$36,$K$205^A34,IF(A34='Données projet'!$A$36,'Données projet'!$B$36,N33+M34-V33)))</f>
        <v>248.50000000000006</v>
      </c>
      <c r="O34" s="13">
        <f>N34*VLOOKUP('Données projet'!$B$9,Paramètres!$A$1:$I$89,3,0)*VLOOKUP('Données projet'!$B$9,Paramètres!$A$1:$I$89,5,0)</f>
        <v>148.60300000000004</v>
      </c>
      <c r="P34" s="13">
        <f t="shared" si="33"/>
        <v>38.260939676613795</v>
      </c>
      <c r="Q34" s="20">
        <f t="shared" si="2"/>
        <v>325.45469493676904</v>
      </c>
      <c r="R34" s="59">
        <f t="shared" si="0"/>
        <v>618.78802827010236</v>
      </c>
      <c r="S34" s="59">
        <f ca="1">AVERAGE(OFFSET($R$3,0,0,'Données projet'!$E$9+1,1))-AVERAGE(OFFSET($H$3,0,0,'Données projet'!$E$9+1,1))</f>
        <v>252.28378247570731</v>
      </c>
      <c r="T34" s="59">
        <f t="shared" si="34"/>
        <v>263.50418595307343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12.897848830877566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5.5971282691055855</v>
      </c>
      <c r="AC34" s="22">
        <f t="shared" si="3"/>
        <v>18.494977099983153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11</v>
      </c>
      <c r="AI34" s="13">
        <f>IF('Données projet'!$A$62&gt;35,AI33+AH34-AQ33,IF(A34&lt;'Données projet'!$A$62,$AF$205^A34,IF(A34='Données projet'!$A$62,'Données projet'!$B$62,AI33+AH34-AQ33)))</f>
        <v>126</v>
      </c>
      <c r="AJ34" s="13">
        <f>AI34*VLOOKUP('Données projet'!$B$10,Paramètres!$A$1:$I$89,3,0)*VLOOKUP('Données projet'!$B$10,Paramètres!$A$1:$I$89,5,0)</f>
        <v>106.14240000000001</v>
      </c>
      <c r="AK34" s="13">
        <f t="shared" si="35"/>
        <v>28.420224211524975</v>
      </c>
      <c r="AL34" s="20">
        <f t="shared" si="4"/>
        <v>234.36323716840602</v>
      </c>
      <c r="AM34" s="59">
        <f t="shared" si="5"/>
        <v>527.6965705017393</v>
      </c>
      <c r="AN34" s="59">
        <f ca="1">AVERAGE(OFFSET($AM$3,0,0,'Données projet'!$E$10+1,1))-AVERAGE(OFFSET($H$3,0,0,'Données projet'!$E$10+1,1))</f>
        <v>382.67703499770795</v>
      </c>
      <c r="AO34" s="59">
        <f t="shared" si="36"/>
        <v>237.98926636458219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18.700000000000006</v>
      </c>
      <c r="N35" s="13">
        <f>IF('Données projet'!$A$36&gt;35,N34+M35-V34,IF(A35&lt;'Données projet'!$A$36,$K$205^A35,IF(A35='Données projet'!$A$36,'Données projet'!$B$36,N34+M35-V34)))</f>
        <v>267.20000000000005</v>
      </c>
      <c r="O35" s="13">
        <f>N35*VLOOKUP('Données projet'!$B$9,Paramètres!$A$1:$I$89,3,0)*VLOOKUP('Données projet'!$B$9,Paramètres!$A$1:$I$89,5,0)</f>
        <v>159.78560000000004</v>
      </c>
      <c r="P35" s="13">
        <f t="shared" si="33"/>
        <v>40.794153114967841</v>
      </c>
      <c r="Q35" s="20">
        <f t="shared" ref="Q35:Q66" si="53">(O35+P35)*0.475*44/12</f>
        <v>349.3430700085691</v>
      </c>
      <c r="R35" s="59">
        <f t="shared" si="0"/>
        <v>642.67640334190241</v>
      </c>
      <c r="S35" s="59">
        <f ca="1">AVERAGE(OFFSET($R$3,0,0,'Données projet'!$E$9+1,1))-AVERAGE(OFFSET($H$3,0,0,'Données projet'!$E$9+1,1))</f>
        <v>252.28378247570731</v>
      </c>
      <c r="T35" s="59">
        <f t="shared" si="34"/>
        <v>263.50418595307343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12.644929882215051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3.9577673542554832</v>
      </c>
      <c r="AC35" s="22">
        <f t="shared" si="3"/>
        <v>16.602697236470533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11</v>
      </c>
      <c r="AI35" s="13">
        <f>IF('Données projet'!$A$62&gt;35,AI34+AH35-AQ34,IF(A35&lt;'Données projet'!$A$62,$AF$205^A35,IF(A35='Données projet'!$A$62,'Données projet'!$B$62,AI34+AH35-AQ34)))</f>
        <v>137</v>
      </c>
      <c r="AJ35" s="13">
        <f>AI35*VLOOKUP('Données projet'!$B$10,Paramètres!$A$1:$I$89,3,0)*VLOOKUP('Données projet'!$B$10,Paramètres!$A$1:$I$89,5,0)</f>
        <v>115.40880000000001</v>
      </c>
      <c r="AK35" s="13">
        <f t="shared" si="35"/>
        <v>30.60175820334798</v>
      </c>
      <c r="AL35" s="20">
        <f t="shared" si="4"/>
        <v>254.30172220416441</v>
      </c>
      <c r="AM35" s="59">
        <f t="shared" si="5"/>
        <v>547.63505553749769</v>
      </c>
      <c r="AN35" s="59">
        <f ca="1">AVERAGE(OFFSET($AM$3,0,0,'Données projet'!$E$10+1,1))-AVERAGE(OFFSET($H$3,0,0,'Données projet'!$E$10+1,1))</f>
        <v>382.67703499770795</v>
      </c>
      <c r="AO35" s="59">
        <f t="shared" si="36"/>
        <v>237.98926636458219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18.700000000000006</v>
      </c>
      <c r="N36" s="13">
        <f>IF('Données projet'!$A$36&gt;35,N35+M36-V35,IF(A36&lt;'Données projet'!$A$36,$K$205^A36,IF(A36='Données projet'!$A$36,'Données projet'!$B$36,N35+M36-V35)))</f>
        <v>285.90000000000003</v>
      </c>
      <c r="O36" s="13">
        <f>N36*VLOOKUP('Données projet'!$B$9,Paramètres!$A$1:$I$89,3,0)*VLOOKUP('Données projet'!$B$9,Paramètres!$A$1:$I$89,5,0)</f>
        <v>170.96820000000002</v>
      </c>
      <c r="P36" s="13">
        <f t="shared" si="33"/>
        <v>43.306796452756018</v>
      </c>
      <c r="Q36" s="20">
        <f t="shared" si="53"/>
        <v>373.19561882188344</v>
      </c>
      <c r="R36" s="59">
        <f t="shared" si="0"/>
        <v>666.52895215521676</v>
      </c>
      <c r="S36" s="59">
        <f ca="1">AVERAGE(OFFSET($R$3,0,0,'Données projet'!$E$9+1,1))-AVERAGE(OFFSET($H$3,0,0,'Données projet'!$E$9+1,1))</f>
        <v>252.28378247570731</v>
      </c>
      <c r="T36" s="59">
        <f t="shared" si="34"/>
        <v>263.50418595307343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12.39697051987048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2.7985641345527932</v>
      </c>
      <c r="AC36" s="22">
        <f t="shared" si="3"/>
        <v>15.195534654423273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11</v>
      </c>
      <c r="AI36" s="13">
        <f>IF('Données projet'!$A$62&gt;35,AI35+AH36-AQ35,IF(A36&lt;'Données projet'!$A$62,$AF$205^A36,IF(A36='Données projet'!$A$62,'Données projet'!$B$62,AI35+AH36-AQ35)))</f>
        <v>148</v>
      </c>
      <c r="AJ36" s="13">
        <f>AI36*VLOOKUP('Données projet'!$B$10,Paramètres!$A$1:$I$89,3,0)*VLOOKUP('Données projet'!$B$10,Paramètres!$A$1:$I$89,5,0)</f>
        <v>124.6752</v>
      </c>
      <c r="AK36" s="13">
        <f t="shared" si="35"/>
        <v>32.762975561628714</v>
      </c>
      <c r="AL36" s="20">
        <f t="shared" si="4"/>
        <v>274.20482243650338</v>
      </c>
      <c r="AM36" s="59">
        <f t="shared" si="5"/>
        <v>567.53815576983675</v>
      </c>
      <c r="AN36" s="59">
        <f ca="1">AVERAGE(OFFSET($AM$3,0,0,'Données projet'!$E$10+1,1))-AVERAGE(OFFSET($H$3,0,0,'Données projet'!$E$10+1,1))</f>
        <v>382.67703499770795</v>
      </c>
      <c r="AO36" s="59">
        <f t="shared" si="36"/>
        <v>237.98926636458219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>
        <f>VLOOKUP(A37,'Données projet'!$A$35:$I$55,2,0)</f>
        <v>304.60000000000002</v>
      </c>
      <c r="L37" s="12">
        <f>VLOOKUP(A37,'Données projet'!$A$35:$I$55,9,0)</f>
        <v>18.700000000000006</v>
      </c>
      <c r="M37" s="12">
        <f t="array" ref="M37">INDEX(L:L,MIN(IF(ISNUMBER(L37:L233),ROW(L37:L233),"")))</f>
        <v>18.700000000000006</v>
      </c>
      <c r="N37" s="13">
        <f>IF('Données projet'!$A$36&gt;35,N36+M37-V36,IF(A37&lt;'Données projet'!$A$36,$K$205^A37,IF(A37='Données projet'!$A$36,'Données projet'!$B$36,N36+M37-V36)))</f>
        <v>304.60000000000002</v>
      </c>
      <c r="O37" s="13">
        <f>N37*VLOOKUP('Données projet'!$B$9,Paramètres!$A$1:$I$89,3,0)*VLOOKUP('Données projet'!$B$9,Paramètres!$A$1:$I$89,5,0)</f>
        <v>182.15080000000003</v>
      </c>
      <c r="P37" s="13">
        <f t="shared" si="33"/>
        <v>45.800368240506849</v>
      </c>
      <c r="Q37" s="20">
        <f t="shared" si="53"/>
        <v>397.0149513522162</v>
      </c>
      <c r="R37" s="59">
        <f t="shared" si="0"/>
        <v>690.34828468554952</v>
      </c>
      <c r="S37" s="59">
        <f ca="1">AVERAGE(OFFSET($R$3,0,0,'Données projet'!$E$9+1,1))-AVERAGE(OFFSET($H$3,0,0,'Données projet'!$E$9+1,1))</f>
        <v>252.28378247570731</v>
      </c>
      <c r="T37" s="59">
        <f t="shared" si="34"/>
        <v>263.50418595307343</v>
      </c>
      <c r="U37" s="15">
        <f>IF(ISNA(VLOOKUP(A37,'Données projet'!$A$35:$I$55,3,0)),0,VLOOKUP(A37,'Données projet'!$A$35:$I$55,3,0))</f>
        <v>6</v>
      </c>
      <c r="V37" s="15">
        <f>IF(ISNA(VLOOKUP(A37,'Données projet'!$A$35:$I$55,4,0)),0,VLOOKUP(A37,'Données projet'!$A$35:$I$55,4,0))</f>
        <v>59.9</v>
      </c>
      <c r="W37" s="16">
        <f>IF(ISNA(VLOOKUP(A37,'Données projet'!$A$35:$I$55,5,0)),0%,VLOOKUP(A37,'Données projet'!$A$35:$I$55,5,0)*VLOOKUP('Données projet'!$B$9,Paramètres!$A$1:$I$89,7,0))</f>
        <v>0.315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0.2</v>
      </c>
      <c r="Z37" s="21">
        <f>EXP(-LN(2)/35)*Z36+(1-EXP(-LN(2)/35))/(LN(2)/35)*V37*W37*VLOOKUP('Données projet'!$B$9,Paramètres!$A$1:$I$89,3,0)*0.475*44/12</f>
        <v>27.121981783002866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10.090241145899245</v>
      </c>
      <c r="AC37" s="22">
        <f t="shared" si="3"/>
        <v>37.212222928902108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11</v>
      </c>
      <c r="AI37" s="13">
        <f>IF('Données projet'!$A$62&gt;35,AI36+AH37-AQ36,IF(A37&lt;'Données projet'!$A$62,$AF$205^A37,IF(A37='Données projet'!$A$62,'Données projet'!$B$62,AI36+AH37-AQ36)))</f>
        <v>159</v>
      </c>
      <c r="AJ37" s="13">
        <f>AI37*VLOOKUP('Données projet'!$B$10,Paramètres!$A$1:$I$89,3,0)*VLOOKUP('Données projet'!$B$10,Paramètres!$A$1:$I$89,5,0)</f>
        <v>133.94159999999999</v>
      </c>
      <c r="AK37" s="13">
        <f t="shared" si="35"/>
        <v>34.905558014330531</v>
      </c>
      <c r="AL37" s="20">
        <f t="shared" si="4"/>
        <v>294.07546687495898</v>
      </c>
      <c r="AM37" s="59">
        <f t="shared" si="5"/>
        <v>587.40880020829229</v>
      </c>
      <c r="AN37" s="59">
        <f ca="1">AVERAGE(OFFSET($AM$3,0,0,'Données projet'!$E$10+1,1))-AVERAGE(OFFSET($H$3,0,0,'Données projet'!$E$10+1,1))</f>
        <v>382.67703499770795</v>
      </c>
      <c r="AO37" s="59">
        <f t="shared" si="36"/>
        <v>237.98926636458219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14.850000000000009</v>
      </c>
      <c r="N38" s="13">
        <f>IF('Données projet'!$A$36&gt;35,N37+M38-V37,IF(A38&lt;'Données projet'!$A$36,$K$205^A38,IF(A38='Données projet'!$A$36,'Données projet'!$B$36,N37+M38-V37)))</f>
        <v>259.55000000000007</v>
      </c>
      <c r="O38" s="13">
        <f>N38*VLOOKUP('Données projet'!$B$9,Paramètres!$A$1:$I$89,3,0)*VLOOKUP('Données projet'!$B$9,Paramètres!$A$1:$I$89,5,0)</f>
        <v>155.21090000000007</v>
      </c>
      <c r="P38" s="13">
        <f t="shared" si="33"/>
        <v>39.760417498033199</v>
      </c>
      <c r="Q38" s="20">
        <f t="shared" si="53"/>
        <v>339.57504464240793</v>
      </c>
      <c r="R38" s="59">
        <f t="shared" si="0"/>
        <v>632.90837797574125</v>
      </c>
      <c r="S38" s="59">
        <f ca="1">AVERAGE(OFFSET($R$3,0,0,'Données projet'!$E$9+1,1))-AVERAGE(OFFSET($H$3,0,0,'Données projet'!$E$9+1,1))</f>
        <v>252.28378247570731</v>
      </c>
      <c r="T38" s="59">
        <f t="shared" si="34"/>
        <v>263.50418595307343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26.590136263013605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7.1348779380728766</v>
      </c>
      <c r="AC38" s="22">
        <f t="shared" si="3"/>
        <v>33.725014201086481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11</v>
      </c>
      <c r="AI38" s="13">
        <f>IF('Données projet'!$A$62&gt;35,AI37+AH38-AQ37,IF(A38&lt;'Données projet'!$A$62,$AF$205^A38,IF(A38='Données projet'!$A$62,'Données projet'!$B$62,AI37+AH38-AQ37)))</f>
        <v>170</v>
      </c>
      <c r="AJ38" s="13">
        <f>AI38*VLOOKUP('Données projet'!$B$10,Paramètres!$A$1:$I$89,3,0)*VLOOKUP('Données projet'!$B$10,Paramètres!$A$1:$I$89,5,0)</f>
        <v>143.20800000000003</v>
      </c>
      <c r="AK38" s="13">
        <f t="shared" si="35"/>
        <v>37.030941422835831</v>
      </c>
      <c r="AL38" s="20">
        <f t="shared" si="4"/>
        <v>313.91615631143912</v>
      </c>
      <c r="AM38" s="59">
        <f t="shared" si="5"/>
        <v>607.24948964477244</v>
      </c>
      <c r="AN38" s="59">
        <f ca="1">AVERAGE(OFFSET($AM$3,0,0,'Données projet'!$E$10+1,1))-AVERAGE(OFFSET($H$3,0,0,'Données projet'!$E$10+1,1))</f>
        <v>382.67703499770795</v>
      </c>
      <c r="AO38" s="59">
        <f t="shared" si="36"/>
        <v>237.98926636458219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14.850000000000009</v>
      </c>
      <c r="N39" s="13">
        <f>IF('Données projet'!$A$36&gt;35,N38+M39-V38,IF(A39&lt;'Données projet'!$A$36,$K$205^A39,IF(A39='Données projet'!$A$36,'Données projet'!$B$36,N38+M39-V38)))</f>
        <v>274.40000000000009</v>
      </c>
      <c r="O39" s="13">
        <f>N39*VLOOKUP('Données projet'!$B$9,Paramètres!$A$1:$I$89,3,0)*VLOOKUP('Données projet'!$B$9,Paramètres!$A$1:$I$89,5,0)</f>
        <v>164.09120000000007</v>
      </c>
      <c r="P39" s="13">
        <f t="shared" si="33"/>
        <v>41.763936620208121</v>
      </c>
      <c r="Q39" s="20">
        <f t="shared" si="53"/>
        <v>358.5310296135292</v>
      </c>
      <c r="R39" s="59">
        <f t="shared" si="0"/>
        <v>651.86436294686246</v>
      </c>
      <c r="S39" s="59">
        <f ca="1">AVERAGE(OFFSET($R$3,0,0,'Données projet'!$E$9+1,1))-AVERAGE(OFFSET($H$3,0,0,'Données projet'!$E$9+1,1))</f>
        <v>252.28378247570731</v>
      </c>
      <c r="T39" s="59">
        <f t="shared" si="34"/>
        <v>263.50418595307343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26.068719909277597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5.0451205729496236</v>
      </c>
      <c r="AC39" s="22">
        <f t="shared" si="3"/>
        <v>31.113840482227221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11</v>
      </c>
      <c r="AI39" s="13">
        <f>IF('Données projet'!$A$62&gt;35,AI38+AH39-AQ38,IF(A39&lt;'Données projet'!$A$62,$AF$205^A39,IF(A39='Données projet'!$A$62,'Données projet'!$B$62,AI38+AH39-AQ38)))</f>
        <v>181</v>
      </c>
      <c r="AJ39" s="13">
        <f>AI39*VLOOKUP('Données projet'!$B$10,Paramètres!$A$1:$I$89,3,0)*VLOOKUP('Données projet'!$B$10,Paramètres!$A$1:$I$89,5,0)</f>
        <v>152.47440000000003</v>
      </c>
      <c r="AK39" s="13">
        <f t="shared" si="35"/>
        <v>39.140365323908171</v>
      </c>
      <c r="AL39" s="20">
        <f t="shared" si="4"/>
        <v>333.72904960580678</v>
      </c>
      <c r="AM39" s="59">
        <f t="shared" si="5"/>
        <v>627.06238293914009</v>
      </c>
      <c r="AN39" s="59">
        <f ca="1">AVERAGE(OFFSET($AM$3,0,0,'Données projet'!$E$10+1,1))-AVERAGE(OFFSET($H$3,0,0,'Données projet'!$E$10+1,1))</f>
        <v>382.67703499770795</v>
      </c>
      <c r="AO39" s="59">
        <f t="shared" si="36"/>
        <v>237.98926636458219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14.850000000000009</v>
      </c>
      <c r="N40" s="13">
        <f>IF('Données projet'!$A$36&gt;35,N39+M40-V39,IF(A40&lt;'Données projet'!$A$36,$K$205^A40,IF(A40='Données projet'!$A$36,'Données projet'!$B$36,N39+M40-V39)))</f>
        <v>289.25000000000011</v>
      </c>
      <c r="O40" s="13">
        <f>N40*VLOOKUP('Données projet'!$B$9,Paramètres!$A$1:$I$89,3,0)*VLOOKUP('Données projet'!$B$9,Paramètres!$A$1:$I$89,5,0)</f>
        <v>172.97150000000008</v>
      </c>
      <c r="P40" s="13">
        <f t="shared" si="33"/>
        <v>43.754868068248705</v>
      </c>
      <c r="Q40" s="20">
        <f t="shared" si="53"/>
        <v>377.46509105219997</v>
      </c>
      <c r="R40" s="59">
        <f t="shared" si="0"/>
        <v>670.79842438553328</v>
      </c>
      <c r="S40" s="59">
        <f ca="1">AVERAGE(OFFSET($R$3,0,0,'Données projet'!$E$9+1,1))-AVERAGE(OFFSET($H$3,0,0,'Données projet'!$E$9+1,1))</f>
        <v>252.28378247570731</v>
      </c>
      <c r="T40" s="59">
        <f t="shared" si="34"/>
        <v>263.50418595307343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25.557528212205778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3.5674389690364392</v>
      </c>
      <c r="AC40" s="22">
        <f t="shared" si="3"/>
        <v>29.124967181242216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11</v>
      </c>
      <c r="AI40" s="13">
        <f>IF('Données projet'!$A$62&gt;35,AI39+AH40-AQ39,IF(A40&lt;'Données projet'!$A$62,$AF$205^A40,IF(A40='Données projet'!$A$62,'Données projet'!$B$62,AI39+AH40-AQ39)))</f>
        <v>192</v>
      </c>
      <c r="AJ40" s="13">
        <f>AI40*VLOOKUP('Données projet'!$B$10,Paramètres!$A$1:$I$89,3,0)*VLOOKUP('Données projet'!$B$10,Paramètres!$A$1:$I$89,5,0)</f>
        <v>161.74080000000001</v>
      </c>
      <c r="AK40" s="13">
        <f t="shared" si="35"/>
        <v>41.234910079352424</v>
      </c>
      <c r="AL40" s="20">
        <f t="shared" si="4"/>
        <v>353.51602838820548</v>
      </c>
      <c r="AM40" s="59">
        <f t="shared" si="5"/>
        <v>646.8493617215388</v>
      </c>
      <c r="AN40" s="59">
        <f ca="1">AVERAGE(OFFSET($AM$3,0,0,'Données projet'!$E$10+1,1))-AVERAGE(OFFSET($H$3,0,0,'Données projet'!$E$10+1,1))</f>
        <v>382.67703499770795</v>
      </c>
      <c r="AO40" s="59">
        <f t="shared" si="36"/>
        <v>237.98926636458219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14.850000000000009</v>
      </c>
      <c r="N41" s="13">
        <f>IF('Données projet'!$A$36&gt;35,N40+M41-V40,IF(A41&lt;'Données projet'!$A$36,$K$205^A41,IF(A41='Données projet'!$A$36,'Données projet'!$B$36,N40+M41-V40)))</f>
        <v>304.10000000000014</v>
      </c>
      <c r="O41" s="13">
        <f>N41*VLOOKUP('Données projet'!$B$9,Paramètres!$A$1:$I$89,3,0)*VLOOKUP('Données projet'!$B$9,Paramètres!$A$1:$I$89,5,0)</f>
        <v>181.85180000000011</v>
      </c>
      <c r="P41" s="13">
        <f t="shared" si="33"/>
        <v>45.733931809167743</v>
      </c>
      <c r="Q41" s="20">
        <f t="shared" si="53"/>
        <v>396.3784829009673</v>
      </c>
      <c r="R41" s="59">
        <f t="shared" si="0"/>
        <v>689.71181623430061</v>
      </c>
      <c r="S41" s="59">
        <f ca="1">AVERAGE(OFFSET($R$3,0,0,'Données projet'!$E$9+1,1))-AVERAGE(OFFSET($H$3,0,0,'Données projet'!$E$9+1,1))</f>
        <v>252.28378247570731</v>
      </c>
      <c r="T41" s="59">
        <f t="shared" si="34"/>
        <v>263.50418595307343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25.056360672517389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2.5225602864748122</v>
      </c>
      <c r="AC41" s="22">
        <f t="shared" si="3"/>
        <v>27.5789209589922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11</v>
      </c>
      <c r="AI41" s="13">
        <f>IF('Données projet'!$A$62&gt;35,AI40+AH41-AQ40,IF(A41&lt;'Données projet'!$A$62,$AF$205^A41,IF(A41='Données projet'!$A$62,'Données projet'!$B$62,AI40+AH41-AQ40)))</f>
        <v>203</v>
      </c>
      <c r="AJ41" s="13">
        <f>AI41*VLOOKUP('Données projet'!$B$10,Paramètres!$A$1:$I$89,3,0)*VLOOKUP('Données projet'!$B$10,Paramètres!$A$1:$I$89,5,0)</f>
        <v>171.00720000000001</v>
      </c>
      <c r="AK41" s="13">
        <f t="shared" si="35"/>
        <v>43.315525267338089</v>
      </c>
      <c r="AL41" s="20">
        <f t="shared" si="4"/>
        <v>373.27874650728057</v>
      </c>
      <c r="AM41" s="59">
        <f t="shared" si="5"/>
        <v>666.61207984061389</v>
      </c>
      <c r="AN41" s="59">
        <f ca="1">AVERAGE(OFFSET($AM$3,0,0,'Données projet'!$E$10+1,1))-AVERAGE(OFFSET($H$3,0,0,'Données projet'!$E$10+1,1))</f>
        <v>382.67703499770795</v>
      </c>
      <c r="AO41" s="59">
        <f t="shared" si="36"/>
        <v>237.98926636458219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14.850000000000009</v>
      </c>
      <c r="N42" s="13">
        <f>IF('Données projet'!$A$36&gt;35,N41+M42-V41,IF(A42&lt;'Données projet'!$A$36,$K$205^A42,IF(A42='Données projet'!$A$36,'Données projet'!$B$36,N41+M42-V41)))</f>
        <v>318.95000000000016</v>
      </c>
      <c r="O42" s="13">
        <f>N42*VLOOKUP('Données projet'!$B$9,Paramètres!$A$1:$I$89,3,0)*VLOOKUP('Données projet'!$B$9,Paramètres!$A$1:$I$89,5,0)</f>
        <v>190.73210000000009</v>
      </c>
      <c r="P42" s="13">
        <f t="shared" si="33"/>
        <v>47.701773521629008</v>
      </c>
      <c r="Q42" s="20">
        <f t="shared" si="53"/>
        <v>415.27232971683731</v>
      </c>
      <c r="R42" s="59">
        <f t="shared" si="0"/>
        <v>708.60566305017062</v>
      </c>
      <c r="S42" s="59">
        <f ca="1">AVERAGE(OFFSET($R$3,0,0,'Données projet'!$E$9+1,1))-AVERAGE(OFFSET($H$3,0,0,'Données projet'!$E$9+1,1))</f>
        <v>252.28378247570731</v>
      </c>
      <c r="T42" s="59">
        <f t="shared" si="34"/>
        <v>263.50418595307343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24.565020722600273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1.7837194845182198</v>
      </c>
      <c r="AC42" s="22">
        <f t="shared" si="3"/>
        <v>26.348740207118492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11</v>
      </c>
      <c r="AI42" s="13">
        <f>IF('Données projet'!$A$62&gt;35,AI41+AH42-AQ41,IF(A42&lt;'Données projet'!$A$62,$AF$205^A42,IF(A42='Données projet'!$A$62,'Données projet'!$B$62,AI41+AH42-AQ41)))</f>
        <v>214</v>
      </c>
      <c r="AJ42" s="13">
        <f>AI42*VLOOKUP('Données projet'!$B$10,Paramètres!$A$1:$I$89,3,0)*VLOOKUP('Données projet'!$B$10,Paramètres!$A$1:$I$89,5,0)</f>
        <v>180.27360000000002</v>
      </c>
      <c r="AK42" s="13">
        <f t="shared" si="35"/>
        <v>45.383051743938047</v>
      </c>
      <c r="AL42" s="20">
        <f t="shared" si="4"/>
        <v>393.01866845402543</v>
      </c>
      <c r="AM42" s="59">
        <f t="shared" si="5"/>
        <v>686.35200178735874</v>
      </c>
      <c r="AN42" s="59">
        <f ca="1">AVERAGE(OFFSET($AM$3,0,0,'Données projet'!$E$10+1,1))-AVERAGE(OFFSET($H$3,0,0,'Données projet'!$E$10+1,1))</f>
        <v>382.67703499770795</v>
      </c>
      <c r="AO42" s="59">
        <f t="shared" si="36"/>
        <v>237.98926636458219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333.80000000000007</v>
      </c>
      <c r="L43" s="12">
        <f>VLOOKUP(A43,'Données projet'!$A$35:$I$55,9,0)</f>
        <v>14.850000000000009</v>
      </c>
      <c r="M43" s="12">
        <f t="array" ref="M43">INDEX(L:L,MIN(IF(ISNUMBER(L43:L239),ROW(L43:L239),"")))</f>
        <v>14.850000000000009</v>
      </c>
      <c r="N43" s="13">
        <f>IF('Données projet'!$A$36&gt;35,N42+M43-V42,IF(A43&lt;'Données projet'!$A$36,$K$205^A43,IF(A43='Données projet'!$A$36,'Données projet'!$B$36,N42+M43-V42)))</f>
        <v>333.80000000000018</v>
      </c>
      <c r="O43" s="13">
        <f>N43*VLOOKUP('Données projet'!$B$9,Paramètres!$A$1:$I$89,3,0)*VLOOKUP('Données projet'!$B$9,Paramètres!$A$1:$I$89,5,0)</f>
        <v>199.61240000000012</v>
      </c>
      <c r="P43" s="13">
        <f t="shared" si="33"/>
        <v>49.658975362033459</v>
      </c>
      <c r="Q43" s="20">
        <f t="shared" si="53"/>
        <v>434.14764542220854</v>
      </c>
      <c r="R43" s="59">
        <f t="shared" si="0"/>
        <v>727.48097875554186</v>
      </c>
      <c r="S43" s="59">
        <f ca="1">AVERAGE(OFFSET($R$3,0,0,'Données projet'!$E$9+1,1))-AVERAGE(OFFSET($H$3,0,0,'Données projet'!$E$9+1,1))</f>
        <v>252.28378247570731</v>
      </c>
      <c r="T43" s="59">
        <f t="shared" si="34"/>
        <v>263.50418595307343</v>
      </c>
      <c r="U43" s="15">
        <f>IF(ISNA(VLOOKUP(A43,'Données projet'!$A$35:$I$55,3,0)),0,VLOOKUP(A43,'Données projet'!$A$35:$I$55,3,0))</f>
        <v>7</v>
      </c>
      <c r="V43" s="15">
        <f>IF(ISNA(VLOOKUP(A43,'Données projet'!$A$35:$I$55,4,0)),0,VLOOKUP(A43,'Données projet'!$A$35:$I$55,4,0))</f>
        <v>34.1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24.083315649413258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1.2612801432374063</v>
      </c>
      <c r="AC43" s="22">
        <f t="shared" si="3"/>
        <v>25.344595792650665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225</v>
      </c>
      <c r="AG43" s="12">
        <f>VLOOKUP(A43,'Données projet'!$A$61:$I$81,9,0)</f>
        <v>11</v>
      </c>
      <c r="AH43" s="12">
        <f t="array" ref="AH43">INDEX(AG:AG,MIN(IF(ISNUMBER(AG43:AG239),ROW(AG43:AG239),"")))</f>
        <v>11</v>
      </c>
      <c r="AI43" s="13">
        <f>IF('Données projet'!$A$62&gt;35,AI42+AH43-AQ42,IF(A43&lt;'Données projet'!$A$62,$AF$205^A43,IF(A43='Données projet'!$A$62,'Données projet'!$B$62,AI42+AH43-AQ42)))</f>
        <v>225</v>
      </c>
      <c r="AJ43" s="13">
        <f>AI43*VLOOKUP('Données projet'!$B$10,Paramètres!$A$1:$I$89,3,0)*VLOOKUP('Données projet'!$B$10,Paramètres!$A$1:$I$89,5,0)</f>
        <v>189.54000000000002</v>
      </c>
      <c r="AK43" s="13">
        <f t="shared" si="35"/>
        <v>47.438239039488813</v>
      </c>
      <c r="AL43" s="20">
        <f t="shared" si="4"/>
        <v>412.73709966044299</v>
      </c>
      <c r="AM43" s="59">
        <f t="shared" si="5"/>
        <v>706.07043299377631</v>
      </c>
      <c r="AN43" s="59">
        <f ca="1">AVERAGE(OFFSET($AM$3,0,0,'Données projet'!$E$10+1,1))-AVERAGE(OFFSET($H$3,0,0,'Données projet'!$E$10+1,1))</f>
        <v>382.67703499770795</v>
      </c>
      <c r="AO43" s="59">
        <f t="shared" si="36"/>
        <v>237.98926636458219</v>
      </c>
      <c r="AP43" s="15">
        <f>IF(ISNA(VLOOKUP(A43,'Données projet'!$A$61:$I$81,3,0)),0,VLOOKUP(A43,'Données projet'!$A$61:$I$81,3,0))</f>
        <v>3</v>
      </c>
      <c r="AQ43" s="15">
        <f>IF(ISNA(VLOOKUP(A43,'Données projet'!$A$61:$I$81,4,0)),0,VLOOKUP(A43,'Données projet'!$A$61:$I$81,4,0))</f>
        <v>56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11.049999999999992</v>
      </c>
      <c r="N44" s="13">
        <f>IF('Données projet'!$A$36&gt;35,N43+M44-V43,IF(A44&lt;'Données projet'!$A$36,$K$205^A44,IF(A44='Données projet'!$A$36,'Données projet'!$B$36,N43+M44-V43)))</f>
        <v>310.75000000000017</v>
      </c>
      <c r="O44" s="13">
        <f>N44*VLOOKUP('Données projet'!$B$9,Paramètres!$A$1:$I$89,3,0)*VLOOKUP('Données projet'!$B$9,Paramètres!$A$1:$I$89,5,0)</f>
        <v>185.8285000000001</v>
      </c>
      <c r="P44" s="13">
        <f t="shared" si="33"/>
        <v>46.616505227631968</v>
      </c>
      <c r="Q44" s="20">
        <f t="shared" si="53"/>
        <v>404.84171743812584</v>
      </c>
      <c r="R44" s="59">
        <f t="shared" si="0"/>
        <v>698.17505077145915</v>
      </c>
      <c r="S44" s="59">
        <f ca="1">AVERAGE(OFFSET($R$3,0,0,'Données projet'!$E$9+1,1))-AVERAGE(OFFSET($H$3,0,0,'Données projet'!$E$9+1,1))</f>
        <v>252.28378247570731</v>
      </c>
      <c r="T44" s="59">
        <f t="shared" si="34"/>
        <v>263.50418595307343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23.611056518900355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0.89185974225911002</v>
      </c>
      <c r="AC44" s="22">
        <f t="shared" si="3"/>
        <v>24.502916261159466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11.2</v>
      </c>
      <c r="AI44" s="13">
        <f>IF('Données projet'!$A$62&gt;35,AI43+AH44-AQ43,IF(A44&lt;'Données projet'!$A$62,$AF$205^A44,IF(A44='Données projet'!$A$62,'Données projet'!$B$62,AI43+AH44-AQ43)))</f>
        <v>180.2</v>
      </c>
      <c r="AJ44" s="13">
        <f>AI44*VLOOKUP('Données projet'!$B$10,Paramètres!$A$1:$I$89,3,0)*VLOOKUP('Données projet'!$B$10,Paramètres!$A$1:$I$89,5,0)</f>
        <v>151.80048000000002</v>
      </c>
      <c r="AK44" s="13">
        <f t="shared" si="35"/>
        <v>38.987466592941892</v>
      </c>
      <c r="AL44" s="20">
        <f t="shared" si="4"/>
        <v>332.28900698270718</v>
      </c>
      <c r="AM44" s="59">
        <f t="shared" si="5"/>
        <v>625.62234031604044</v>
      </c>
      <c r="AN44" s="59">
        <f ca="1">AVERAGE(OFFSET($AM$3,0,0,'Données projet'!$E$10+1,1))-AVERAGE(OFFSET($H$3,0,0,'Données projet'!$E$10+1,1))</f>
        <v>382.67703499770795</v>
      </c>
      <c r="AO44" s="59">
        <f t="shared" si="36"/>
        <v>237.98926636458219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11.049999999999992</v>
      </c>
      <c r="N45" s="13">
        <f>IF('Données projet'!$A$36&gt;35,N44+M45-V44,IF(A45&lt;'Données projet'!$A$36,$K$205^A45,IF(A45='Données projet'!$A$36,'Données projet'!$B$36,N44+M45-V44)))</f>
        <v>321.80000000000018</v>
      </c>
      <c r="O45" s="13">
        <f>N45*VLOOKUP('Données projet'!$B$9,Paramètres!$A$1:$I$89,3,0)*VLOOKUP('Données projet'!$B$9,Paramètres!$A$1:$I$89,5,0)</f>
        <v>192.43640000000011</v>
      </c>
      <c r="P45" s="13">
        <f t="shared" si="33"/>
        <v>48.07820620284339</v>
      </c>
      <c r="Q45" s="20">
        <f t="shared" si="53"/>
        <v>418.89627246995241</v>
      </c>
      <c r="R45" s="59">
        <f t="shared" si="0"/>
        <v>712.22960580328572</v>
      </c>
      <c r="S45" s="59">
        <f ca="1">AVERAGE(OFFSET($R$3,0,0,'Données projet'!$E$9+1,1))-AVERAGE(OFFSET($H$3,0,0,'Données projet'!$E$9+1,1))</f>
        <v>252.28378247570731</v>
      </c>
      <c r="T45" s="59">
        <f t="shared" si="34"/>
        <v>263.50418595307343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23.148058101887184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0.63064007161870328</v>
      </c>
      <c r="AC45" s="22">
        <f t="shared" si="3"/>
        <v>23.778698173505887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11.2</v>
      </c>
      <c r="AI45" s="13">
        <f>IF('Données projet'!$A$62&gt;35,AI44+AH45-AQ44,IF(A45&lt;'Données projet'!$A$62,$AF$205^A45,IF(A45='Données projet'!$A$62,'Données projet'!$B$62,AI44+AH45-AQ44)))</f>
        <v>191.39999999999998</v>
      </c>
      <c r="AJ45" s="13">
        <f>AI45*VLOOKUP('Données projet'!$B$10,Paramètres!$A$1:$I$89,3,0)*VLOOKUP('Données projet'!$B$10,Paramètres!$A$1:$I$89,5,0)</f>
        <v>161.23535999999999</v>
      </c>
      <c r="AK45" s="13">
        <f t="shared" si="35"/>
        <v>41.121029451505414</v>
      </c>
      <c r="AL45" s="20">
        <f t="shared" si="4"/>
        <v>352.43737829470524</v>
      </c>
      <c r="AM45" s="59">
        <f t="shared" si="5"/>
        <v>645.7707116280385</v>
      </c>
      <c r="AN45" s="59">
        <f ca="1">AVERAGE(OFFSET($AM$3,0,0,'Données projet'!$E$10+1,1))-AVERAGE(OFFSET($H$3,0,0,'Données projet'!$E$10+1,1))</f>
        <v>382.67703499770795</v>
      </c>
      <c r="AO45" s="59">
        <f t="shared" si="36"/>
        <v>237.98926636458219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0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11.049999999999992</v>
      </c>
      <c r="N46" s="13">
        <f>IF('Données projet'!$A$36&gt;35,N45+M46-V45,IF(A46&lt;'Données projet'!$A$36,$K$205^A46,IF(A46='Données projet'!$A$36,'Données projet'!$B$36,N45+M46-V45)))</f>
        <v>332.85000000000019</v>
      </c>
      <c r="O46" s="13">
        <f>N46*VLOOKUP('Données projet'!$B$9,Paramètres!$A$1:$I$89,3,0)*VLOOKUP('Données projet'!$B$9,Paramètres!$A$1:$I$89,5,0)</f>
        <v>199.04430000000013</v>
      </c>
      <c r="P46" s="13">
        <f t="shared" si="33"/>
        <v>49.534075275146158</v>
      </c>
      <c r="Q46" s="20">
        <f t="shared" si="53"/>
        <v>432.94067027087976</v>
      </c>
      <c r="R46" s="59">
        <f t="shared" si="0"/>
        <v>726.27400360421302</v>
      </c>
      <c r="S46" s="59">
        <f ca="1">AVERAGE(OFFSET($R$3,0,0,'Données projet'!$E$9+1,1))-AVERAGE(OFFSET($H$3,0,0,'Données projet'!$E$9+1,1))</f>
        <v>252.28378247570731</v>
      </c>
      <c r="T46" s="59">
        <f t="shared" si="34"/>
        <v>263.50418595307343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22.694138801430491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0.44592987112955512</v>
      </c>
      <c r="AC46" s="22">
        <f t="shared" si="3"/>
        <v>23.140068672560044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11.2</v>
      </c>
      <c r="AI46" s="13">
        <f>IF('Données projet'!$A$62&gt;35,AI45+AH46-AQ45,IF(A46&lt;'Données projet'!$A$62,$AF$205^A46,IF(A46='Données projet'!$A$62,'Données projet'!$B$62,AI45+AH46-AQ45)))</f>
        <v>202.59999999999997</v>
      </c>
      <c r="AJ46" s="13">
        <f>AI46*VLOOKUP('Données projet'!$B$10,Paramètres!$A$1:$I$89,3,0)*VLOOKUP('Données projet'!$B$10,Paramètres!$A$1:$I$89,5,0)</f>
        <v>170.67023999999998</v>
      </c>
      <c r="AK46" s="13">
        <f t="shared" si="35"/>
        <v>43.240100655403644</v>
      </c>
      <c r="AL46" s="20">
        <f t="shared" si="4"/>
        <v>372.56050997482794</v>
      </c>
      <c r="AM46" s="59">
        <f t="shared" si="5"/>
        <v>665.89384330816119</v>
      </c>
      <c r="AN46" s="59">
        <f ca="1">AVERAGE(OFFSET($AM$3,0,0,'Données projet'!$E$10+1,1))-AVERAGE(OFFSET($H$3,0,0,'Données projet'!$E$10+1,1))</f>
        <v>382.67703499770795</v>
      </c>
      <c r="AO46" s="59">
        <f t="shared" si="36"/>
        <v>237.98926636458219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0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11.049999999999992</v>
      </c>
      <c r="N47" s="13">
        <f>IF('Données projet'!$A$36&gt;35,N46+M47-V46,IF(A47&lt;'Données projet'!$A$36,$K$205^A47,IF(A47='Données projet'!$A$36,'Données projet'!$B$36,N46+M47-V46)))</f>
        <v>343.9000000000002</v>
      </c>
      <c r="O47" s="13">
        <f>N47*VLOOKUP('Données projet'!$B$9,Paramètres!$A$1:$I$89,3,0)*VLOOKUP('Données projet'!$B$9,Paramètres!$A$1:$I$89,5,0)</f>
        <v>205.65220000000014</v>
      </c>
      <c r="P47" s="13">
        <f t="shared" si="33"/>
        <v>50.984328252291228</v>
      </c>
      <c r="Q47" s="20">
        <f t="shared" si="53"/>
        <v>446.97528670607409</v>
      </c>
      <c r="R47" s="59">
        <f t="shared" si="0"/>
        <v>740.3086200394074</v>
      </c>
      <c r="S47" s="59">
        <f ca="1">AVERAGE(OFFSET($R$3,0,0,'Données projet'!$E$9+1,1))-AVERAGE(OFFSET($H$3,0,0,'Données projet'!$E$9+1,1))</f>
        <v>252.28378247570731</v>
      </c>
      <c r="T47" s="59">
        <f t="shared" si="34"/>
        <v>263.50418595307343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22.249120581592319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0.3153200358093517</v>
      </c>
      <c r="AC47" s="22">
        <f t="shared" si="3"/>
        <v>22.564440617401669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11.2</v>
      </c>
      <c r="AI47" s="13">
        <f>IF('Données projet'!$A$62&gt;35,AI46+AH47-AQ46,IF(A47&lt;'Données projet'!$A$62,$AF$205^A47,IF(A47='Données projet'!$A$62,'Données projet'!$B$62,AI46+AH47-AQ46)))</f>
        <v>213.79999999999995</v>
      </c>
      <c r="AJ47" s="13">
        <f>AI47*VLOOKUP('Données projet'!$B$10,Paramètres!$A$1:$I$89,3,0)*VLOOKUP('Données projet'!$B$10,Paramètres!$A$1:$I$89,5,0)</f>
        <v>180.10511999999997</v>
      </c>
      <c r="AK47" s="13">
        <f t="shared" si="35"/>
        <v>45.345572635110635</v>
      </c>
      <c r="AL47" s="20">
        <f t="shared" si="4"/>
        <v>392.65995633948432</v>
      </c>
      <c r="AM47" s="59">
        <f t="shared" si="5"/>
        <v>685.99328967281758</v>
      </c>
      <c r="AN47" s="59">
        <f ca="1">AVERAGE(OFFSET($AM$3,0,0,'Données projet'!$E$10+1,1))-AVERAGE(OFFSET($H$3,0,0,'Données projet'!$E$10+1,1))</f>
        <v>382.67703499770795</v>
      </c>
      <c r="AO47" s="59">
        <f t="shared" si="36"/>
        <v>237.98926636458219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0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11.049999999999992</v>
      </c>
      <c r="N48" s="13">
        <f>IF('Données projet'!$A$36&gt;35,N47+M48-V47,IF(A48&lt;'Données projet'!$A$36,$K$205^A48,IF(A48='Données projet'!$A$36,'Données projet'!$B$36,N47+M48-V47)))</f>
        <v>354.95000000000022</v>
      </c>
      <c r="O48" s="13">
        <f>N48*VLOOKUP('Données projet'!$B$9,Paramètres!$A$1:$I$89,3,0)*VLOOKUP('Données projet'!$B$9,Paramètres!$A$1:$I$89,5,0)</f>
        <v>212.26010000000014</v>
      </c>
      <c r="P48" s="13">
        <f t="shared" si="33"/>
        <v>52.429166286213409</v>
      </c>
      <c r="Q48" s="20">
        <f t="shared" si="53"/>
        <v>461.00047211515522</v>
      </c>
      <c r="R48" s="59">
        <f t="shared" si="0"/>
        <v>754.33380544848853</v>
      </c>
      <c r="S48" s="59">
        <f ca="1">AVERAGE(OFFSET($R$3,0,0,'Données projet'!$E$9+1,1))-AVERAGE(OFFSET($H$3,0,0,'Données projet'!$E$9+1,1))</f>
        <v>252.28378247570731</v>
      </c>
      <c r="T48" s="59">
        <f t="shared" si="34"/>
        <v>263.50418595307343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21.81282889761086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0.22296493556477759</v>
      </c>
      <c r="AC48" s="22">
        <f t="shared" si="3"/>
        <v>22.035793833175639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11.2</v>
      </c>
      <c r="AI48" s="13">
        <f>IF('Données projet'!$A$62&gt;35,AI47+AH48-AQ47,IF(A48&lt;'Données projet'!$A$62,$AF$205^A48,IF(A48='Données projet'!$A$62,'Données projet'!$B$62,AI47+AH48-AQ47)))</f>
        <v>224.99999999999994</v>
      </c>
      <c r="AJ48" s="13">
        <f>AI48*VLOOKUP('Données projet'!$B$10,Paramètres!$A$1:$I$89,3,0)*VLOOKUP('Données projet'!$B$10,Paramètres!$A$1:$I$89,5,0)</f>
        <v>189.53999999999996</v>
      </c>
      <c r="AK48" s="13">
        <f t="shared" si="35"/>
        <v>47.438239039488813</v>
      </c>
      <c r="AL48" s="20">
        <f t="shared" si="4"/>
        <v>412.73709966044294</v>
      </c>
      <c r="AM48" s="59">
        <f t="shared" si="5"/>
        <v>706.07043299377619</v>
      </c>
      <c r="AN48" s="59">
        <f ca="1">AVERAGE(OFFSET($AM$3,0,0,'Données projet'!$E$10+1,1))-AVERAGE(OFFSET($H$3,0,0,'Données projet'!$E$10+1,1))</f>
        <v>382.67703499770795</v>
      </c>
      <c r="AO48" s="59">
        <f t="shared" si="36"/>
        <v>237.98926636458219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0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0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>
        <f>VLOOKUP(A49,'Données projet'!$A$35:$I$55,2,0)</f>
        <v>366</v>
      </c>
      <c r="L49" s="12">
        <f>VLOOKUP(A49,'Données projet'!$A$35:$I$55,9,0)</f>
        <v>11.049999999999992</v>
      </c>
      <c r="M49" s="12">
        <f t="array" ref="M49">INDEX(L:L,MIN(IF(ISNUMBER(L49:L245),ROW(L49:L245),"")))</f>
        <v>11.049999999999992</v>
      </c>
      <c r="N49" s="13">
        <f>IF('Données projet'!$A$36&gt;35,N48+M49-V48,IF(A49&lt;'Données projet'!$A$36,$K$205^A49,IF(A49='Données projet'!$A$36,'Données projet'!$B$36,N48+M49-V48)))</f>
        <v>366.00000000000023</v>
      </c>
      <c r="O49" s="13">
        <f>N49*VLOOKUP('Données projet'!$B$9,Paramètres!$A$1:$I$89,3,0)*VLOOKUP('Données projet'!$B$9,Paramètres!$A$1:$I$89,5,0)</f>
        <v>218.86800000000014</v>
      </c>
      <c r="P49" s="13">
        <f t="shared" si="33"/>
        <v>53.868777293257544</v>
      </c>
      <c r="Q49" s="20">
        <f t="shared" si="53"/>
        <v>475.01655378575714</v>
      </c>
      <c r="R49" s="59">
        <f t="shared" si="0"/>
        <v>768.34988711909045</v>
      </c>
      <c r="S49" s="59">
        <f ca="1">AVERAGE(OFFSET($R$3,0,0,'Données projet'!$E$9+1,1))-AVERAGE(OFFSET($H$3,0,0,'Données projet'!$E$9+1,1))</f>
        <v>252.28378247570731</v>
      </c>
      <c r="T49" s="59">
        <f t="shared" si="34"/>
        <v>263.50418595307343</v>
      </c>
      <c r="U49" s="15">
        <f>IF(ISNA(VLOOKUP(A49,'Données projet'!$A$35:$I$55,3,0)),0,VLOOKUP(A49,'Données projet'!$A$35:$I$55,3,0))</f>
        <v>8</v>
      </c>
      <c r="V49" s="15">
        <f>IF(ISNA(VLOOKUP(A49,'Données projet'!$A$35:$I$55,4,0)),0,VLOOKUP(A49,'Données projet'!$A$35:$I$55,4,0))</f>
        <v>21.3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21.385092627440628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0.15766001790467588</v>
      </c>
      <c r="AC49" s="22">
        <f t="shared" si="3"/>
        <v>21.542752645345303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11.2</v>
      </c>
      <c r="AI49" s="13">
        <f>IF('Données projet'!$A$62&gt;35,AI48+AH49-AQ48,IF(A49&lt;'Données projet'!$A$62,$AF$205^A49,IF(A49='Données projet'!$A$62,'Données projet'!$B$62,AI48+AH49-AQ48)))</f>
        <v>236.19999999999993</v>
      </c>
      <c r="AJ49" s="13">
        <f>AI49*VLOOKUP('Données projet'!$B$10,Paramètres!$A$1:$I$89,3,0)*VLOOKUP('Données projet'!$B$10,Paramètres!$A$1:$I$89,5,0)</f>
        <v>198.97487999999996</v>
      </c>
      <c r="AK49" s="13">
        <f t="shared" si="35"/>
        <v>49.518810041794701</v>
      </c>
      <c r="AL49" s="20">
        <f t="shared" si="4"/>
        <v>432.7931768227923</v>
      </c>
      <c r="AM49" s="59">
        <f t="shared" si="5"/>
        <v>726.12651015612562</v>
      </c>
      <c r="AN49" s="59">
        <f ca="1">AVERAGE(OFFSET($AM$3,0,0,'Données projet'!$E$10+1,1))-AVERAGE(OFFSET($H$3,0,0,'Données projet'!$E$10+1,1))</f>
        <v>382.67703499770795</v>
      </c>
      <c r="AO49" s="59">
        <f t="shared" si="36"/>
        <v>237.98926636458219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0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0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7.2999999999999972</v>
      </c>
      <c r="N50" s="13">
        <f>IF('Données projet'!$A$36&gt;35,N49+M50-V49,IF(A50&lt;'Données projet'!$A$36,$K$205^A50,IF(A50='Données projet'!$A$36,'Données projet'!$B$36,N49+M50-V49)))</f>
        <v>352.00000000000023</v>
      </c>
      <c r="O50" s="13">
        <f>N50*VLOOKUP('Données projet'!$B$9,Paramètres!$A$1:$I$89,3,0)*VLOOKUP('Données projet'!$B$9,Paramètres!$A$1:$I$89,5,0)</f>
        <v>210.49600000000015</v>
      </c>
      <c r="P50" s="13">
        <f t="shared" si="33"/>
        <v>52.043959291168512</v>
      </c>
      <c r="Q50" s="20">
        <f t="shared" si="53"/>
        <v>457.25709576545205</v>
      </c>
      <c r="R50" s="59">
        <f t="shared" si="0"/>
        <v>750.59042909878531</v>
      </c>
      <c r="S50" s="59">
        <f ca="1">AVERAGE(OFFSET($R$3,0,0,'Données projet'!$E$9+1,1))-AVERAGE(OFFSET($H$3,0,0,'Données projet'!$E$9+1,1))</f>
        <v>252.28378247570731</v>
      </c>
      <c r="T50" s="59">
        <f t="shared" si="34"/>
        <v>263.50418595307343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20.96574400463507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0.11148246778238882</v>
      </c>
      <c r="AC50" s="22">
        <f t="shared" si="3"/>
        <v>21.077226472417458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11.2</v>
      </c>
      <c r="AI50" s="13">
        <f>IF('Données projet'!$A$62&gt;35,AI49+AH50-AQ49,IF(A50&lt;'Données projet'!$A$62,$AF$205^A50,IF(A50='Données projet'!$A$62,'Données projet'!$B$62,AI49+AH50-AQ49)))</f>
        <v>247.39999999999992</v>
      </c>
      <c r="AJ50" s="13">
        <f>AI50*VLOOKUP('Données projet'!$B$10,Paramètres!$A$1:$I$89,3,0)*VLOOKUP('Données projet'!$B$10,Paramètres!$A$1:$I$89,5,0)</f>
        <v>208.40975999999998</v>
      </c>
      <c r="AK50" s="13">
        <f t="shared" si="35"/>
        <v>51.587924660362781</v>
      </c>
      <c r="AL50" s="20">
        <f t="shared" si="4"/>
        <v>452.82930078346516</v>
      </c>
      <c r="AM50" s="59">
        <f t="shared" si="5"/>
        <v>746.16263411679847</v>
      </c>
      <c r="AN50" s="59">
        <f ca="1">AVERAGE(OFFSET($AM$3,0,0,'Données projet'!$E$10+1,1))-AVERAGE(OFFSET($H$3,0,0,'Données projet'!$E$10+1,1))</f>
        <v>382.67703499770795</v>
      </c>
      <c r="AO50" s="59">
        <f t="shared" si="36"/>
        <v>237.98926636458219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0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0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7.2999999999999972</v>
      </c>
      <c r="N51" s="13">
        <f>IF('Données projet'!$A$36&gt;35,N50+M51-V50,IF(A51&lt;'Données projet'!$A$36,$K$205^A51,IF(A51='Données projet'!$A$36,'Données projet'!$B$36,N50+M51-V50)))</f>
        <v>359.30000000000024</v>
      </c>
      <c r="O51" s="13">
        <f>N51*VLOOKUP('Données projet'!$B$9,Paramètres!$A$1:$I$89,3,0)*VLOOKUP('Données projet'!$B$9,Paramètres!$A$1:$I$89,5,0)</f>
        <v>214.86140000000015</v>
      </c>
      <c r="P51" s="13">
        <f t="shared" si="33"/>
        <v>52.996504799916742</v>
      </c>
      <c r="Q51" s="20">
        <f t="shared" si="53"/>
        <v>466.51918419318849</v>
      </c>
      <c r="R51" s="59">
        <f t="shared" si="0"/>
        <v>759.85251752652175</v>
      </c>
      <c r="S51" s="59">
        <f ca="1">AVERAGE(OFFSET($R$3,0,0,'Données projet'!$E$9+1,1))-AVERAGE(OFFSET($H$3,0,0,'Données projet'!$E$9+1,1))</f>
        <v>252.28378247570731</v>
      </c>
      <c r="T51" s="59">
        <f t="shared" si="34"/>
        <v>263.50418595307343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20.554618552545325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7.8830008952337952E-2</v>
      </c>
      <c r="AC51" s="22">
        <f t="shared" si="3"/>
        <v>20.633448561497662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11.2</v>
      </c>
      <c r="AI51" s="13">
        <f>IF('Données projet'!$A$62&gt;35,AI50+AH51-AQ50,IF(A51&lt;'Données projet'!$A$62,$AF$205^A51,IF(A51='Données projet'!$A$62,'Données projet'!$B$62,AI50+AH51-AQ50)))</f>
        <v>258.59999999999991</v>
      </c>
      <c r="AJ51" s="13">
        <f>AI51*VLOOKUP('Données projet'!$B$10,Paramètres!$A$1:$I$89,3,0)*VLOOKUP('Données projet'!$B$10,Paramètres!$A$1:$I$89,5,0)</f>
        <v>217.84463999999994</v>
      </c>
      <c r="AK51" s="13">
        <f t="shared" si="35"/>
        <v>53.64616078516395</v>
      </c>
      <c r="AL51" s="20">
        <f t="shared" si="4"/>
        <v>472.8464780341605</v>
      </c>
      <c r="AM51" s="59">
        <f t="shared" si="5"/>
        <v>766.17981136749381</v>
      </c>
      <c r="AN51" s="59">
        <f ca="1">AVERAGE(OFFSET($AM$3,0,0,'Données projet'!$E$10+1,1))-AVERAGE(OFFSET($H$3,0,0,'Données projet'!$E$10+1,1))</f>
        <v>382.67703499770795</v>
      </c>
      <c r="AO51" s="59">
        <f t="shared" si="36"/>
        <v>237.98926636458219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0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0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7.2999999999999972</v>
      </c>
      <c r="N52" s="13">
        <f>IF('Données projet'!$A$36&gt;35,N51+M52-V51,IF(A52&lt;'Données projet'!$A$36,$K$205^A52,IF(A52='Données projet'!$A$36,'Données projet'!$B$36,N51+M52-V51)))</f>
        <v>366.60000000000025</v>
      </c>
      <c r="O52" s="13">
        <f>N52*VLOOKUP('Données projet'!$B$9,Paramètres!$A$1:$I$89,3,0)*VLOOKUP('Données projet'!$B$9,Paramètres!$A$1:$I$89,5,0)</f>
        <v>219.22680000000014</v>
      </c>
      <c r="P52" s="13">
        <f t="shared" si="33"/>
        <v>53.946800101493466</v>
      </c>
      <c r="Q52" s="20">
        <f t="shared" si="53"/>
        <v>475.77735351010136</v>
      </c>
      <c r="R52" s="59">
        <f t="shared" si="0"/>
        <v>769.11068684343468</v>
      </c>
      <c r="S52" s="59">
        <f ca="1">AVERAGE(OFFSET($R$3,0,0,'Données projet'!$E$9+1,1))-AVERAGE(OFFSET($H$3,0,0,'Données projet'!$E$9+1,1))</f>
        <v>252.28378247570731</v>
      </c>
      <c r="T52" s="59">
        <f t="shared" si="34"/>
        <v>263.50418595307343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20.151555019809294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5.5741233891194418E-2</v>
      </c>
      <c r="AC52" s="22">
        <f t="shared" si="3"/>
        <v>20.207296253700488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11.2</v>
      </c>
      <c r="AI52" s="13">
        <f>IF('Données projet'!$A$62&gt;35,AI51+AH52-AQ51,IF(A52&lt;'Données projet'!$A$62,$AF$205^A52,IF(A52='Données projet'!$A$62,'Données projet'!$B$62,AI51+AH52-AQ51)))</f>
        <v>269.7999999999999</v>
      </c>
      <c r="AJ52" s="13">
        <f>AI52*VLOOKUP('Données projet'!$B$10,Paramètres!$A$1:$I$89,3,0)*VLOOKUP('Données projet'!$B$10,Paramètres!$A$1:$I$89,5,0)</f>
        <v>227.27951999999993</v>
      </c>
      <c r="AK52" s="13">
        <f t="shared" si="35"/>
        <v>55.694043418351306</v>
      </c>
      <c r="AL52" s="20">
        <f t="shared" si="4"/>
        <v>492.84562295362849</v>
      </c>
      <c r="AM52" s="59">
        <f t="shared" si="5"/>
        <v>786.17895628696181</v>
      </c>
      <c r="AN52" s="59">
        <f ca="1">AVERAGE(OFFSET($AM$3,0,0,'Données projet'!$E$10+1,1))-AVERAGE(OFFSET($H$3,0,0,'Données projet'!$E$10+1,1))</f>
        <v>382.67703499770795</v>
      </c>
      <c r="AO52" s="59">
        <f t="shared" si="36"/>
        <v>237.98926636458219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0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0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7.2999999999999972</v>
      </c>
      <c r="N53" s="13">
        <f>IF('Données projet'!$A$36&gt;35,N52+M53-V52,IF(A53&lt;'Données projet'!$A$36,$K$205^A53,IF(A53='Données projet'!$A$36,'Données projet'!$B$36,N52+M53-V52)))</f>
        <v>373.90000000000026</v>
      </c>
      <c r="O53" s="13">
        <f>N53*VLOOKUP('Données projet'!$B$9,Paramètres!$A$1:$I$89,3,0)*VLOOKUP('Données projet'!$B$9,Paramètres!$A$1:$I$89,5,0)</f>
        <v>223.59220000000019</v>
      </c>
      <c r="P53" s="13">
        <f t="shared" si="33"/>
        <v>54.894895167980749</v>
      </c>
      <c r="Q53" s="20">
        <f t="shared" si="53"/>
        <v>485.03169075090017</v>
      </c>
      <c r="R53" s="59">
        <f t="shared" si="0"/>
        <v>778.36502408423348</v>
      </c>
      <c r="S53" s="59">
        <f ca="1">AVERAGE(OFFSET($R$3,0,0,'Données projet'!$E$9+1,1))-AVERAGE(OFFSET($H$3,0,0,'Données projet'!$E$9+1,1))</f>
        <v>252.28378247570731</v>
      </c>
      <c r="T53" s="59">
        <f t="shared" si="34"/>
        <v>263.50418595307343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19.756395317105738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3.9415004476168983E-2</v>
      </c>
      <c r="AC53" s="22">
        <f t="shared" si="3"/>
        <v>19.795810321581907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281</v>
      </c>
      <c r="AG53" s="12">
        <f>VLOOKUP(A53,'Données projet'!$A$61:$I$81,9,0)</f>
        <v>11.2</v>
      </c>
      <c r="AH53" s="12">
        <f t="array" ref="AH53">INDEX(AG:AG,MIN(IF(ISNUMBER(AG53:AG249),ROW(AG53:AG249),"")))</f>
        <v>11.2</v>
      </c>
      <c r="AI53" s="13">
        <f>IF('Données projet'!$A$62&gt;35,AI52+AH53-AQ52,IF(A53&lt;'Données projet'!$A$62,$AF$205^A53,IF(A53='Données projet'!$A$62,'Données projet'!$B$62,AI52+AH53-AQ52)))</f>
        <v>280.99999999999989</v>
      </c>
      <c r="AJ53" s="13">
        <f>AI53*VLOOKUP('Données projet'!$B$10,Paramètres!$A$1:$I$89,3,0)*VLOOKUP('Données projet'!$B$10,Paramètres!$A$1:$I$89,5,0)</f>
        <v>236.71439999999993</v>
      </c>
      <c r="AK53" s="13">
        <f t="shared" si="35"/>
        <v>57.732051507919294</v>
      </c>
      <c r="AL53" s="20">
        <f t="shared" si="4"/>
        <v>512.82756970962589</v>
      </c>
      <c r="AM53" s="59">
        <f t="shared" si="5"/>
        <v>806.16090304295926</v>
      </c>
      <c r="AN53" s="59">
        <f ca="1">AVERAGE(OFFSET($AM$3,0,0,'Données projet'!$E$10+1,1))-AVERAGE(OFFSET($H$3,0,0,'Données projet'!$E$10+1,1))</f>
        <v>382.67703499770795</v>
      </c>
      <c r="AO53" s="59">
        <f t="shared" si="36"/>
        <v>237.98926636458219</v>
      </c>
      <c r="AP53" s="15">
        <f>IF(ISNA(VLOOKUP(A53,'Données projet'!$A$61:$I$81,3,0)),0,VLOOKUP(A53,'Données projet'!$A$61:$I$81,3,0))</f>
        <v>4</v>
      </c>
      <c r="AQ53" s="15">
        <f>IF(ISNA(VLOOKUP(A53,'Données projet'!$A$61:$I$81,4,0)),0,VLOOKUP(A53,'Données projet'!$A$61:$I$81,4,0))</f>
        <v>56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22.424457805062858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22.424457805062858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7.2999999999999972</v>
      </c>
      <c r="N54" s="13">
        <f>IF('Données projet'!$A$36&gt;35,N53+M54-V53,IF(A54&lt;'Données projet'!$A$36,$K$205^A54,IF(A54='Données projet'!$A$36,'Données projet'!$B$36,N53+M54-V53)))</f>
        <v>381.20000000000027</v>
      </c>
      <c r="O54" s="13">
        <f>N54*VLOOKUP('Données projet'!$B$9,Paramètres!$A$1:$I$89,3,0)*VLOOKUP('Données projet'!$B$9,Paramètres!$A$1:$I$89,5,0)</f>
        <v>227.95760000000018</v>
      </c>
      <c r="P54" s="13">
        <f t="shared" si="33"/>
        <v>55.840837908542632</v>
      </c>
      <c r="Q54" s="20">
        <f t="shared" si="53"/>
        <v>494.28227935737868</v>
      </c>
      <c r="R54" s="59">
        <f t="shared" si="0"/>
        <v>787.61561269071194</v>
      </c>
      <c r="S54" s="59">
        <f ca="1">AVERAGE(OFFSET($R$3,0,0,'Données projet'!$E$9+1,1))-AVERAGE(OFFSET($H$3,0,0,'Données projet'!$E$9+1,1))</f>
        <v>252.28378247570731</v>
      </c>
      <c r="T54" s="59">
        <f t="shared" si="34"/>
        <v>263.50418595307343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19.368984455148578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2.7870616945597212E-2</v>
      </c>
      <c r="AC54" s="22">
        <f t="shared" si="3"/>
        <v>19.396855072094176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9.8000000000000007</v>
      </c>
      <c r="AI54" s="13">
        <f>IF('Données projet'!$A$62&gt;35,AI53+AH54-AQ53,IF(A54&lt;'Données projet'!$A$62,$AF$205^A54,IF(A54='Données projet'!$A$62,'Données projet'!$B$62,AI53+AH54-AQ53)))</f>
        <v>234.7999999999999</v>
      </c>
      <c r="AJ54" s="13">
        <f>AI54*VLOOKUP('Données projet'!$B$10,Paramètres!$A$1:$I$89,3,0)*VLOOKUP('Données projet'!$B$10,Paramètres!$A$1:$I$89,5,0)</f>
        <v>197.79551999999995</v>
      </c>
      <c r="AK54" s="13">
        <f t="shared" si="35"/>
        <v>49.259377667644507</v>
      </c>
      <c r="AL54" s="20">
        <f t="shared" si="4"/>
        <v>430.28728010448077</v>
      </c>
      <c r="AM54" s="59">
        <f t="shared" si="5"/>
        <v>723.62061343781409</v>
      </c>
      <c r="AN54" s="59">
        <f ca="1">AVERAGE(OFFSET($AM$3,0,0,'Données projet'!$E$10+1,1))-AVERAGE(OFFSET($H$3,0,0,'Données projet'!$E$10+1,1))</f>
        <v>382.67703499770795</v>
      </c>
      <c r="AO54" s="59">
        <f t="shared" si="36"/>
        <v>237.98926636458219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21.984727865074287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21.984727865074287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7.2999999999999972</v>
      </c>
      <c r="N55" s="13">
        <f>IF('Données projet'!$A$36&gt;35,N54+M55-V54,IF(A55&lt;'Données projet'!$A$36,$K$205^A55,IF(A55='Données projet'!$A$36,'Données projet'!$B$36,N54+M55-V54)))</f>
        <v>388.50000000000028</v>
      </c>
      <c r="O55" s="13">
        <f>N55*VLOOKUP('Données projet'!$B$9,Paramètres!$A$1:$I$89,3,0)*VLOOKUP('Données projet'!$B$9,Paramètres!$A$1:$I$89,5,0)</f>
        <v>232.32300000000021</v>
      </c>
      <c r="P55" s="13">
        <f t="shared" si="33"/>
        <v>56.784674292431681</v>
      </c>
      <c r="Q55" s="20">
        <f t="shared" si="53"/>
        <v>503.52919939265217</v>
      </c>
      <c r="R55" s="59">
        <f t="shared" si="0"/>
        <v>796.86253272598549</v>
      </c>
      <c r="S55" s="59">
        <f ca="1">AVERAGE(OFFSET($R$3,0,0,'Données projet'!$E$9+1,1))-AVERAGE(OFFSET($H$3,0,0,'Données projet'!$E$9+1,1))</f>
        <v>252.28378247570731</v>
      </c>
      <c r="T55" s="59">
        <f t="shared" si="34"/>
        <v>263.50418595307343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18.989170483897105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1.9707502238084491E-2</v>
      </c>
      <c r="AC55" s="22">
        <f t="shared" si="3"/>
        <v>19.00887798613519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9.8000000000000007</v>
      </c>
      <c r="AI55" s="13">
        <f>IF('Données projet'!$A$62&gt;35,AI54+AH55-AQ54,IF(A55&lt;'Données projet'!$A$62,$AF$205^A55,IF(A55='Données projet'!$A$62,'Données projet'!$B$62,AI54+AH55-AQ54)))</f>
        <v>244.59999999999991</v>
      </c>
      <c r="AJ55" s="13">
        <f>AI55*VLOOKUP('Données projet'!$B$10,Paramètres!$A$1:$I$89,3,0)*VLOOKUP('Données projet'!$B$10,Paramètres!$A$1:$I$89,5,0)</f>
        <v>206.05103999999992</v>
      </c>
      <c r="AK55" s="13">
        <f t="shared" si="35"/>
        <v>51.071687476618123</v>
      </c>
      <c r="AL55" s="20">
        <f t="shared" si="4"/>
        <v>447.822083688443</v>
      </c>
      <c r="AM55" s="59">
        <f t="shared" si="5"/>
        <v>741.15541702177632</v>
      </c>
      <c r="AN55" s="59">
        <f ca="1">AVERAGE(OFFSET($AM$3,0,0,'Données projet'!$E$10+1,1))-AVERAGE(OFFSET($H$3,0,0,'Données projet'!$E$10+1,1))</f>
        <v>382.67703499770795</v>
      </c>
      <c r="AO55" s="59">
        <f t="shared" si="36"/>
        <v>237.98926636458219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21.553620761000115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21.553620761000115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7.2999999999999972</v>
      </c>
      <c r="N56" s="13">
        <f>IF('Données projet'!$A$36&gt;35,N55+M56-V55,IF(A56&lt;'Données projet'!$A$36,$K$205^A56,IF(A56='Données projet'!$A$36,'Données projet'!$B$36,N55+M56-V55)))</f>
        <v>395.8000000000003</v>
      </c>
      <c r="O56" s="13">
        <f>N56*VLOOKUP('Données projet'!$B$9,Paramètres!$A$1:$I$89,3,0)*VLOOKUP('Données projet'!$B$9,Paramètres!$A$1:$I$89,5,0)</f>
        <v>236.6884000000002</v>
      </c>
      <c r="P56" s="13">
        <f t="shared" si="33"/>
        <v>57.726448462488456</v>
      </c>
      <c r="Q56" s="20">
        <f t="shared" si="53"/>
        <v>512.77252773883436</v>
      </c>
      <c r="R56" s="59">
        <f t="shared" si="0"/>
        <v>806.10586107216773</v>
      </c>
      <c r="S56" s="59">
        <f ca="1">AVERAGE(OFFSET($R$3,0,0,'Données projet'!$E$9+1,1))-AVERAGE(OFFSET($H$3,0,0,'Données projet'!$E$9+1,1))</f>
        <v>252.28378247570731</v>
      </c>
      <c r="T56" s="59">
        <f t="shared" si="34"/>
        <v>263.50418595307343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18.616804432958226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1.3935308472798606E-2</v>
      </c>
      <c r="AC56" s="22">
        <f t="shared" si="3"/>
        <v>18.630739741431025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9.8000000000000007</v>
      </c>
      <c r="AI56" s="13">
        <f>IF('Données projet'!$A$62&gt;35,AI55+AH56-AQ55,IF(A56&lt;'Données projet'!$A$62,$AF$205^A56,IF(A56='Données projet'!$A$62,'Données projet'!$B$62,AI55+AH56-AQ55)))</f>
        <v>254.39999999999992</v>
      </c>
      <c r="AJ56" s="13">
        <f>AI56*VLOOKUP('Données projet'!$B$10,Paramètres!$A$1:$I$89,3,0)*VLOOKUP('Données projet'!$B$10,Paramètres!$A$1:$I$89,5,0)</f>
        <v>214.30655999999996</v>
      </c>
      <c r="AK56" s="13">
        <f t="shared" si="35"/>
        <v>52.875562666416783</v>
      </c>
      <c r="AL56" s="20">
        <f t="shared" si="4"/>
        <v>465.34219697734244</v>
      </c>
      <c r="AM56" s="59">
        <f t="shared" si="5"/>
        <v>758.67553031067575</v>
      </c>
      <c r="AN56" s="59">
        <f ca="1">AVERAGE(OFFSET($AM$3,0,0,'Données projet'!$E$10+1,1))-AVERAGE(OFFSET($H$3,0,0,'Données projet'!$E$10+1,1))</f>
        <v>382.67703499770795</v>
      </c>
      <c r="AO56" s="59">
        <f t="shared" si="36"/>
        <v>237.98926636458219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21.130967404287468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21.130967404287468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>
        <f>VLOOKUP(A57,'Données projet'!$A$35:$I$55,2,0)</f>
        <v>403.09999999999997</v>
      </c>
      <c r="L57" s="12">
        <f>VLOOKUP(A57,'Données projet'!$A$35:$I$55,9,0)</f>
        <v>7.2999999999999972</v>
      </c>
      <c r="M57" s="12">
        <f t="array" ref="M57">INDEX(L:L,MIN(IF(ISNUMBER(L57:L253),ROW(L57:L253),"")))</f>
        <v>7.2999999999999972</v>
      </c>
      <c r="N57" s="13">
        <f>IF('Données projet'!$A$36&gt;35,N56+M57-V56,IF(A57&lt;'Données projet'!$A$36,$K$205^A57,IF(A57='Données projet'!$A$36,'Données projet'!$B$36,N56+M57-V56)))</f>
        <v>403.10000000000031</v>
      </c>
      <c r="O57" s="13">
        <f>N57*VLOOKUP('Données projet'!$B$9,Paramètres!$A$1:$I$89,3,0)*VLOOKUP('Données projet'!$B$9,Paramètres!$A$1:$I$89,5,0)</f>
        <v>241.05380000000022</v>
      </c>
      <c r="P57" s="13">
        <f t="shared" si="33"/>
        <v>58.666202840030898</v>
      </c>
      <c r="Q57" s="20">
        <f t="shared" si="53"/>
        <v>522.01233827972089</v>
      </c>
      <c r="R57" s="59">
        <f t="shared" si="0"/>
        <v>815.34567161305426</v>
      </c>
      <c r="S57" s="59">
        <f ca="1">AVERAGE(OFFSET($R$3,0,0,'Données projet'!$E$9+1,1))-AVERAGE(OFFSET($H$3,0,0,'Données projet'!$E$9+1,1))</f>
        <v>252.28378247570731</v>
      </c>
      <c r="T57" s="59">
        <f t="shared" si="34"/>
        <v>263.50418595307343</v>
      </c>
      <c r="U57" s="15">
        <f>IF(ISNA(VLOOKUP(A57,'Données projet'!$A$35:$I$55,3,0)),0,VLOOKUP(A57,'Données projet'!$A$35:$I$55,3,0))</f>
        <v>9</v>
      </c>
      <c r="V57" s="15">
        <f>IF(ISNA(VLOOKUP(A57,'Données projet'!$A$35:$I$55,4,0)),0,VLOOKUP(A57,'Données projet'!$A$35:$I$55,4,0))</f>
        <v>17.399999999999999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18.251740253157394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9.8537511190422457E-3</v>
      </c>
      <c r="AC57" s="22">
        <f t="shared" si="3"/>
        <v>18.261594004276436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9.8000000000000007</v>
      </c>
      <c r="AI57" s="13">
        <f>IF('Données projet'!$A$62&gt;35,AI56+AH57-AQ56,IF(A57&lt;'Données projet'!$A$62,$AF$205^A57,IF(A57='Données projet'!$A$62,'Données projet'!$B$62,AI56+AH57-AQ56)))</f>
        <v>264.19999999999993</v>
      </c>
      <c r="AJ57" s="13">
        <f>AI57*VLOOKUP('Données projet'!$B$10,Paramètres!$A$1:$I$89,3,0)*VLOOKUP('Données projet'!$B$10,Paramètres!$A$1:$I$89,5,0)</f>
        <v>222.56207999999998</v>
      </c>
      <c r="AK57" s="13">
        <f t="shared" si="35"/>
        <v>54.671365346393124</v>
      </c>
      <c r="AL57" s="20">
        <f t="shared" si="4"/>
        <v>482.848250644968</v>
      </c>
      <c r="AM57" s="59">
        <f t="shared" si="5"/>
        <v>776.18158397830132</v>
      </c>
      <c r="AN57" s="59">
        <f ca="1">AVERAGE(OFFSET($AM$3,0,0,'Données projet'!$E$10+1,1))-AVERAGE(OFFSET($H$3,0,0,'Données projet'!$E$10+1,1))</f>
        <v>382.67703499770795</v>
      </c>
      <c r="AO57" s="59">
        <f t="shared" si="36"/>
        <v>237.98926636458219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20.716602022106862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20.716602022106862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3.0375000000000085</v>
      </c>
      <c r="N58" s="13">
        <f>IF('Données projet'!$A$36&gt;35,N57+M58-V57,IF(A58&lt;'Données projet'!$A$36,$K$205^A58,IF(A58='Données projet'!$A$36,'Données projet'!$B$36,N57+M58-V57)))</f>
        <v>388.73750000000035</v>
      </c>
      <c r="O58" s="13">
        <f>N58*VLOOKUP('Données projet'!$B$9,Paramètres!$A$1:$I$89,3,0)*VLOOKUP('Données projet'!$B$9,Paramètres!$A$1:$I$89,5,0)</f>
        <v>232.46502500000025</v>
      </c>
      <c r="P58" s="13">
        <f t="shared" si="33"/>
        <v>56.81534642612386</v>
      </c>
      <c r="Q58" s="20">
        <f t="shared" si="53"/>
        <v>503.82998023383288</v>
      </c>
      <c r="R58" s="59">
        <f t="shared" si="0"/>
        <v>797.16331356716614</v>
      </c>
      <c r="S58" s="59">
        <f ca="1">AVERAGE(OFFSET($R$3,0,0,'Données projet'!$E$9+1,1))-AVERAGE(OFFSET($H$3,0,0,'Données projet'!$E$9+1,1))</f>
        <v>252.28378247570731</v>
      </c>
      <c r="T58" s="59">
        <f t="shared" si="34"/>
        <v>263.50418595307343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17.893834759255292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6.9676542363993031E-3</v>
      </c>
      <c r="AC58" s="22">
        <f t="shared" si="3"/>
        <v>17.900802413491689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9.8000000000000007</v>
      </c>
      <c r="AI58" s="13">
        <f>IF('Données projet'!$A$62&gt;35,AI57+AH58-AQ57,IF(A58&lt;'Données projet'!$A$62,$AF$205^A58,IF(A58='Données projet'!$A$62,'Données projet'!$B$62,AI57+AH58-AQ57)))</f>
        <v>273.99999999999994</v>
      </c>
      <c r="AJ58" s="13">
        <f>AI58*VLOOKUP('Données projet'!$B$10,Paramètres!$A$1:$I$89,3,0)*VLOOKUP('Données projet'!$B$10,Paramètres!$A$1:$I$89,5,0)</f>
        <v>230.81759999999997</v>
      </c>
      <c r="AK58" s="13">
        <f t="shared" si="35"/>
        <v>56.459429240325889</v>
      </c>
      <c r="AL58" s="20">
        <f t="shared" si="4"/>
        <v>500.34082592690083</v>
      </c>
      <c r="AM58" s="59">
        <f t="shared" si="5"/>
        <v>793.67415926023409</v>
      </c>
      <c r="AN58" s="59">
        <f ca="1">AVERAGE(OFFSET($AM$3,0,0,'Données projet'!$E$10+1,1))-AVERAGE(OFFSET($H$3,0,0,'Données projet'!$E$10+1,1))</f>
        <v>382.67703499770795</v>
      </c>
      <c r="AO58" s="59">
        <f t="shared" si="36"/>
        <v>237.98926636458219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20.310362092332891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20.310362092332891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3.0375000000000085</v>
      </c>
      <c r="N59" s="13">
        <f>IF('Données projet'!$A$36&gt;35,N58+M59-V58,IF(A59&lt;'Données projet'!$A$36,$K$205^A59,IF(A59='Données projet'!$A$36,'Données projet'!$B$36,N58+M59-V58)))</f>
        <v>391.77500000000038</v>
      </c>
      <c r="O59" s="13">
        <f>N59*VLOOKUP('Données projet'!$B$9,Paramètres!$A$1:$I$89,3,0)*VLOOKUP('Données projet'!$B$9,Paramètres!$A$1:$I$89,5,0)</f>
        <v>234.28145000000023</v>
      </c>
      <c r="P59" s="13">
        <f t="shared" si="33"/>
        <v>57.207435050889636</v>
      </c>
      <c r="Q59" s="20">
        <f t="shared" si="53"/>
        <v>507.67647479696649</v>
      </c>
      <c r="R59" s="59">
        <f t="shared" si="0"/>
        <v>801.0098081302998</v>
      </c>
      <c r="S59" s="59">
        <f ca="1">AVERAGE(OFFSET($R$3,0,0,'Données projet'!$E$9+1,1))-AVERAGE(OFFSET($H$3,0,0,'Données projet'!$E$9+1,1))</f>
        <v>252.28378247570731</v>
      </c>
      <c r="T59" s="59">
        <f t="shared" si="34"/>
        <v>263.50418595307343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17.542947573787814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4.9268755595211228E-3</v>
      </c>
      <c r="AC59" s="22">
        <f t="shared" si="3"/>
        <v>17.547874449347336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9.8000000000000007</v>
      </c>
      <c r="AI59" s="13">
        <f>IF('Données projet'!$A$62&gt;35,AI58+AH59-AQ58,IF(A59&lt;'Données projet'!$A$62,$AF$205^A59,IF(A59='Données projet'!$A$62,'Données projet'!$B$62,AI58+AH59-AQ58)))</f>
        <v>283.79999999999995</v>
      </c>
      <c r="AJ59" s="13">
        <f>AI59*VLOOKUP('Données projet'!$B$10,Paramètres!$A$1:$I$89,3,0)*VLOOKUP('Données projet'!$B$10,Paramètres!$A$1:$I$89,5,0)</f>
        <v>239.07311999999999</v>
      </c>
      <c r="AK59" s="13">
        <f t="shared" si="35"/>
        <v>58.240062846534926</v>
      </c>
      <c r="AL59" s="20">
        <f t="shared" si="4"/>
        <v>517.82046012438161</v>
      </c>
      <c r="AM59" s="59">
        <f t="shared" si="5"/>
        <v>811.15379345771498</v>
      </c>
      <c r="AN59" s="59">
        <f ca="1">AVERAGE(OFFSET($AM$3,0,0,'Données projet'!$E$10+1,1))-AVERAGE(OFFSET($H$3,0,0,'Données projet'!$E$10+1,1))</f>
        <v>382.67703499770795</v>
      </c>
      <c r="AO59" s="59">
        <f t="shared" si="36"/>
        <v>237.98926636458219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19.912088279799896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19.912088279799896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3.0375000000000085</v>
      </c>
      <c r="N60" s="13">
        <f>IF('Données projet'!$A$36&gt;35,N59+M60-V59,IF(A60&lt;'Données projet'!$A$36,$K$205^A60,IF(A60='Données projet'!$A$36,'Données projet'!$B$36,N59+M60-V59)))</f>
        <v>394.8125000000004</v>
      </c>
      <c r="O60" s="13">
        <f>N60*VLOOKUP('Données projet'!$B$9,Paramètres!$A$1:$I$89,3,0)*VLOOKUP('Données projet'!$B$9,Paramètres!$A$1:$I$89,5,0)</f>
        <v>236.09787500000024</v>
      </c>
      <c r="P60" s="13">
        <f t="shared" si="33"/>
        <v>57.599169983491038</v>
      </c>
      <c r="Q60" s="20">
        <f t="shared" si="53"/>
        <v>511.52235334624737</v>
      </c>
      <c r="R60" s="59">
        <f t="shared" si="0"/>
        <v>804.85568667958069</v>
      </c>
      <c r="S60" s="59">
        <f ca="1">AVERAGE(OFFSET($R$3,0,0,'Données projet'!$E$9+1,1))-AVERAGE(OFFSET($H$3,0,0,'Données projet'!$E$9+1,1))</f>
        <v>252.28378247570731</v>
      </c>
      <c r="T60" s="59">
        <f t="shared" si="34"/>
        <v>263.50418595307343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17.198941072007305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3.4838271181996516E-3</v>
      </c>
      <c r="AC60" s="22">
        <f t="shared" si="3"/>
        <v>17.202424899125504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9.8000000000000007</v>
      </c>
      <c r="AI60" s="13">
        <f>IF('Données projet'!$A$62&gt;35,AI59+AH60-AQ59,IF(A60&lt;'Données projet'!$A$62,$AF$205^A60,IF(A60='Données projet'!$A$62,'Données projet'!$B$62,AI59+AH60-AQ59)))</f>
        <v>293.59999999999997</v>
      </c>
      <c r="AJ60" s="13">
        <f>AI60*VLOOKUP('Données projet'!$B$10,Paramètres!$A$1:$I$89,3,0)*VLOOKUP('Données projet'!$B$10,Paramètres!$A$1:$I$89,5,0)</f>
        <v>247.32863999999998</v>
      </c>
      <c r="AK60" s="13">
        <f t="shared" si="35"/>
        <v>60.013552149240468</v>
      </c>
      <c r="AL60" s="20">
        <f t="shared" si="4"/>
        <v>535.28765132659362</v>
      </c>
      <c r="AM60" s="59">
        <f t="shared" si="5"/>
        <v>828.62098465992699</v>
      </c>
      <c r="AN60" s="59">
        <f ca="1">AVERAGE(OFFSET($AM$3,0,0,'Données projet'!$E$10+1,1))-AVERAGE(OFFSET($H$3,0,0,'Données projet'!$E$10+1,1))</f>
        <v>382.67703499770795</v>
      </c>
      <c r="AO60" s="59">
        <f t="shared" si="36"/>
        <v>237.98926636458219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19.521624373807633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19.521624373807633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3.0375000000000085</v>
      </c>
      <c r="N61" s="13">
        <f>IF('Données projet'!$A$36&gt;35,N60+M61-V60,IF(A61&lt;'Données projet'!$A$36,$K$205^A61,IF(A61='Données projet'!$A$36,'Données projet'!$B$36,N60+M61-V60)))</f>
        <v>397.85000000000042</v>
      </c>
      <c r="O61" s="13">
        <f>N61*VLOOKUP('Données projet'!$B$9,Paramètres!$A$1:$I$89,3,0)*VLOOKUP('Données projet'!$B$9,Paramètres!$A$1:$I$89,5,0)</f>
        <v>237.91430000000025</v>
      </c>
      <c r="P61" s="13">
        <f t="shared" si="33"/>
        <v>57.990554260508603</v>
      </c>
      <c r="Q61" s="20">
        <f t="shared" si="53"/>
        <v>515.3676211703862</v>
      </c>
      <c r="R61" s="59">
        <f t="shared" si="0"/>
        <v>808.70095450371946</v>
      </c>
      <c r="S61" s="59">
        <f ca="1">AVERAGE(OFFSET($R$3,0,0,'Données projet'!$E$9+1,1))-AVERAGE(OFFSET($H$3,0,0,'Données projet'!$E$9+1,1))</f>
        <v>252.28378247570731</v>
      </c>
      <c r="T61" s="59">
        <f t="shared" si="34"/>
        <v>263.50418595307343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16.861680327903464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2.4634377797605614E-3</v>
      </c>
      <c r="AC61" s="22">
        <f t="shared" si="3"/>
        <v>16.864143765683224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9.8000000000000007</v>
      </c>
      <c r="AI61" s="13">
        <f>IF('Données projet'!$A$62&gt;35,AI60+AH61-AQ60,IF(A61&lt;'Données projet'!$A$62,$AF$205^A61,IF(A61='Données projet'!$A$62,'Données projet'!$B$62,AI60+AH61-AQ60)))</f>
        <v>303.39999999999998</v>
      </c>
      <c r="AJ61" s="13">
        <f>AI61*VLOOKUP('Données projet'!$B$10,Paramètres!$A$1:$I$89,3,0)*VLOOKUP('Données projet'!$B$10,Paramètres!$A$1:$I$89,5,0)</f>
        <v>255.58416</v>
      </c>
      <c r="AK61" s="13">
        <f t="shared" si="35"/>
        <v>61.780162957746263</v>
      </c>
      <c r="AL61" s="20">
        <f t="shared" si="4"/>
        <v>552.74286248474129</v>
      </c>
      <c r="AM61" s="59">
        <f t="shared" si="5"/>
        <v>846.07619581807467</v>
      </c>
      <c r="AN61" s="59">
        <f ca="1">AVERAGE(OFFSET($AM$3,0,0,'Données projet'!$E$10+1,1))-AVERAGE(OFFSET($H$3,0,0,'Données projet'!$E$10+1,1))</f>
        <v>382.67703499770795</v>
      </c>
      <c r="AO61" s="59">
        <f t="shared" si="36"/>
        <v>237.98926636458219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19.138817226852414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19.138817226852414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3.0375000000000085</v>
      </c>
      <c r="N62" s="13">
        <f>IF('Données projet'!$A$36&gt;35,N61+M62-V61,IF(A62&lt;'Données projet'!$A$36,$K$205^A62,IF(A62='Données projet'!$A$36,'Données projet'!$B$36,N61+M62-V61)))</f>
        <v>400.88750000000044</v>
      </c>
      <c r="O62" s="13">
        <f>N62*VLOOKUP('Données projet'!$B$9,Paramètres!$A$1:$I$89,3,0)*VLOOKUP('Données projet'!$B$9,Paramètres!$A$1:$I$89,5,0)</f>
        <v>239.73072500000029</v>
      </c>
      <c r="P62" s="13">
        <f t="shared" si="33"/>
        <v>58.381590869477499</v>
      </c>
      <c r="Q62" s="20">
        <f t="shared" si="53"/>
        <v>519.2122834726739</v>
      </c>
      <c r="R62" s="59">
        <f t="shared" si="0"/>
        <v>812.54561680600727</v>
      </c>
      <c r="S62" s="59">
        <f ca="1">AVERAGE(OFFSET($R$3,0,0,'Données projet'!$E$9+1,1))-AVERAGE(OFFSET($H$3,0,0,'Données projet'!$E$9+1,1))</f>
        <v>252.28378247570731</v>
      </c>
      <c r="T62" s="59">
        <f t="shared" si="34"/>
        <v>263.50418595307343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16.531033061282756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1.7419135590998258E-3</v>
      </c>
      <c r="AC62" s="22">
        <f t="shared" si="3"/>
        <v>16.532774974841857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9.8000000000000007</v>
      </c>
      <c r="AI62" s="13">
        <f>IF('Données projet'!$A$62&gt;35,AI61+AH62-AQ61,IF(A62&lt;'Données projet'!$A$62,$AF$205^A62,IF(A62='Données projet'!$A$62,'Données projet'!$B$62,AI61+AH62-AQ61)))</f>
        <v>313.2</v>
      </c>
      <c r="AJ62" s="13">
        <f>AI62*VLOOKUP('Données projet'!$B$10,Paramètres!$A$1:$I$89,3,0)*VLOOKUP('Données projet'!$B$10,Paramètres!$A$1:$I$89,5,0)</f>
        <v>263.83968000000004</v>
      </c>
      <c r="AK62" s="13">
        <f t="shared" si="35"/>
        <v>63.540142934904836</v>
      </c>
      <c r="AL62" s="20">
        <f t="shared" si="4"/>
        <v>570.18652494495939</v>
      </c>
      <c r="AM62" s="59">
        <f t="shared" si="5"/>
        <v>863.51985827829276</v>
      </c>
      <c r="AN62" s="59">
        <f ca="1">AVERAGE(OFFSET($AM$3,0,0,'Données projet'!$E$10+1,1))-AVERAGE(OFFSET($H$3,0,0,'Données projet'!$E$10+1,1))</f>
        <v>382.67703499770795</v>
      </c>
      <c r="AO62" s="59">
        <f t="shared" si="36"/>
        <v>237.98926636458219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18.76351669455968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18.76351669455968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3.0375000000000085</v>
      </c>
      <c r="N63" s="13">
        <f>IF('Données projet'!$A$36&gt;35,N62+M63-V62,IF(A63&lt;'Données projet'!$A$36,$K$205^A63,IF(A63='Données projet'!$A$36,'Données projet'!$B$36,N62+M63-V62)))</f>
        <v>403.92500000000047</v>
      </c>
      <c r="O63" s="13">
        <f>N63*VLOOKUP('Données projet'!$B$9,Paramètres!$A$1:$I$89,3,0)*VLOOKUP('Données projet'!$B$9,Paramètres!$A$1:$I$89,5,0)</f>
        <v>241.5471500000003</v>
      </c>
      <c r="P63" s="13">
        <f t="shared" si="33"/>
        <v>58.772282750044901</v>
      </c>
      <c r="Q63" s="20">
        <f t="shared" si="53"/>
        <v>523.05634537299545</v>
      </c>
      <c r="R63" s="59">
        <f t="shared" si="0"/>
        <v>816.38967870632882</v>
      </c>
      <c r="S63" s="59">
        <f ca="1">AVERAGE(OFFSET($R$3,0,0,'Données projet'!$E$9+1,1))-AVERAGE(OFFSET($H$3,0,0,'Données projet'!$E$9+1,1))</f>
        <v>252.28378247570731</v>
      </c>
      <c r="T63" s="59">
        <f t="shared" si="34"/>
        <v>263.50418595307343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16.20686958588556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1.2317188898802807E-3</v>
      </c>
      <c r="AC63" s="22">
        <f t="shared" si="3"/>
        <v>16.20810130477544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323</v>
      </c>
      <c r="AG63" s="12">
        <f>VLOOKUP(A63,'Données projet'!$A$61:$I$81,9,0)</f>
        <v>9.8000000000000007</v>
      </c>
      <c r="AH63" s="12">
        <f t="array" ref="AH63">INDEX(AG:AG,MIN(IF(ISNUMBER(AG63:AG259),ROW(AG63:AG259),"")))</f>
        <v>9.8000000000000007</v>
      </c>
      <c r="AI63" s="13">
        <f>IF('Données projet'!$A$62&gt;35,AI62+AH63-AQ62,IF(A63&lt;'Données projet'!$A$62,$AF$205^A63,IF(A63='Données projet'!$A$62,'Données projet'!$B$62,AI62+AH63-AQ62)))</f>
        <v>323</v>
      </c>
      <c r="AJ63" s="13">
        <f>AI63*VLOOKUP('Données projet'!$B$10,Paramètres!$A$1:$I$89,3,0)*VLOOKUP('Données projet'!$B$10,Paramètres!$A$1:$I$89,5,0)</f>
        <v>272.09520000000003</v>
      </c>
      <c r="AK63" s="13">
        <f t="shared" si="35"/>
        <v>65.293723364568436</v>
      </c>
      <c r="AL63" s="20">
        <f t="shared" si="4"/>
        <v>587.61904152662339</v>
      </c>
      <c r="AM63" s="59">
        <f t="shared" si="5"/>
        <v>880.95237485995676</v>
      </c>
      <c r="AN63" s="59">
        <f ca="1">AVERAGE(OFFSET($AM$3,0,0,'Données projet'!$E$10+1,1))-AVERAGE(OFFSET($H$3,0,0,'Données projet'!$E$10+1,1))</f>
        <v>382.67703499770795</v>
      </c>
      <c r="AO63" s="59">
        <f t="shared" si="36"/>
        <v>237.98926636458219</v>
      </c>
      <c r="AP63" s="15">
        <f>IF(ISNA(VLOOKUP(A63,'Données projet'!$A$61:$I$81,3,0)),0,VLOOKUP(A63,'Données projet'!$A$61:$I$81,3,0))</f>
        <v>5</v>
      </c>
      <c r="AQ63" s="15">
        <f>IF(ISNA(VLOOKUP(A63,'Données projet'!$A$61:$I$81,4,0)),0,VLOOKUP(A63,'Données projet'!$A$61:$I$81,4,0))</f>
        <v>56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18.395575576794485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18.395575576794485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3.0375000000000085</v>
      </c>
      <c r="N64" s="13">
        <f>IF('Données projet'!$A$36&gt;35,N63+M64-V63,IF(A64&lt;'Données projet'!$A$36,$K$205^A64,IF(A64='Données projet'!$A$36,'Données projet'!$B$36,N63+M64-V63)))</f>
        <v>406.96250000000049</v>
      </c>
      <c r="O64" s="13">
        <f>N64*VLOOKUP('Données projet'!$B$9,Paramètres!$A$1:$I$89,3,0)*VLOOKUP('Données projet'!$B$9,Paramètres!$A$1:$I$89,5,0)</f>
        <v>243.36357500000031</v>
      </c>
      <c r="P64" s="13">
        <f t="shared" si="33"/>
        <v>59.162632795092129</v>
      </c>
      <c r="Q64" s="20">
        <f t="shared" si="53"/>
        <v>526.89981190978597</v>
      </c>
      <c r="R64" s="59">
        <f t="shared" si="0"/>
        <v>820.23314524311922</v>
      </c>
      <c r="S64" s="59">
        <f ca="1">AVERAGE(OFFSET($R$3,0,0,'Données projet'!$E$9+1,1))-AVERAGE(OFFSET($H$3,0,0,'Données projet'!$E$9+1,1))</f>
        <v>252.28378247570731</v>
      </c>
      <c r="T64" s="59">
        <f t="shared" si="34"/>
        <v>263.50418595307343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15.889062758520707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8.7095677954991289E-4</v>
      </c>
      <c r="AC64" s="22">
        <f t="shared" si="3"/>
        <v>15.889933715300257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8.5</v>
      </c>
      <c r="AI64" s="13">
        <f>IF('Données projet'!$A$62&gt;35,AI63+AH64-AQ63,IF(A64&lt;'Données projet'!$A$62,$AF$205^A64,IF(A64='Données projet'!$A$62,'Données projet'!$B$62,AI63+AH64-AQ63)))</f>
        <v>275.5</v>
      </c>
      <c r="AJ64" s="13">
        <f>AI64*VLOOKUP('Données projet'!$B$10,Paramètres!$A$1:$I$89,3,0)*VLOOKUP('Données projet'!$B$10,Paramètres!$A$1:$I$89,5,0)</f>
        <v>232.08120000000002</v>
      </c>
      <c r="AK64" s="13">
        <f t="shared" si="35"/>
        <v>56.732449436321637</v>
      </c>
      <c r="AL64" s="20">
        <f t="shared" si="4"/>
        <v>503.01710610159353</v>
      </c>
      <c r="AM64" s="59">
        <f t="shared" si="5"/>
        <v>796.35043943492678</v>
      </c>
      <c r="AN64" s="59">
        <f ca="1">AVERAGE(OFFSET($AM$3,0,0,'Données projet'!$E$10+1,1))-AVERAGE(OFFSET($H$3,0,0,'Données projet'!$E$10+1,1))</f>
        <v>382.67703499770795</v>
      </c>
      <c r="AO64" s="59">
        <f t="shared" si="36"/>
        <v>237.98926636458219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18.034849559926744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18.034849559926744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>
        <f>VLOOKUP(A65,'Données projet'!$A$35:$I$55,2,0)</f>
        <v>410.00000000000006</v>
      </c>
      <c r="L65" s="12">
        <f>VLOOKUP(A65,'Données projet'!$A$35:$I$55,9,0)</f>
        <v>3.0375000000000085</v>
      </c>
      <c r="M65" s="12">
        <f t="array" ref="M65">INDEX(L:L,MIN(IF(ISNUMBER(L65:L261),ROW(L65:L261),"")))</f>
        <v>3.0375000000000085</v>
      </c>
      <c r="N65" s="13">
        <f>IF('Données projet'!$A$36&gt;35,N64+M65-V64,IF(A65&lt;'Données projet'!$A$36,$K$205^A65,IF(A65='Données projet'!$A$36,'Données projet'!$B$36,N64+M65-V64)))</f>
        <v>410.00000000000051</v>
      </c>
      <c r="O65" s="13">
        <f>N65*VLOOKUP('Données projet'!$B$9,Paramètres!$A$1:$I$89,3,0)*VLOOKUP('Données projet'!$B$9,Paramètres!$A$1:$I$89,5,0)</f>
        <v>245.18000000000032</v>
      </c>
      <c r="P65" s="13">
        <f t="shared" si="33"/>
        <v>59.552643851821543</v>
      </c>
      <c r="Q65" s="20">
        <f t="shared" si="53"/>
        <v>530.74268804192309</v>
      </c>
      <c r="R65" s="59">
        <f t="shared" si="0"/>
        <v>824.07602137525646</v>
      </c>
      <c r="S65" s="59">
        <f ca="1">AVERAGE(OFFSET($R$3,0,0,'Données projet'!$E$9+1,1))-AVERAGE(OFFSET($H$3,0,0,'Données projet'!$E$9+1,1))</f>
        <v>252.28378247570731</v>
      </c>
      <c r="T65" s="59">
        <f t="shared" si="34"/>
        <v>263.50418595307343</v>
      </c>
      <c r="U65" s="15">
        <f>IF(ISNA(VLOOKUP(A65,'Données projet'!$A$35:$I$55,3,0)),0,VLOOKUP(A65,'Données projet'!$A$35:$I$55,3,0))</f>
        <v>10</v>
      </c>
      <c r="V65" s="15">
        <f>IF(ISNA(VLOOKUP(A65,'Données projet'!$A$35:$I$55,4,0)),0,VLOOKUP(A65,'Données projet'!$A$35:$I$55,4,0))</f>
        <v>410.00000000000006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15.577487929197455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6.1585944494014036E-4</v>
      </c>
      <c r="AC65" s="22">
        <f t="shared" si="3"/>
        <v>15.578103788642395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8.5</v>
      </c>
      <c r="AI65" s="13">
        <f>IF('Données projet'!$A$62&gt;35,AI64+AH65-AQ64,IF(A65&lt;'Données projet'!$A$62,$AF$205^A65,IF(A65='Données projet'!$A$62,'Données projet'!$B$62,AI64+AH65-AQ64)))</f>
        <v>284</v>
      </c>
      <c r="AJ65" s="13">
        <f>AI65*VLOOKUP('Données projet'!$B$10,Paramètres!$A$1:$I$89,3,0)*VLOOKUP('Données projet'!$B$10,Paramètres!$A$1:$I$89,5,0)</f>
        <v>239.24160000000003</v>
      </c>
      <c r="AK65" s="13">
        <f t="shared" si="35"/>
        <v>58.276326982845887</v>
      </c>
      <c r="AL65" s="20">
        <f t="shared" si="4"/>
        <v>518.17705616178989</v>
      </c>
      <c r="AM65" s="59">
        <f t="shared" si="5"/>
        <v>811.51038949512326</v>
      </c>
      <c r="AN65" s="59">
        <f ca="1">AVERAGE(OFFSET($AM$3,0,0,'Données projet'!$E$10+1,1))-AVERAGE(OFFSET($H$3,0,0,'Données projet'!$E$10+1,1))</f>
        <v>382.67703499770795</v>
      </c>
      <c r="AO65" s="59">
        <f t="shared" si="36"/>
        <v>237.98926636458219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17.681197160228635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17.681197160228635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4.5474735088646412E-13</v>
      </c>
      <c r="O66" s="13">
        <f>N66*VLOOKUP('Données projet'!$B$9,Paramètres!$A$1:$I$89,3,0)*VLOOKUP('Données projet'!$B$9,Paramètres!$A$1:$I$89,5,0)</f>
        <v>2.7193891583010558E-13</v>
      </c>
      <c r="P66" s="13">
        <f t="shared" si="33"/>
        <v>3.6362267729089988E-12</v>
      </c>
      <c r="Q66" s="20">
        <f t="shared" si="53"/>
        <v>6.8067219078872727E-12</v>
      </c>
      <c r="R66" s="59">
        <f t="shared" si="0"/>
        <v>293.33333333334014</v>
      </c>
      <c r="S66" s="59">
        <f ca="1">AVERAGE(OFFSET($R$3,0,0,'Données projet'!$E$9+1,1))-AVERAGE(OFFSET($H$3,0,0,'Données projet'!$E$9+1,1))</f>
        <v>252.28378247570731</v>
      </c>
      <c r="T66" s="59">
        <f t="shared" si="34"/>
        <v>263.50418595307343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15.27202289223535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4.3547838977495644E-4</v>
      </c>
      <c r="AC66" s="22">
        <f t="shared" si="3"/>
        <v>15.272458370625126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8.5</v>
      </c>
      <c r="AI66" s="13">
        <f>IF('Données projet'!$A$62&gt;35,AI65+AH66-AQ65,IF(A66&lt;'Données projet'!$A$62,$AF$205^A66,IF(A66='Données projet'!$A$62,'Données projet'!$B$62,AI65+AH66-AQ65)))</f>
        <v>292.5</v>
      </c>
      <c r="AJ66" s="13">
        <f>AI66*VLOOKUP('Données projet'!$B$10,Paramètres!$A$1:$I$89,3,0)*VLOOKUP('Données projet'!$B$10,Paramètres!$A$1:$I$89,5,0)</f>
        <v>246.40200000000004</v>
      </c>
      <c r="AK66" s="13">
        <f t="shared" si="35"/>
        <v>59.814834475385524</v>
      </c>
      <c r="AL66" s="20">
        <f t="shared" si="4"/>
        <v>533.3276533779632</v>
      </c>
      <c r="AM66" s="59">
        <f t="shared" si="5"/>
        <v>826.66098671129657</v>
      </c>
      <c r="AN66" s="59">
        <f ca="1">AVERAGE(OFFSET($AM$3,0,0,'Données projet'!$E$10+1,1))-AVERAGE(OFFSET($H$3,0,0,'Données projet'!$E$10+1,1))</f>
        <v>382.67703499770795</v>
      </c>
      <c r="AO66" s="59">
        <f t="shared" si="36"/>
        <v>237.98926636458219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17.334479668381942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17.334479668381942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4.5474735088646412E-13</v>
      </c>
      <c r="O67" s="13">
        <f>N67*VLOOKUP('Données projet'!$B$9,Paramètres!$A$1:$I$89,3,0)*VLOOKUP('Données projet'!$B$9,Paramètres!$A$1:$I$89,5,0)</f>
        <v>2.7193891583010558E-13</v>
      </c>
      <c r="P67" s="13">
        <f t="shared" si="33"/>
        <v>3.6362267729089988E-12</v>
      </c>
      <c r="Q67" s="20">
        <f t="shared" ref="Q67:Q98" si="54">(O67+P67)*0.475*44/12</f>
        <v>6.8067219078872727E-12</v>
      </c>
      <c r="R67" s="59">
        <f t="shared" ref="R67:R130" si="55">Q67+(I67+J67)*44/12</f>
        <v>293.33333333334014</v>
      </c>
      <c r="S67" s="59">
        <f ca="1">AVERAGE(OFFSET($R$3,0,0,'Données projet'!$E$9+1,1))-AVERAGE(OFFSET($H$3,0,0,'Données projet'!$E$9+1,1))</f>
        <v>252.28378247570731</v>
      </c>
      <c r="T67" s="59">
        <f t="shared" si="34"/>
        <v>263.50418595307343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14.972547838332797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3.0792972247007018E-4</v>
      </c>
      <c r="AC67" s="22">
        <f t="shared" si="3"/>
        <v>14.972855768055268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8.5</v>
      </c>
      <c r="AI67" s="13">
        <f>IF('Données projet'!$A$62&gt;35,AI66+AH67-AQ66,IF(A67&lt;'Données projet'!$A$62,$AF$205^A67,IF(A67='Données projet'!$A$62,'Données projet'!$B$62,AI66+AH67-AQ66)))</f>
        <v>301</v>
      </c>
      <c r="AJ67" s="13">
        <f>AI67*VLOOKUP('Données projet'!$B$10,Paramètres!$A$1:$I$89,3,0)*VLOOKUP('Données projet'!$B$10,Paramètres!$A$1:$I$89,5,0)</f>
        <v>253.56240000000005</v>
      </c>
      <c r="AK67" s="13">
        <f t="shared" si="35"/>
        <v>61.348145886656177</v>
      </c>
      <c r="AL67" s="20">
        <f t="shared" si="4"/>
        <v>548.46920075259288</v>
      </c>
      <c r="AM67" s="59">
        <f t="shared" si="5"/>
        <v>841.80253408592625</v>
      </c>
      <c r="AN67" s="59">
        <f ca="1">AVERAGE(OFFSET($AM$3,0,0,'Données projet'!$E$10+1,1))-AVERAGE(OFFSET($H$3,0,0,'Données projet'!$E$10+1,1))</f>
        <v>382.67703499770795</v>
      </c>
      <c r="AO67" s="59">
        <f t="shared" si="36"/>
        <v>237.98926636458219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16.994561095073575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16.994561095073575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4.5474735088646412E-13</v>
      </c>
      <c r="O68" s="13">
        <f>N68*VLOOKUP('Données projet'!$B$9,Paramètres!$A$1:$I$89,3,0)*VLOOKUP('Données projet'!$B$9,Paramètres!$A$1:$I$89,5,0)</f>
        <v>2.7193891583010558E-13</v>
      </c>
      <c r="P68" s="13">
        <f t="shared" si="33"/>
        <v>3.6362267729089988E-12</v>
      </c>
      <c r="Q68" s="20">
        <f t="shared" si="54"/>
        <v>6.8067219078872727E-12</v>
      </c>
      <c r="R68" s="59">
        <f t="shared" si="55"/>
        <v>293.33333333334014</v>
      </c>
      <c r="S68" s="59">
        <f ca="1">AVERAGE(OFFSET($R$3,0,0,'Données projet'!$E$9+1,1))-AVERAGE(OFFSET($H$3,0,0,'Données projet'!$E$9+1,1))</f>
        <v>252.28378247570731</v>
      </c>
      <c r="T68" s="59">
        <f t="shared" si="34"/>
        <v>263.50418595307343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14.678945307575528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2.1773919488747822E-4</v>
      </c>
      <c r="AC68" s="22">
        <f t="shared" ref="AC68:AC131" si="57">SUM(Z68:AB68)</f>
        <v>14.679163046770416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8.5</v>
      </c>
      <c r="AI68" s="13">
        <f>IF('Données projet'!$A$62&gt;35,AI67+AH68-AQ67,IF(A68&lt;'Données projet'!$A$62,$AF$205^A68,IF(A68='Données projet'!$A$62,'Données projet'!$B$62,AI67+AH68-AQ67)))</f>
        <v>309.5</v>
      </c>
      <c r="AJ68" s="13">
        <f>AI68*VLOOKUP('Données projet'!$B$10,Paramètres!$A$1:$I$89,3,0)*VLOOKUP('Données projet'!$B$10,Paramètres!$A$1:$I$89,5,0)</f>
        <v>260.72280000000006</v>
      </c>
      <c r="AK68" s="13">
        <f t="shared" si="35"/>
        <v>62.87642480471132</v>
      </c>
      <c r="AL68" s="20">
        <f t="shared" ref="AL68:AL131" si="58">(AJ68+AK68)*0.475*44/12</f>
        <v>563.60198320153904</v>
      </c>
      <c r="AM68" s="59">
        <f t="shared" ref="AM68:AM131" si="59">AL68+(AD68+AE68)*44/12</f>
        <v>856.9353165348723</v>
      </c>
      <c r="AN68" s="59">
        <f ca="1">AVERAGE(OFFSET($AM$3,0,0,'Données projet'!$E$10+1,1))-AVERAGE(OFFSET($H$3,0,0,'Données projet'!$E$10+1,1))</f>
        <v>382.67703499770795</v>
      </c>
      <c r="AO68" s="59">
        <f t="shared" si="36"/>
        <v>237.98926636458219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16.661308117657928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16.661308117657928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4.5474735088646412E-13</v>
      </c>
      <c r="O69" s="13">
        <f>N69*VLOOKUP('Données projet'!$B$9,Paramètres!$A$1:$I$89,3,0)*VLOOKUP('Données projet'!$B$9,Paramètres!$A$1:$I$89,5,0)</f>
        <v>2.7193891583010558E-13</v>
      </c>
      <c r="P69" s="13">
        <f t="shared" ref="P69:P132" si="87">EXP(-1.0587+0.8836*LN(O69)+0.284)</f>
        <v>3.6362267729089988E-12</v>
      </c>
      <c r="Q69" s="20">
        <f t="shared" si="54"/>
        <v>6.8067219078872727E-12</v>
      </c>
      <c r="R69" s="59">
        <f t="shared" si="55"/>
        <v>293.33333333334014</v>
      </c>
      <c r="S69" s="59">
        <f ca="1">AVERAGE(OFFSET($R$3,0,0,'Données projet'!$E$9+1,1))-AVERAGE(OFFSET($H$3,0,0,'Données projet'!$E$9+1,1))</f>
        <v>252.28378247570731</v>
      </c>
      <c r="T69" s="59">
        <f t="shared" ref="T69:T132" si="88">$T$3</f>
        <v>263.50418595307343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14.391100143366547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1.5396486123503509E-4</v>
      </c>
      <c r="AC69" s="22">
        <f t="shared" si="57"/>
        <v>14.391254108227782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8.5</v>
      </c>
      <c r="AI69" s="13">
        <f>IF('Données projet'!$A$62&gt;35,AI68+AH69-AQ68,IF(A69&lt;'Données projet'!$A$62,$AF$205^A69,IF(A69='Données projet'!$A$62,'Données projet'!$B$62,AI68+AH69-AQ68)))</f>
        <v>318</v>
      </c>
      <c r="AJ69" s="13">
        <f>AI69*VLOOKUP('Données projet'!$B$10,Paramètres!$A$1:$I$89,3,0)*VLOOKUP('Données projet'!$B$10,Paramètres!$A$1:$I$89,5,0)</f>
        <v>267.88319999999999</v>
      </c>
      <c r="AK69" s="13">
        <f t="shared" ref="AK69:AK132" si="89">EXP(-1.0587+0.8836*LN(AJ69)+0.284)</f>
        <v>64.399825320774383</v>
      </c>
      <c r="AL69" s="20">
        <f t="shared" si="58"/>
        <v>578.72626910034865</v>
      </c>
      <c r="AM69" s="59">
        <f t="shared" si="59"/>
        <v>872.0596024336819</v>
      </c>
      <c r="AN69" s="59">
        <f ca="1">AVERAGE(OFFSET($AM$3,0,0,'Données projet'!$E$10+1,1))-AVERAGE(OFFSET($H$3,0,0,'Données projet'!$E$10+1,1))</f>
        <v>382.67703499770795</v>
      </c>
      <c r="AO69" s="59">
        <f t="shared" ref="AO69:AO132" si="90">$AO$3</f>
        <v>237.98926636458219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16.334590027865154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16.334590027865154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4.5474735088646412E-13</v>
      </c>
      <c r="O70" s="13">
        <f>N70*VLOOKUP('Données projet'!$B$9,Paramètres!$A$1:$I$89,3,0)*VLOOKUP('Données projet'!$B$9,Paramètres!$A$1:$I$89,5,0)</f>
        <v>2.7193891583010558E-13</v>
      </c>
      <c r="P70" s="13">
        <f t="shared" si="87"/>
        <v>3.6362267729089988E-12</v>
      </c>
      <c r="Q70" s="20">
        <f t="shared" si="54"/>
        <v>6.8067219078872727E-12</v>
      </c>
      <c r="R70" s="59">
        <f t="shared" si="55"/>
        <v>293.33333333334014</v>
      </c>
      <c r="S70" s="59">
        <f ca="1">AVERAGE(OFFSET($R$3,0,0,'Données projet'!$E$9+1,1))-AVERAGE(OFFSET($H$3,0,0,'Données projet'!$E$9+1,1))</f>
        <v>252.28378247570731</v>
      </c>
      <c r="T70" s="59">
        <f t="shared" si="88"/>
        <v>263.50418595307343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14.108899447259491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1.0886959744373911E-4</v>
      </c>
      <c r="AC70" s="22">
        <f t="shared" si="57"/>
        <v>14.109008316856935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8.5</v>
      </c>
      <c r="AI70" s="13">
        <f>IF('Données projet'!$A$62&gt;35,AI69+AH70-AQ69,IF(A70&lt;'Données projet'!$A$62,$AF$205^A70,IF(A70='Données projet'!$A$62,'Données projet'!$B$62,AI69+AH70-AQ69)))</f>
        <v>326.5</v>
      </c>
      <c r="AJ70" s="13">
        <f>AI70*VLOOKUP('Données projet'!$B$10,Paramètres!$A$1:$I$89,3,0)*VLOOKUP('Données projet'!$B$10,Paramètres!$A$1:$I$89,5,0)</f>
        <v>275.04360000000003</v>
      </c>
      <c r="AK70" s="13">
        <f t="shared" si="89"/>
        <v>65.918492819476043</v>
      </c>
      <c r="AL70" s="20">
        <f t="shared" si="58"/>
        <v>593.84231166058748</v>
      </c>
      <c r="AM70" s="59">
        <f t="shared" si="59"/>
        <v>887.17564499392074</v>
      </c>
      <c r="AN70" s="59">
        <f ca="1">AVERAGE(OFFSET($AM$3,0,0,'Données projet'!$E$10+1,1))-AVERAGE(OFFSET($H$3,0,0,'Données projet'!$E$10+1,1))</f>
        <v>382.67703499770795</v>
      </c>
      <c r="AO70" s="59">
        <f t="shared" si="90"/>
        <v>237.98926636458219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16.014278680534858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16.014278680534858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4.5474735088646412E-13</v>
      </c>
      <c r="O71" s="13">
        <f>N71*VLOOKUP('Données projet'!$B$9,Paramètres!$A$1:$I$89,3,0)*VLOOKUP('Données projet'!$B$9,Paramètres!$A$1:$I$89,5,0)</f>
        <v>2.7193891583010558E-13</v>
      </c>
      <c r="P71" s="13">
        <f t="shared" si="87"/>
        <v>3.6362267729089988E-12</v>
      </c>
      <c r="Q71" s="20">
        <f t="shared" si="54"/>
        <v>6.8067219078872727E-12</v>
      </c>
      <c r="R71" s="59">
        <f t="shared" si="55"/>
        <v>293.33333333334014</v>
      </c>
      <c r="S71" s="59">
        <f ca="1">AVERAGE(OFFSET($R$3,0,0,'Données projet'!$E$9+1,1))-AVERAGE(OFFSET($H$3,0,0,'Données projet'!$E$9+1,1))</f>
        <v>252.28378247570731</v>
      </c>
      <c r="T71" s="59">
        <f t="shared" si="88"/>
        <v>263.50418595307343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13.832232534677665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7.6982430617517544E-5</v>
      </c>
      <c r="AC71" s="22">
        <f t="shared" si="57"/>
        <v>13.832309517108282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8.5</v>
      </c>
      <c r="AI71" s="13">
        <f>IF('Données projet'!$A$62&gt;35,AI70+AH71-AQ70,IF(A71&lt;'Données projet'!$A$62,$AF$205^A71,IF(A71='Données projet'!$A$62,'Données projet'!$B$62,AI70+AH71-AQ70)))</f>
        <v>335</v>
      </c>
      <c r="AJ71" s="13">
        <f>AI71*VLOOKUP('Données projet'!$B$10,Paramètres!$A$1:$I$89,3,0)*VLOOKUP('Données projet'!$B$10,Paramètres!$A$1:$I$89,5,0)</f>
        <v>282.20400000000001</v>
      </c>
      <c r="AK71" s="13">
        <f t="shared" si="89"/>
        <v>67.432564684485186</v>
      </c>
      <c r="AL71" s="20">
        <f t="shared" si="58"/>
        <v>608.9503501588116</v>
      </c>
      <c r="AM71" s="59">
        <f t="shared" si="59"/>
        <v>902.28368349214497</v>
      </c>
      <c r="AN71" s="59">
        <f ca="1">AVERAGE(OFFSET($AM$3,0,0,'Données projet'!$E$10+1,1))-AVERAGE(OFFSET($H$3,0,0,'Données projet'!$E$10+1,1))</f>
        <v>382.67703499770795</v>
      </c>
      <c r="AO71" s="59">
        <f t="shared" si="90"/>
        <v>237.98926636458219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15.700248443355079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15.700248443355079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4.5474735088646412E-13</v>
      </c>
      <c r="O72" s="13">
        <f>N72*VLOOKUP('Données projet'!$B$9,Paramètres!$A$1:$I$89,3,0)*VLOOKUP('Données projet'!$B$9,Paramètres!$A$1:$I$89,5,0)</f>
        <v>2.7193891583010558E-13</v>
      </c>
      <c r="P72" s="13">
        <f t="shared" si="87"/>
        <v>3.6362267729089988E-12</v>
      </c>
      <c r="Q72" s="20">
        <f t="shared" si="54"/>
        <v>6.8067219078872727E-12</v>
      </c>
      <c r="R72" s="59">
        <f t="shared" si="55"/>
        <v>293.33333333334014</v>
      </c>
      <c r="S72" s="59">
        <f ca="1">AVERAGE(OFFSET($R$3,0,0,'Données projet'!$E$9+1,1))-AVERAGE(OFFSET($H$3,0,0,'Données projet'!$E$9+1,1))</f>
        <v>252.28378247570731</v>
      </c>
      <c r="T72" s="59">
        <f t="shared" si="88"/>
        <v>263.50418595307343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13.560990891501415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5.4434798721869556E-5</v>
      </c>
      <c r="AC72" s="22">
        <f t="shared" si="57"/>
        <v>13.561045326300137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8.5</v>
      </c>
      <c r="AI72" s="13">
        <f>IF('Données projet'!$A$62&gt;35,AI71+AH72-AQ71,IF(A72&lt;'Données projet'!$A$62,$AF$205^A72,IF(A72='Données projet'!$A$62,'Données projet'!$B$62,AI71+AH72-AQ71)))</f>
        <v>343.5</v>
      </c>
      <c r="AJ72" s="13">
        <f>AI72*VLOOKUP('Données projet'!$B$10,Paramètres!$A$1:$I$89,3,0)*VLOOKUP('Données projet'!$B$10,Paramètres!$A$1:$I$89,5,0)</f>
        <v>289.36440000000005</v>
      </c>
      <c r="AK72" s="13">
        <f t="shared" si="89"/>
        <v>68.942170930507629</v>
      </c>
      <c r="AL72" s="20">
        <f t="shared" si="58"/>
        <v>624.05061103730088</v>
      </c>
      <c r="AM72" s="59">
        <f t="shared" si="59"/>
        <v>917.38394437063425</v>
      </c>
      <c r="AN72" s="59">
        <f ca="1">AVERAGE(OFFSET($AM$3,0,0,'Données projet'!$E$10+1,1))-AVERAGE(OFFSET($H$3,0,0,'Données projet'!$E$10+1,1))</f>
        <v>382.67703499770795</v>
      </c>
      <c r="AO72" s="59">
        <f t="shared" si="90"/>
        <v>237.98926636458219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15.392376147586864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15.392376147586864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4.5474735088646412E-13</v>
      </c>
      <c r="O73" s="13">
        <f>N73*VLOOKUP('Données projet'!$B$9,Paramètres!$A$1:$I$89,3,0)*VLOOKUP('Données projet'!$B$9,Paramètres!$A$1:$I$89,5,0)</f>
        <v>2.7193891583010558E-13</v>
      </c>
      <c r="P73" s="13">
        <f t="shared" si="87"/>
        <v>3.6362267729089988E-12</v>
      </c>
      <c r="Q73" s="20">
        <f t="shared" si="54"/>
        <v>6.8067219078872727E-12</v>
      </c>
      <c r="R73" s="59">
        <f t="shared" si="55"/>
        <v>293.33333333334014</v>
      </c>
      <c r="S73" s="59">
        <f ca="1">AVERAGE(OFFSET($R$3,0,0,'Données projet'!$E$9+1,1))-AVERAGE(OFFSET($H$3,0,0,'Données projet'!$E$9+1,1))</f>
        <v>252.28378247570731</v>
      </c>
      <c r="T73" s="59">
        <f t="shared" si="88"/>
        <v>263.50418595307343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13.295068131506785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3.8491215308758772E-5</v>
      </c>
      <c r="AC73" s="22">
        <f t="shared" si="57"/>
        <v>13.295106622722093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352</v>
      </c>
      <c r="AG73" s="12">
        <f>VLOOKUP(A73,'Données projet'!$A$61:$I$81,9,0)</f>
        <v>8.5</v>
      </c>
      <c r="AH73" s="12">
        <f t="array" ref="AH73">INDEX(AG:AG,MIN(IF(ISNUMBER(AG73:AG269),ROW(AG73:AG269),"")))</f>
        <v>8.5</v>
      </c>
      <c r="AI73" s="13">
        <f>IF('Données projet'!$A$62&gt;35,AI72+AH73-AQ72,IF(A73&lt;'Données projet'!$A$62,$AF$205^A73,IF(A73='Données projet'!$A$62,'Données projet'!$B$62,AI72+AH73-AQ72)))</f>
        <v>352</v>
      </c>
      <c r="AJ73" s="13">
        <f>AI73*VLOOKUP('Données projet'!$B$10,Paramètres!$A$1:$I$89,3,0)*VLOOKUP('Données projet'!$B$10,Paramètres!$A$1:$I$89,5,0)</f>
        <v>296.52480000000003</v>
      </c>
      <c r="AK73" s="13">
        <f t="shared" si="89"/>
        <v>70.447434770968528</v>
      </c>
      <c r="AL73" s="20">
        <f t="shared" si="58"/>
        <v>639.14330889277016</v>
      </c>
      <c r="AM73" s="59">
        <f t="shared" si="59"/>
        <v>932.47664222610342</v>
      </c>
      <c r="AN73" s="59">
        <f ca="1">AVERAGE(OFFSET($AM$3,0,0,'Données projet'!$E$10+1,1))-AVERAGE(OFFSET($H$3,0,0,'Données projet'!$E$10+1,1))</f>
        <v>382.67703499770795</v>
      </c>
      <c r="AO73" s="59">
        <f t="shared" si="90"/>
        <v>237.98926636458219</v>
      </c>
      <c r="AP73" s="15">
        <f>IF(ISNA(VLOOKUP(A73,'Données projet'!$A$61:$I$81,3,0)),0,VLOOKUP(A73,'Données projet'!$A$61:$I$81,3,0))</f>
        <v>6</v>
      </c>
      <c r="AQ73" s="15">
        <f>IF(ISNA(VLOOKUP(A73,'Données projet'!$A$61:$I$81,4,0)),0,VLOOKUP(A73,'Données projet'!$A$61:$I$81,4,0))</f>
        <v>56</v>
      </c>
      <c r="AR73" s="16">
        <f>IF(ISNA(VLOOKUP(A73,'Données projet'!$A$61:$I$81,5,0)),0%,VLOOKUP(A73,'Données projet'!$A$61:$I$81,5,0)*VLOOKUP('Données projet'!$B$10,Paramètres!$A$1:$I$89,7,0))</f>
        <v>0.43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37.514998844817967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37.514998844817967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4.5474735088646412E-13</v>
      </c>
      <c r="O74" s="13">
        <f>N74*VLOOKUP('Données projet'!$B$9,Paramètres!$A$1:$I$89,3,0)*VLOOKUP('Données projet'!$B$9,Paramètres!$A$1:$I$89,5,0)</f>
        <v>2.7193891583010558E-13</v>
      </c>
      <c r="P74" s="13">
        <f t="shared" si="87"/>
        <v>3.6362267729089988E-12</v>
      </c>
      <c r="Q74" s="20">
        <f t="shared" si="54"/>
        <v>6.8067219078872727E-12</v>
      </c>
      <c r="R74" s="59">
        <f t="shared" si="55"/>
        <v>293.33333333334014</v>
      </c>
      <c r="S74" s="59">
        <f ca="1">AVERAGE(OFFSET($R$3,0,0,'Données projet'!$E$9+1,1))-AVERAGE(OFFSET($H$3,0,0,'Données projet'!$E$9+1,1))</f>
        <v>252.28378247570731</v>
      </c>
      <c r="T74" s="59">
        <f t="shared" si="88"/>
        <v>263.50418595307343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13.034359954638781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2.7217399360934778E-5</v>
      </c>
      <c r="AC74" s="22">
        <f t="shared" si="57"/>
        <v>13.034387172038141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7.4</v>
      </c>
      <c r="AI74" s="13">
        <f>IF('Données projet'!$A$62&gt;35,AI73+AH74-AQ73,IF(A74&lt;'Données projet'!$A$62,$AF$205^A74,IF(A74='Données projet'!$A$62,'Données projet'!$B$62,AI73+AH74-AQ73)))</f>
        <v>303.39999999999998</v>
      </c>
      <c r="AJ74" s="13">
        <f>AI74*VLOOKUP('Données projet'!$B$10,Paramètres!$A$1:$I$89,3,0)*VLOOKUP('Données projet'!$B$10,Paramètres!$A$1:$I$89,5,0)</f>
        <v>255.58416</v>
      </c>
      <c r="AK74" s="13">
        <f t="shared" si="89"/>
        <v>61.780162957746263</v>
      </c>
      <c r="AL74" s="20">
        <f t="shared" si="58"/>
        <v>552.74286248474129</v>
      </c>
      <c r="AM74" s="59">
        <f t="shared" si="59"/>
        <v>846.07619581807467</v>
      </c>
      <c r="AN74" s="59">
        <f ca="1">AVERAGE(OFFSET($AM$3,0,0,'Données projet'!$E$10+1,1))-AVERAGE(OFFSET($H$3,0,0,'Données projet'!$E$10+1,1))</f>
        <v>382.67703499770795</v>
      </c>
      <c r="AO74" s="59">
        <f t="shared" si="90"/>
        <v>237.98926636458219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36.779352599360983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36.779352599360983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4.5474735088646412E-13</v>
      </c>
      <c r="O75" s="13">
        <f>N75*VLOOKUP('Données projet'!$B$9,Paramètres!$A$1:$I$89,3,0)*VLOOKUP('Données projet'!$B$9,Paramètres!$A$1:$I$89,5,0)</f>
        <v>2.7193891583010558E-13</v>
      </c>
      <c r="P75" s="13">
        <f t="shared" si="87"/>
        <v>3.6362267729089988E-12</v>
      </c>
      <c r="Q75" s="20">
        <f t="shared" si="54"/>
        <v>6.8067219078872727E-12</v>
      </c>
      <c r="R75" s="59">
        <f t="shared" si="55"/>
        <v>293.33333333334014</v>
      </c>
      <c r="S75" s="59">
        <f ca="1">AVERAGE(OFFSET($R$3,0,0,'Données projet'!$E$9+1,1))-AVERAGE(OFFSET($H$3,0,0,'Données projet'!$E$9+1,1))</f>
        <v>252.28378247570731</v>
      </c>
      <c r="T75" s="59">
        <f t="shared" si="88"/>
        <v>263.50418595307343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12.778764106102871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1.9245607654379386E-5</v>
      </c>
      <c r="AC75" s="22">
        <f t="shared" si="57"/>
        <v>12.778783351710526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7.4</v>
      </c>
      <c r="AI75" s="13">
        <f>IF('Données projet'!$A$62&gt;35,AI74+AH75-AQ74,IF(A75&lt;'Données projet'!$A$62,$AF$205^A75,IF(A75='Données projet'!$A$62,'Données projet'!$B$62,AI74+AH75-AQ74)))</f>
        <v>310.79999999999995</v>
      </c>
      <c r="AJ75" s="13">
        <f>AI75*VLOOKUP('Données projet'!$B$10,Paramètres!$A$1:$I$89,3,0)*VLOOKUP('Données projet'!$B$10,Paramètres!$A$1:$I$89,5,0)</f>
        <v>261.81792000000002</v>
      </c>
      <c r="AK75" s="13">
        <f t="shared" si="89"/>
        <v>63.109727755181751</v>
      </c>
      <c r="AL75" s="20">
        <f t="shared" si="58"/>
        <v>565.91565317360812</v>
      </c>
      <c r="AM75" s="59">
        <f t="shared" si="59"/>
        <v>859.24898650694149</v>
      </c>
      <c r="AN75" s="59">
        <f ca="1">AVERAGE(OFFSET($AM$3,0,0,'Données projet'!$E$10+1,1))-AVERAGE(OFFSET($H$3,0,0,'Données projet'!$E$10+1,1))</f>
        <v>382.67703499770795</v>
      </c>
      <c r="AO75" s="59">
        <f t="shared" si="90"/>
        <v>237.98926636458219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36.058131928077508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36.058131928077508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4.5474735088646412E-13</v>
      </c>
      <c r="O76" s="13">
        <f>N76*VLOOKUP('Données projet'!$B$9,Paramètres!$A$1:$I$89,3,0)*VLOOKUP('Données projet'!$B$9,Paramètres!$A$1:$I$89,5,0)</f>
        <v>2.7193891583010558E-13</v>
      </c>
      <c r="P76" s="13">
        <f t="shared" si="87"/>
        <v>3.6362267729089988E-12</v>
      </c>
      <c r="Q76" s="20">
        <f t="shared" si="54"/>
        <v>6.8067219078872727E-12</v>
      </c>
      <c r="R76" s="59">
        <f t="shared" si="55"/>
        <v>293.33333333334014</v>
      </c>
      <c r="S76" s="59">
        <f ca="1">AVERAGE(OFFSET($R$3,0,0,'Données projet'!$E$9+1,1))-AVERAGE(OFFSET($H$3,0,0,'Données projet'!$E$9+1,1))</f>
        <v>252.28378247570731</v>
      </c>
      <c r="T76" s="59">
        <f t="shared" si="88"/>
        <v>263.50418595307343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12.528180336258679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1.3608699680467389E-5</v>
      </c>
      <c r="AC76" s="22">
        <f t="shared" si="57"/>
        <v>12.528193944958359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7.4</v>
      </c>
      <c r="AI76" s="13">
        <f>IF('Données projet'!$A$62&gt;35,AI75+AH76-AQ75,IF(A76&lt;'Données projet'!$A$62,$AF$205^A76,IF(A76='Données projet'!$A$62,'Données projet'!$B$62,AI75+AH76-AQ75)))</f>
        <v>318.19999999999993</v>
      </c>
      <c r="AJ76" s="13">
        <f>AI76*VLOOKUP('Données projet'!$B$10,Paramètres!$A$1:$I$89,3,0)*VLOOKUP('Données projet'!$B$10,Paramètres!$A$1:$I$89,5,0)</f>
        <v>268.05167999999998</v>
      </c>
      <c r="AK76" s="13">
        <f t="shared" si="89"/>
        <v>64.435612492630426</v>
      </c>
      <c r="AL76" s="20">
        <f t="shared" si="58"/>
        <v>579.08203442466458</v>
      </c>
      <c r="AM76" s="59">
        <f t="shared" si="59"/>
        <v>872.41536775799796</v>
      </c>
      <c r="AN76" s="59">
        <f ca="1">AVERAGE(OFFSET($AM$3,0,0,'Données projet'!$E$10+1,1))-AVERAGE(OFFSET($H$3,0,0,'Données projet'!$E$10+1,1))</f>
        <v>382.67703499770795</v>
      </c>
      <c r="AO76" s="59">
        <f t="shared" si="90"/>
        <v>237.98926636458219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35.351053954256727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35.351053954256727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4.5474735088646412E-13</v>
      </c>
      <c r="O77" s="13">
        <f>N77*VLOOKUP('Données projet'!$B$9,Paramètres!$A$1:$I$89,3,0)*VLOOKUP('Données projet'!$B$9,Paramètres!$A$1:$I$89,5,0)</f>
        <v>2.7193891583010558E-13</v>
      </c>
      <c r="P77" s="13">
        <f t="shared" si="87"/>
        <v>3.6362267729089988E-12</v>
      </c>
      <c r="Q77" s="20">
        <f t="shared" si="54"/>
        <v>6.8067219078872727E-12</v>
      </c>
      <c r="R77" s="59">
        <f t="shared" si="55"/>
        <v>293.33333333334014</v>
      </c>
      <c r="S77" s="59">
        <f ca="1">AVERAGE(OFFSET($R$3,0,0,'Données projet'!$E$9+1,1))-AVERAGE(OFFSET($H$3,0,0,'Données projet'!$E$9+1,1))</f>
        <v>252.28378247570731</v>
      </c>
      <c r="T77" s="59">
        <f t="shared" si="88"/>
        <v>263.50418595307343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12.282510361300123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9.622803827189693E-6</v>
      </c>
      <c r="AC77" s="22">
        <f t="shared" si="57"/>
        <v>12.282519984103949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7.4</v>
      </c>
      <c r="AI77" s="13">
        <f>IF('Données projet'!$A$62&gt;35,AI76+AH77-AQ76,IF(A77&lt;'Données projet'!$A$62,$AF$205^A77,IF(A77='Données projet'!$A$62,'Données projet'!$B$62,AI76+AH77-AQ76)))</f>
        <v>325.59999999999991</v>
      </c>
      <c r="AJ77" s="13">
        <f>AI77*VLOOKUP('Données projet'!$B$10,Paramètres!$A$1:$I$89,3,0)*VLOOKUP('Données projet'!$B$10,Paramètres!$A$1:$I$89,5,0)</f>
        <v>274.28543999999994</v>
      </c>
      <c r="AK77" s="13">
        <f t="shared" si="89"/>
        <v>65.75791260290552</v>
      </c>
      <c r="AL77" s="20">
        <f t="shared" si="58"/>
        <v>592.24217245006037</v>
      </c>
      <c r="AM77" s="59">
        <f t="shared" si="59"/>
        <v>885.57550578339374</v>
      </c>
      <c r="AN77" s="59">
        <f ca="1">AVERAGE(OFFSET($AM$3,0,0,'Données projet'!$E$10+1,1))-AVERAGE(OFFSET($H$3,0,0,'Données projet'!$E$10+1,1))</f>
        <v>382.67703499770795</v>
      </c>
      <c r="AO77" s="59">
        <f t="shared" si="90"/>
        <v>237.98926636458219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34.657841348227592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34.657841348227592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4.5474735088646412E-13</v>
      </c>
      <c r="O78" s="13">
        <f>N78*VLOOKUP('Données projet'!$B$9,Paramètres!$A$1:$I$89,3,0)*VLOOKUP('Données projet'!$B$9,Paramètres!$A$1:$I$89,5,0)</f>
        <v>2.7193891583010558E-13</v>
      </c>
      <c r="P78" s="13">
        <f t="shared" si="87"/>
        <v>3.6362267729089988E-12</v>
      </c>
      <c r="Q78" s="20">
        <f t="shared" si="54"/>
        <v>6.8067219078872727E-12</v>
      </c>
      <c r="R78" s="59">
        <f t="shared" si="55"/>
        <v>293.33333333334014</v>
      </c>
      <c r="S78" s="59">
        <f ca="1">AVERAGE(OFFSET($R$3,0,0,'Données projet'!$E$9+1,1))-AVERAGE(OFFSET($H$3,0,0,'Données projet'!$E$9+1,1))</f>
        <v>252.28378247570731</v>
      </c>
      <c r="T78" s="59">
        <f t="shared" si="88"/>
        <v>263.50418595307343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12.041657824706615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6.8043498402336945E-6</v>
      </c>
      <c r="AC78" s="22">
        <f t="shared" si="57"/>
        <v>12.041664629056456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7.4</v>
      </c>
      <c r="AI78" s="13">
        <f>IF('Données projet'!$A$62&gt;35,AI77+AH78-AQ77,IF(A78&lt;'Données projet'!$A$62,$AF$205^A78,IF(A78='Données projet'!$A$62,'Données projet'!$B$62,AI77+AH78-AQ77)))</f>
        <v>332.99999999999989</v>
      </c>
      <c r="AJ78" s="13">
        <f>AI78*VLOOKUP('Données projet'!$B$10,Paramètres!$A$1:$I$89,3,0)*VLOOKUP('Données projet'!$B$10,Paramètres!$A$1:$I$89,5,0)</f>
        <v>280.5191999999999</v>
      </c>
      <c r="AK78" s="13">
        <f t="shared" si="89"/>
        <v>67.076718933381159</v>
      </c>
      <c r="AL78" s="20">
        <f t="shared" si="58"/>
        <v>605.39622547563874</v>
      </c>
      <c r="AM78" s="59">
        <f t="shared" si="59"/>
        <v>898.72955880897212</v>
      </c>
      <c r="AN78" s="59">
        <f ca="1">AVERAGE(OFFSET($AM$3,0,0,'Données projet'!$E$10+1,1))-AVERAGE(OFFSET($H$3,0,0,'Données projet'!$E$10+1,1))</f>
        <v>382.67703499770795</v>
      </c>
      <c r="AO78" s="59">
        <f t="shared" si="90"/>
        <v>237.98926636458219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33.978222218584747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33.978222218584747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4.5474735088646412E-13</v>
      </c>
      <c r="O79" s="13">
        <f>N79*VLOOKUP('Données projet'!$B$9,Paramètres!$A$1:$I$89,3,0)*VLOOKUP('Données projet'!$B$9,Paramètres!$A$1:$I$89,5,0)</f>
        <v>2.7193891583010558E-13</v>
      </c>
      <c r="P79" s="13">
        <f t="shared" si="87"/>
        <v>3.6362267729089988E-12</v>
      </c>
      <c r="Q79" s="20">
        <f t="shared" si="54"/>
        <v>6.8067219078872727E-12</v>
      </c>
      <c r="R79" s="59">
        <f t="shared" si="55"/>
        <v>293.33333333334014</v>
      </c>
      <c r="S79" s="59">
        <f ca="1">AVERAGE(OFFSET($R$3,0,0,'Données projet'!$E$9+1,1))-AVERAGE(OFFSET($H$3,0,0,'Données projet'!$E$9+1,1))</f>
        <v>252.28378247570731</v>
      </c>
      <c r="T79" s="59">
        <f t="shared" si="88"/>
        <v>263.50418595307343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11.805528259450163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4.8114019135948465E-6</v>
      </c>
      <c r="AC79" s="22">
        <f t="shared" si="57"/>
        <v>11.805533070852077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7.4</v>
      </c>
      <c r="AI79" s="13">
        <f>IF('Données projet'!$A$62&gt;35,AI78+AH79-AQ78,IF(A79&lt;'Données projet'!$A$62,$AF$205^A79,IF(A79='Données projet'!$A$62,'Données projet'!$B$62,AI78+AH79-AQ78)))</f>
        <v>340.39999999999986</v>
      </c>
      <c r="AJ79" s="13">
        <f>AI79*VLOOKUP('Données projet'!$B$10,Paramètres!$A$1:$I$89,3,0)*VLOOKUP('Données projet'!$B$10,Paramètres!$A$1:$I$89,5,0)</f>
        <v>286.75295999999992</v>
      </c>
      <c r="AK79" s="13">
        <f t="shared" si="89"/>
        <v>68.392118063243558</v>
      </c>
      <c r="AL79" s="20">
        <f t="shared" si="58"/>
        <v>618.54434429348237</v>
      </c>
      <c r="AM79" s="59">
        <f t="shared" si="59"/>
        <v>911.87767762681574</v>
      </c>
      <c r="AN79" s="59">
        <f ca="1">AVERAGE(OFFSET($AM$3,0,0,'Données projet'!$E$10+1,1))-AVERAGE(OFFSET($H$3,0,0,'Données projet'!$E$10+1,1))</f>
        <v>382.67703499770795</v>
      </c>
      <c r="AO79" s="59">
        <f t="shared" si="90"/>
        <v>237.98926636458219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33.31193000554746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33.31193000554746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4.5474735088646412E-13</v>
      </c>
      <c r="O80" s="13">
        <f>N80*VLOOKUP('Données projet'!$B$9,Paramètres!$A$1:$I$89,3,0)*VLOOKUP('Données projet'!$B$9,Paramètres!$A$1:$I$89,5,0)</f>
        <v>2.7193891583010558E-13</v>
      </c>
      <c r="P80" s="13">
        <f t="shared" si="87"/>
        <v>3.6362267729089988E-12</v>
      </c>
      <c r="Q80" s="20">
        <f t="shared" si="54"/>
        <v>6.8067219078872727E-12</v>
      </c>
      <c r="R80" s="59">
        <f t="shared" si="55"/>
        <v>293.33333333334014</v>
      </c>
      <c r="S80" s="59">
        <f ca="1">AVERAGE(OFFSET($R$3,0,0,'Données projet'!$E$9+1,1))-AVERAGE(OFFSET($H$3,0,0,'Données projet'!$E$9+1,1))</f>
        <v>252.28378247570731</v>
      </c>
      <c r="T80" s="59">
        <f t="shared" si="88"/>
        <v>263.50418595307343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11.574029050943578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3.4021749201168472E-6</v>
      </c>
      <c r="AC80" s="22">
        <f t="shared" si="57"/>
        <v>11.574032453118498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7.4</v>
      </c>
      <c r="AI80" s="13">
        <f>IF('Données projet'!$A$62&gt;35,AI79+AH80-AQ79,IF(A80&lt;'Données projet'!$A$62,$AF$205^A80,IF(A80='Données projet'!$A$62,'Données projet'!$B$62,AI79+AH80-AQ79)))</f>
        <v>347.79999999999984</v>
      </c>
      <c r="AJ80" s="13">
        <f>AI80*VLOOKUP('Données projet'!$B$10,Paramètres!$A$1:$I$89,3,0)*VLOOKUP('Données projet'!$B$10,Paramètres!$A$1:$I$89,5,0)</f>
        <v>292.98671999999988</v>
      </c>
      <c r="AK80" s="13">
        <f t="shared" si="89"/>
        <v>69.704192592377339</v>
      </c>
      <c r="AL80" s="20">
        <f t="shared" si="58"/>
        <v>631.6866727650571</v>
      </c>
      <c r="AM80" s="59">
        <f t="shared" si="59"/>
        <v>925.02000609839047</v>
      </c>
      <c r="AN80" s="59">
        <f ca="1">AVERAGE(OFFSET($AM$3,0,0,'Données projet'!$E$10+1,1))-AVERAGE(OFFSET($H$3,0,0,'Données projet'!$E$10+1,1))</f>
        <v>382.67703499770795</v>
      </c>
      <c r="AO80" s="59">
        <f t="shared" si="90"/>
        <v>237.98926636458219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32.658703376409711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32.658703376409711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4.5474735088646412E-13</v>
      </c>
      <c r="O81" s="13">
        <f>N81*VLOOKUP('Données projet'!$B$9,Paramètres!$A$1:$I$89,3,0)*VLOOKUP('Données projet'!$B$9,Paramètres!$A$1:$I$89,5,0)</f>
        <v>2.7193891583010558E-13</v>
      </c>
      <c r="P81" s="13">
        <f t="shared" si="87"/>
        <v>3.6362267729089988E-12</v>
      </c>
      <c r="Q81" s="20">
        <f t="shared" si="54"/>
        <v>6.8067219078872727E-12</v>
      </c>
      <c r="R81" s="59">
        <f t="shared" si="55"/>
        <v>293.33333333334014</v>
      </c>
      <c r="S81" s="59">
        <f ca="1">AVERAGE(OFFSET($R$3,0,0,'Données projet'!$E$9+1,1))-AVERAGE(OFFSET($H$3,0,0,'Données projet'!$E$9+1,1))</f>
        <v>252.28378247570731</v>
      </c>
      <c r="T81" s="59">
        <f t="shared" si="88"/>
        <v>263.50418595307343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11.347069400715231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2.4057009567974233E-6</v>
      </c>
      <c r="AC81" s="22">
        <f t="shared" si="57"/>
        <v>11.347071806416189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7.4</v>
      </c>
      <c r="AI81" s="13">
        <f>IF('Données projet'!$A$62&gt;35,AI80+AH81-AQ80,IF(A81&lt;'Données projet'!$A$62,$AF$205^A81,IF(A81='Données projet'!$A$62,'Données projet'!$B$62,AI80+AH81-AQ80)))</f>
        <v>355.19999999999982</v>
      </c>
      <c r="AJ81" s="13">
        <f>AI81*VLOOKUP('Données projet'!$B$10,Paramètres!$A$1:$I$89,3,0)*VLOOKUP('Données projet'!$B$10,Paramètres!$A$1:$I$89,5,0)</f>
        <v>299.22047999999984</v>
      </c>
      <c r="AK81" s="13">
        <f t="shared" si="89"/>
        <v>71.013021404971994</v>
      </c>
      <c r="AL81" s="20">
        <f t="shared" si="58"/>
        <v>644.82334828032594</v>
      </c>
      <c r="AM81" s="59">
        <f t="shared" si="59"/>
        <v>938.1566816136592</v>
      </c>
      <c r="AN81" s="59">
        <f ca="1">AVERAGE(OFFSET($AM$3,0,0,'Données projet'!$E$10+1,1))-AVERAGE(OFFSET($H$3,0,0,'Données projet'!$E$10+1,1))</f>
        <v>382.67703499770795</v>
      </c>
      <c r="AO81" s="59">
        <f t="shared" si="90"/>
        <v>237.98926636458219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32.018286123040454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32.018286123040454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4.5474735088646412E-13</v>
      </c>
      <c r="O82" s="13">
        <f>N82*VLOOKUP('Données projet'!$B$9,Paramètres!$A$1:$I$89,3,0)*VLOOKUP('Données projet'!$B$9,Paramètres!$A$1:$I$89,5,0)</f>
        <v>2.7193891583010558E-13</v>
      </c>
      <c r="P82" s="13">
        <f t="shared" si="87"/>
        <v>3.6362267729089988E-12</v>
      </c>
      <c r="Q82" s="20">
        <f t="shared" si="54"/>
        <v>6.8067219078872727E-12</v>
      </c>
      <c r="R82" s="59">
        <f t="shared" si="55"/>
        <v>293.33333333334014</v>
      </c>
      <c r="S82" s="59">
        <f ca="1">AVERAGE(OFFSET($R$3,0,0,'Données projet'!$E$9+1,1))-AVERAGE(OFFSET($H$3,0,0,'Données projet'!$E$9+1,1))</f>
        <v>252.28378247570731</v>
      </c>
      <c r="T82" s="59">
        <f t="shared" si="88"/>
        <v>263.50418595307343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11.124560290796145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1.7010874600584236E-6</v>
      </c>
      <c r="AC82" s="22">
        <f t="shared" si="57"/>
        <v>11.124561991883605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7.4</v>
      </c>
      <c r="AI82" s="13">
        <f>IF('Données projet'!$A$62&gt;35,AI81+AH82-AQ81,IF(A82&lt;'Données projet'!$A$62,$AF$205^A82,IF(A82='Données projet'!$A$62,'Données projet'!$B$62,AI81+AH82-AQ81)))</f>
        <v>362.5999999999998</v>
      </c>
      <c r="AJ82" s="13">
        <f>AI82*VLOOKUP('Données projet'!$B$10,Paramètres!$A$1:$I$89,3,0)*VLOOKUP('Données projet'!$B$10,Paramètres!$A$1:$I$89,5,0)</f>
        <v>305.45423999999986</v>
      </c>
      <c r="AK82" s="13">
        <f t="shared" si="89"/>
        <v>72.318679910540808</v>
      </c>
      <c r="AL82" s="20">
        <f t="shared" si="58"/>
        <v>657.954502177525</v>
      </c>
      <c r="AM82" s="59">
        <f t="shared" si="59"/>
        <v>951.28783551085826</v>
      </c>
      <c r="AN82" s="59">
        <f ca="1">AVERAGE(OFFSET($AM$3,0,0,'Données projet'!$E$10+1,1))-AVERAGE(OFFSET($H$3,0,0,'Données projet'!$E$10+1,1))</f>
        <v>382.67703499770795</v>
      </c>
      <c r="AO82" s="59">
        <f t="shared" si="90"/>
        <v>237.98926636458219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31.390427061393815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31.390427061393815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4.5474735088646412E-13</v>
      </c>
      <c r="O83" s="13">
        <f>N83*VLOOKUP('Données projet'!$B$9,Paramètres!$A$1:$I$89,3,0)*VLOOKUP('Données projet'!$B$9,Paramètres!$A$1:$I$89,5,0)</f>
        <v>2.7193891583010558E-13</v>
      </c>
      <c r="P83" s="13">
        <f t="shared" si="87"/>
        <v>3.6362267729089988E-12</v>
      </c>
      <c r="Q83" s="20">
        <f t="shared" si="54"/>
        <v>6.8067219078872727E-12</v>
      </c>
      <c r="R83" s="59">
        <f t="shared" si="55"/>
        <v>293.33333333334014</v>
      </c>
      <c r="S83" s="59">
        <f ca="1">AVERAGE(OFFSET($R$3,0,0,'Données projet'!$E$9+1,1))-AVERAGE(OFFSET($H$3,0,0,'Données projet'!$E$9+1,1))</f>
        <v>252.28378247570731</v>
      </c>
      <c r="T83" s="59">
        <f t="shared" si="88"/>
        <v>263.50418595307343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10.906414448805416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1.2028504783987116E-6</v>
      </c>
      <c r="AC83" s="22">
        <f t="shared" si="57"/>
        <v>10.906415651655895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370</v>
      </c>
      <c r="AG83" s="12">
        <f>VLOOKUP(A83,'Données projet'!$A$61:$I$81,9,0)</f>
        <v>7.4</v>
      </c>
      <c r="AH83" s="12">
        <f t="array" ref="AH83">INDEX(AG:AG,MIN(IF(ISNUMBER(AG83:AG279),ROW(AG83:AG279),"")))</f>
        <v>7.4</v>
      </c>
      <c r="AI83" s="13">
        <f>IF('Données projet'!$A$62&gt;35,AI82+AH83-AQ82,IF(A83&lt;'Données projet'!$A$62,$AF$205^A83,IF(A83='Données projet'!$A$62,'Données projet'!$B$62,AI82+AH83-AQ82)))</f>
        <v>369.99999999999977</v>
      </c>
      <c r="AJ83" s="13">
        <f>AI83*VLOOKUP('Données projet'!$B$10,Paramètres!$A$1:$I$89,3,0)*VLOOKUP('Données projet'!$B$10,Paramètres!$A$1:$I$89,5,0)</f>
        <v>311.68799999999987</v>
      </c>
      <c r="AK83" s="13">
        <f t="shared" si="89"/>
        <v>73.621240264709428</v>
      </c>
      <c r="AL83" s="20">
        <f t="shared" si="58"/>
        <v>671.08026012770199</v>
      </c>
      <c r="AM83" s="59">
        <f t="shared" si="59"/>
        <v>964.41359346103536</v>
      </c>
      <c r="AN83" s="59">
        <f ca="1">AVERAGE(OFFSET($AM$3,0,0,'Données projet'!$E$10+1,1))-AVERAGE(OFFSET($H$3,0,0,'Données projet'!$E$10+1,1))</f>
        <v>382.67703499770795</v>
      </c>
      <c r="AO83" s="59">
        <f t="shared" si="90"/>
        <v>237.98926636458219</v>
      </c>
      <c r="AP83" s="15">
        <f>IF(ISNA(VLOOKUP(A83,'Données projet'!$A$61:$I$81,3,0)),0,VLOOKUP(A83,'Données projet'!$A$61:$I$81,3,0))</f>
        <v>7</v>
      </c>
      <c r="AQ83" s="15">
        <f>IF(ISNA(VLOOKUP(A83,'Données projet'!$A$61:$I$81,4,0)),0,VLOOKUP(A83,'Données projet'!$A$61:$I$81,4,0))</f>
        <v>56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30.774879932989855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30.774879932989855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4.5474735088646412E-13</v>
      </c>
      <c r="O84" s="13">
        <f>N84*VLOOKUP('Données projet'!$B$9,Paramètres!$A$1:$I$89,3,0)*VLOOKUP('Données projet'!$B$9,Paramètres!$A$1:$I$89,5,0)</f>
        <v>2.7193891583010558E-13</v>
      </c>
      <c r="P84" s="13">
        <f t="shared" si="87"/>
        <v>3.6362267729089988E-12</v>
      </c>
      <c r="Q84" s="20">
        <f t="shared" si="54"/>
        <v>6.8067219078872727E-12</v>
      </c>
      <c r="R84" s="59">
        <f t="shared" si="55"/>
        <v>293.33333333334014</v>
      </c>
      <c r="S84" s="59">
        <f ca="1">AVERAGE(OFFSET($R$3,0,0,'Données projet'!$E$9+1,1))-AVERAGE(OFFSET($H$3,0,0,'Données projet'!$E$9+1,1))</f>
        <v>252.28378247570731</v>
      </c>
      <c r="T84" s="59">
        <f t="shared" si="88"/>
        <v>263.50418595307343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10.6925463137203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8.5054373002921181E-7</v>
      </c>
      <c r="AC84" s="22">
        <f t="shared" si="57"/>
        <v>10.692547164264029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6.6</v>
      </c>
      <c r="AI84" s="13">
        <f>IF('Données projet'!$A$62&gt;35,AI83+AH84-AQ83,IF(A84&lt;'Données projet'!$A$62,$AF$205^A84,IF(A84='Données projet'!$A$62,'Données projet'!$B$62,AI83+AH84-AQ83)))</f>
        <v>320.5999999999998</v>
      </c>
      <c r="AJ84" s="13">
        <f>AI84*VLOOKUP('Données projet'!$B$10,Paramètres!$A$1:$I$89,3,0)*VLOOKUP('Données projet'!$B$10,Paramètres!$A$1:$I$89,5,0)</f>
        <v>270.07343999999989</v>
      </c>
      <c r="AK84" s="13">
        <f t="shared" si="89"/>
        <v>64.864854862635113</v>
      </c>
      <c r="AL84" s="20">
        <f t="shared" si="58"/>
        <v>583.35086355242265</v>
      </c>
      <c r="AM84" s="59">
        <f t="shared" si="59"/>
        <v>876.68419688575591</v>
      </c>
      <c r="AN84" s="59">
        <f ca="1">AVERAGE(OFFSET($AM$3,0,0,'Données projet'!$E$10+1,1))-AVERAGE(OFFSET($H$3,0,0,'Données projet'!$E$10+1,1))</f>
        <v>382.67703499770795</v>
      </c>
      <c r="AO84" s="59">
        <f t="shared" si="90"/>
        <v>237.98926636458219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30.171403308327218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30.171403308327218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4.5474735088646412E-13</v>
      </c>
      <c r="O85" s="13">
        <f>N85*VLOOKUP('Données projet'!$B$9,Paramètres!$A$1:$I$89,3,0)*VLOOKUP('Données projet'!$B$9,Paramètres!$A$1:$I$89,5,0)</f>
        <v>2.7193891583010558E-13</v>
      </c>
      <c r="P85" s="13">
        <f t="shared" si="87"/>
        <v>3.6362267729089988E-12</v>
      </c>
      <c r="Q85" s="20">
        <f t="shared" si="54"/>
        <v>6.8067219078872727E-12</v>
      </c>
      <c r="R85" s="59">
        <f t="shared" si="55"/>
        <v>293.33333333334014</v>
      </c>
      <c r="S85" s="59">
        <f ca="1">AVERAGE(OFFSET($R$3,0,0,'Données projet'!$E$9+1,1))-AVERAGE(OFFSET($H$3,0,0,'Données projet'!$E$9+1,1))</f>
        <v>252.28378247570731</v>
      </c>
      <c r="T85" s="59">
        <f t="shared" si="88"/>
        <v>263.50418595307343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10.482872002317521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6.0142523919935582E-7</v>
      </c>
      <c r="AC85" s="22">
        <f t="shared" si="57"/>
        <v>10.482872603742759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6.6</v>
      </c>
      <c r="AI85" s="13">
        <f>IF('Données projet'!$A$62&gt;35,AI84+AH85-AQ84,IF(A85&lt;'Données projet'!$A$62,$AF$205^A85,IF(A85='Données projet'!$A$62,'Données projet'!$B$62,AI84+AH85-AQ84)))</f>
        <v>327.19999999999982</v>
      </c>
      <c r="AJ85" s="13">
        <f>AI85*VLOOKUP('Données projet'!$B$10,Paramètres!$A$1:$I$89,3,0)*VLOOKUP('Données projet'!$B$10,Paramètres!$A$1:$I$89,5,0)</f>
        <v>275.63327999999984</v>
      </c>
      <c r="AK85" s="13">
        <f t="shared" si="89"/>
        <v>66.043352919930101</v>
      </c>
      <c r="AL85" s="20">
        <f t="shared" si="58"/>
        <v>595.08680233554469</v>
      </c>
      <c r="AM85" s="59">
        <f t="shared" si="59"/>
        <v>888.42013566887795</v>
      </c>
      <c r="AN85" s="59">
        <f ca="1">AVERAGE(OFFSET($AM$3,0,0,'Données projet'!$E$10+1,1))-AVERAGE(OFFSET($H$3,0,0,'Données projet'!$E$10+1,1))</f>
        <v>382.67703499770795</v>
      </c>
      <c r="AO85" s="59">
        <f t="shared" si="90"/>
        <v>237.98926636458219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29.57976049218982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29.57976049218982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4.5474735088646412E-13</v>
      </c>
      <c r="O86" s="13">
        <f>N86*VLOOKUP('Données projet'!$B$9,Paramètres!$A$1:$I$89,3,0)*VLOOKUP('Données projet'!$B$9,Paramètres!$A$1:$I$89,5,0)</f>
        <v>2.7193891583010558E-13</v>
      </c>
      <c r="P86" s="13">
        <f t="shared" si="87"/>
        <v>3.6362267729089988E-12</v>
      </c>
      <c r="Q86" s="20">
        <f t="shared" si="54"/>
        <v>6.8067219078872727E-12</v>
      </c>
      <c r="R86" s="59">
        <f t="shared" si="55"/>
        <v>293.33333333334014</v>
      </c>
      <c r="S86" s="59">
        <f ca="1">AVERAGE(OFFSET($R$3,0,0,'Données projet'!$E$9+1,1))-AVERAGE(OFFSET($H$3,0,0,'Données projet'!$E$9+1,1))</f>
        <v>252.28378247570731</v>
      </c>
      <c r="T86" s="59">
        <f t="shared" si="88"/>
        <v>263.50418595307343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10.277309276272648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4.252718650146059E-7</v>
      </c>
      <c r="AC86" s="22">
        <f t="shared" si="57"/>
        <v>10.277309701544514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6.6</v>
      </c>
      <c r="AI86" s="13">
        <f>IF('Données projet'!$A$62&gt;35,AI85+AH86-AQ85,IF(A86&lt;'Données projet'!$A$62,$AF$205^A86,IF(A86='Données projet'!$A$62,'Données projet'!$B$62,AI85+AH86-AQ85)))</f>
        <v>333.79999999999984</v>
      </c>
      <c r="AJ86" s="13">
        <f>AI86*VLOOKUP('Données projet'!$B$10,Paramètres!$A$1:$I$89,3,0)*VLOOKUP('Données projet'!$B$10,Paramètres!$A$1:$I$89,5,0)</f>
        <v>281.19311999999991</v>
      </c>
      <c r="AK86" s="13">
        <f t="shared" si="89"/>
        <v>67.219087003698235</v>
      </c>
      <c r="AL86" s="20">
        <f t="shared" si="58"/>
        <v>606.81792719810755</v>
      </c>
      <c r="AM86" s="59">
        <f t="shared" si="59"/>
        <v>900.15126053144081</v>
      </c>
      <c r="AN86" s="59">
        <f ca="1">AVERAGE(OFFSET($AM$3,0,0,'Données projet'!$E$10+1,1))-AVERAGE(OFFSET($H$3,0,0,'Données projet'!$E$10+1,1))</f>
        <v>382.67703499770795</v>
      </c>
      <c r="AO86" s="59">
        <f t="shared" si="90"/>
        <v>237.98926636458219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28.999719430810391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28.999719430810391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4.5474735088646412E-13</v>
      </c>
      <c r="O87" s="13">
        <f>N87*VLOOKUP('Données projet'!$B$9,Paramètres!$A$1:$I$89,3,0)*VLOOKUP('Données projet'!$B$9,Paramètres!$A$1:$I$89,5,0)</f>
        <v>2.7193891583010558E-13</v>
      </c>
      <c r="P87" s="13">
        <f t="shared" si="87"/>
        <v>3.6362267729089988E-12</v>
      </c>
      <c r="Q87" s="20">
        <f t="shared" si="54"/>
        <v>6.8067219078872727E-12</v>
      </c>
      <c r="R87" s="59">
        <f t="shared" si="55"/>
        <v>293.33333333334014</v>
      </c>
      <c r="S87" s="59">
        <f ca="1">AVERAGE(OFFSET($R$3,0,0,'Données projet'!$E$9+1,1))-AVERAGE(OFFSET($H$3,0,0,'Données projet'!$E$9+1,1))</f>
        <v>252.28378247570731</v>
      </c>
      <c r="T87" s="59">
        <f t="shared" si="88"/>
        <v>263.50418595307343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10.075777509904633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3.0071261959967791E-7</v>
      </c>
      <c r="AC87" s="22">
        <f t="shared" si="57"/>
        <v>10.075777810617252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6.6</v>
      </c>
      <c r="AI87" s="13">
        <f>IF('Données projet'!$A$62&gt;35,AI86+AH87-AQ86,IF(A87&lt;'Données projet'!$A$62,$AF$205^A87,IF(A87='Données projet'!$A$62,'Données projet'!$B$62,AI86+AH87-AQ86)))</f>
        <v>340.39999999999986</v>
      </c>
      <c r="AJ87" s="13">
        <f>AI87*VLOOKUP('Données projet'!$B$10,Paramètres!$A$1:$I$89,3,0)*VLOOKUP('Données projet'!$B$10,Paramètres!$A$1:$I$89,5,0)</f>
        <v>286.75295999999992</v>
      </c>
      <c r="AK87" s="13">
        <f t="shared" si="89"/>
        <v>68.392118063243558</v>
      </c>
      <c r="AL87" s="20">
        <f t="shared" si="58"/>
        <v>618.54434429348237</v>
      </c>
      <c r="AM87" s="59">
        <f t="shared" si="59"/>
        <v>911.87767762681574</v>
      </c>
      <c r="AN87" s="59">
        <f ca="1">AVERAGE(OFFSET($AM$3,0,0,'Données projet'!$E$10+1,1))-AVERAGE(OFFSET($H$3,0,0,'Données projet'!$E$10+1,1))</f>
        <v>382.67703499770795</v>
      </c>
      <c r="AO87" s="59">
        <f t="shared" si="90"/>
        <v>237.98926636458219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28.431052620854498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28.431052620854498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4.5474735088646412E-13</v>
      </c>
      <c r="O88" s="13">
        <f>N88*VLOOKUP('Données projet'!$B$9,Paramètres!$A$1:$I$89,3,0)*VLOOKUP('Données projet'!$B$9,Paramètres!$A$1:$I$89,5,0)</f>
        <v>2.7193891583010558E-13</v>
      </c>
      <c r="P88" s="13">
        <f t="shared" si="87"/>
        <v>3.6362267729089988E-12</v>
      </c>
      <c r="Q88" s="20">
        <f t="shared" si="54"/>
        <v>6.8067219078872727E-12</v>
      </c>
      <c r="R88" s="59">
        <f t="shared" si="55"/>
        <v>293.33333333334014</v>
      </c>
      <c r="S88" s="59">
        <f ca="1">AVERAGE(OFFSET($R$3,0,0,'Données projet'!$E$9+1,1))-AVERAGE(OFFSET($H$3,0,0,'Données projet'!$E$9+1,1))</f>
        <v>252.28378247570731</v>
      </c>
      <c r="T88" s="59">
        <f t="shared" si="88"/>
        <v>263.50418595307343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9.878197658552855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2.1263593250730295E-7</v>
      </c>
      <c r="AC88" s="22">
        <f t="shared" si="57"/>
        <v>9.878197871188787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6.6</v>
      </c>
      <c r="AI88" s="13">
        <f>IF('Données projet'!$A$62&gt;35,AI87+AH88-AQ87,IF(A88&lt;'Données projet'!$A$62,$AF$205^A88,IF(A88='Données projet'!$A$62,'Données projet'!$B$62,AI87+AH88-AQ87)))</f>
        <v>346.99999999999989</v>
      </c>
      <c r="AJ88" s="13">
        <f>AI88*VLOOKUP('Données projet'!$B$10,Paramètres!$A$1:$I$89,3,0)*VLOOKUP('Données projet'!$B$10,Paramètres!$A$1:$I$89,5,0)</f>
        <v>292.31279999999992</v>
      </c>
      <c r="AK88" s="13">
        <f t="shared" si="89"/>
        <v>69.562504549179607</v>
      </c>
      <c r="AL88" s="20">
        <f t="shared" si="58"/>
        <v>630.26615542315426</v>
      </c>
      <c r="AM88" s="59">
        <f t="shared" si="59"/>
        <v>923.59948875648752</v>
      </c>
      <c r="AN88" s="59">
        <f ca="1">AVERAGE(OFFSET($AM$3,0,0,'Données projet'!$E$10+1,1))-AVERAGE(OFFSET($H$3,0,0,'Données projet'!$E$10+1,1))</f>
        <v>382.67703499770795</v>
      </c>
      <c r="AO88" s="59">
        <f t="shared" si="90"/>
        <v>237.98926636458219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27.873537020189335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27.873537020189335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4.5474735088646412E-13</v>
      </c>
      <c r="O89" s="13">
        <f>N89*VLOOKUP('Données projet'!$B$9,Paramètres!$A$1:$I$89,3,0)*VLOOKUP('Données projet'!$B$9,Paramètres!$A$1:$I$89,5,0)</f>
        <v>2.7193891583010558E-13</v>
      </c>
      <c r="P89" s="13">
        <f t="shared" si="87"/>
        <v>3.6362267729089988E-12</v>
      </c>
      <c r="Q89" s="20">
        <f t="shared" si="54"/>
        <v>6.8067219078872727E-12</v>
      </c>
      <c r="R89" s="59">
        <f t="shared" si="55"/>
        <v>293.33333333334014</v>
      </c>
      <c r="S89" s="59">
        <f ca="1">AVERAGE(OFFSET($R$3,0,0,'Données projet'!$E$9+1,1))-AVERAGE(OFFSET($H$3,0,0,'Données projet'!$E$9+1,1))</f>
        <v>252.28378247570731</v>
      </c>
      <c r="T89" s="59">
        <f t="shared" si="88"/>
        <v>263.50418595307343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9.6844922275742746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1.5035630979983895E-7</v>
      </c>
      <c r="AC89" s="22">
        <f t="shared" si="57"/>
        <v>9.6844923779305851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6.6</v>
      </c>
      <c r="AI89" s="13">
        <f>IF('Données projet'!$A$62&gt;35,AI88+AH89-AQ88,IF(A89&lt;'Données projet'!$A$62,$AF$205^A89,IF(A89='Données projet'!$A$62,'Données projet'!$B$62,AI88+AH89-AQ88)))</f>
        <v>353.59999999999991</v>
      </c>
      <c r="AJ89" s="13">
        <f>AI89*VLOOKUP('Données projet'!$B$10,Paramètres!$A$1:$I$89,3,0)*VLOOKUP('Données projet'!$B$10,Paramètres!$A$1:$I$89,5,0)</f>
        <v>297.87263999999993</v>
      </c>
      <c r="AK89" s="13">
        <f t="shared" si="89"/>
        <v>70.730302561409658</v>
      </c>
      <c r="AL89" s="20">
        <f t="shared" si="58"/>
        <v>641.98345829445509</v>
      </c>
      <c r="AM89" s="59">
        <f t="shared" si="59"/>
        <v>935.31679162778846</v>
      </c>
      <c r="AN89" s="59">
        <f ca="1">AVERAGE(OFFSET($AM$3,0,0,'Données projet'!$E$10+1,1))-AVERAGE(OFFSET($H$3,0,0,'Données projet'!$E$10+1,1))</f>
        <v>382.67703499770795</v>
      </c>
      <c r="AO89" s="59">
        <f t="shared" si="90"/>
        <v>237.98926636458219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27.326953960402278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27.326953960402278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4.5474735088646412E-13</v>
      </c>
      <c r="O90" s="13">
        <f>N90*VLOOKUP('Données projet'!$B$9,Paramètres!$A$1:$I$89,3,0)*VLOOKUP('Données projet'!$B$9,Paramètres!$A$1:$I$89,5,0)</f>
        <v>2.7193891583010558E-13</v>
      </c>
      <c r="P90" s="13">
        <f t="shared" si="87"/>
        <v>3.6362267729089988E-12</v>
      </c>
      <c r="Q90" s="20">
        <f t="shared" si="54"/>
        <v>6.8067219078872727E-12</v>
      </c>
      <c r="R90" s="59">
        <f t="shared" si="55"/>
        <v>293.33333333334014</v>
      </c>
      <c r="S90" s="59">
        <f ca="1">AVERAGE(OFFSET($R$3,0,0,'Données projet'!$E$9+1,1))-AVERAGE(OFFSET($H$3,0,0,'Données projet'!$E$9+1,1))</f>
        <v>252.28378247570731</v>
      </c>
      <c r="T90" s="59">
        <f t="shared" si="88"/>
        <v>263.50418595307343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9.4945852419485384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1.0631796625365148E-7</v>
      </c>
      <c r="AC90" s="22">
        <f t="shared" si="57"/>
        <v>9.4945853482665044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6.6</v>
      </c>
      <c r="AI90" s="13">
        <f>IF('Données projet'!$A$62&gt;35,AI89+AH90-AQ89,IF(A90&lt;'Données projet'!$A$62,$AF$205^A90,IF(A90='Données projet'!$A$62,'Données projet'!$B$62,AI89+AH90-AQ89)))</f>
        <v>360.19999999999993</v>
      </c>
      <c r="AJ90" s="13">
        <f>AI90*VLOOKUP('Données projet'!$B$10,Paramètres!$A$1:$I$89,3,0)*VLOOKUP('Données projet'!$B$10,Paramètres!$A$1:$I$89,5,0)</f>
        <v>303.43248</v>
      </c>
      <c r="AK90" s="13">
        <f t="shared" si="89"/>
        <v>71.895565985746146</v>
      </c>
      <c r="AL90" s="20">
        <f t="shared" si="58"/>
        <v>653.69634675850784</v>
      </c>
      <c r="AM90" s="59">
        <f t="shared" si="59"/>
        <v>947.0296800918411</v>
      </c>
      <c r="AN90" s="59">
        <f ca="1">AVERAGE(OFFSET($AM$3,0,0,'Données projet'!$E$10+1,1))-AVERAGE(OFFSET($H$3,0,0,'Données projet'!$E$10+1,1))</f>
        <v>382.67703499770795</v>
      </c>
      <c r="AO90" s="59">
        <f t="shared" si="90"/>
        <v>237.98926636458219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26.791089061034896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26.791089061034896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4.5474735088646412E-13</v>
      </c>
      <c r="O91" s="13">
        <f>N91*VLOOKUP('Données projet'!$B$9,Paramètres!$A$1:$I$89,3,0)*VLOOKUP('Données projet'!$B$9,Paramètres!$A$1:$I$89,5,0)</f>
        <v>2.7193891583010558E-13</v>
      </c>
      <c r="P91" s="13">
        <f t="shared" si="87"/>
        <v>3.6362267729089988E-12</v>
      </c>
      <c r="Q91" s="20">
        <f t="shared" si="54"/>
        <v>6.8067219078872727E-12</v>
      </c>
      <c r="R91" s="59">
        <f t="shared" si="55"/>
        <v>293.33333333334014</v>
      </c>
      <c r="S91" s="59">
        <f ca="1">AVERAGE(OFFSET($R$3,0,0,'Données projet'!$E$9+1,1))-AVERAGE(OFFSET($H$3,0,0,'Données projet'!$E$9+1,1))</f>
        <v>252.28378247570731</v>
      </c>
      <c r="T91" s="59">
        <f t="shared" si="88"/>
        <v>263.50418595307343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9.3084022164790987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7.5178154899919477E-8</v>
      </c>
      <c r="AC91" s="22">
        <f t="shared" si="57"/>
        <v>9.308402291657254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6.6</v>
      </c>
      <c r="AI91" s="13">
        <f>IF('Données projet'!$A$62&gt;35,AI90+AH91-AQ90,IF(A91&lt;'Données projet'!$A$62,$AF$205^A91,IF(A91='Données projet'!$A$62,'Données projet'!$B$62,AI90+AH91-AQ90)))</f>
        <v>366.79999999999995</v>
      </c>
      <c r="AJ91" s="13">
        <f>AI91*VLOOKUP('Données projet'!$B$10,Paramètres!$A$1:$I$89,3,0)*VLOOKUP('Données projet'!$B$10,Paramètres!$A$1:$I$89,5,0)</f>
        <v>308.99231999999995</v>
      </c>
      <c r="AK91" s="13">
        <f t="shared" si="89"/>
        <v>73.058346620234332</v>
      </c>
      <c r="AL91" s="20">
        <f t="shared" si="58"/>
        <v>665.40491103024135</v>
      </c>
      <c r="AM91" s="59">
        <f t="shared" si="59"/>
        <v>958.73824436357472</v>
      </c>
      <c r="AN91" s="59">
        <f ca="1">AVERAGE(OFFSET($AM$3,0,0,'Données projet'!$E$10+1,1))-AVERAGE(OFFSET($H$3,0,0,'Données projet'!$E$10+1,1))</f>
        <v>382.67703499770795</v>
      </c>
      <c r="AO91" s="59">
        <f t="shared" si="90"/>
        <v>237.98926636458219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26.265732145498795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26.265732145498795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4.5474735088646412E-13</v>
      </c>
      <c r="O92" s="13">
        <f>N92*VLOOKUP('Données projet'!$B$9,Paramètres!$A$1:$I$89,3,0)*VLOOKUP('Données projet'!$B$9,Paramètres!$A$1:$I$89,5,0)</f>
        <v>2.7193891583010558E-13</v>
      </c>
      <c r="P92" s="13">
        <f t="shared" si="87"/>
        <v>3.6362267729089988E-12</v>
      </c>
      <c r="Q92" s="20">
        <f t="shared" si="54"/>
        <v>6.8067219078872727E-12</v>
      </c>
      <c r="R92" s="59">
        <f t="shared" si="55"/>
        <v>293.33333333334014</v>
      </c>
      <c r="S92" s="59">
        <f ca="1">AVERAGE(OFFSET($R$3,0,0,'Données projet'!$E$9+1,1))-AVERAGE(OFFSET($H$3,0,0,'Données projet'!$E$9+1,1))</f>
        <v>252.28378247570731</v>
      </c>
      <c r="T92" s="59">
        <f t="shared" si="88"/>
        <v>263.50418595307343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9.1258701265786826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5.3158983126825738E-8</v>
      </c>
      <c r="AC92" s="22">
        <f t="shared" si="57"/>
        <v>9.1258701797376656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6.6</v>
      </c>
      <c r="AI92" s="13">
        <f>IF('Données projet'!$A$62&gt;35,AI91+AH92-AQ91,IF(A92&lt;'Données projet'!$A$62,$AF$205^A92,IF(A92='Données projet'!$A$62,'Données projet'!$B$62,AI91+AH92-AQ91)))</f>
        <v>373.4</v>
      </c>
      <c r="AJ92" s="13">
        <f>AI92*VLOOKUP('Données projet'!$B$10,Paramètres!$A$1:$I$89,3,0)*VLOOKUP('Données projet'!$B$10,Paramètres!$A$1:$I$89,5,0)</f>
        <v>314.55216000000001</v>
      </c>
      <c r="AK92" s="13">
        <f t="shared" si="89"/>
        <v>74.218694292125434</v>
      </c>
      <c r="AL92" s="20">
        <f t="shared" si="58"/>
        <v>677.10923789211859</v>
      </c>
      <c r="AM92" s="59">
        <f t="shared" si="59"/>
        <v>970.44257122545196</v>
      </c>
      <c r="AN92" s="59">
        <f ca="1">AVERAGE(OFFSET($AM$3,0,0,'Données projet'!$E$10+1,1))-AVERAGE(OFFSET($H$3,0,0,'Données projet'!$E$10+1,1))</f>
        <v>382.67703499770795</v>
      </c>
      <c r="AO92" s="59">
        <f t="shared" si="90"/>
        <v>237.98926636458219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25.750677158640279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25.750677158640279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4.5474735088646412E-13</v>
      </c>
      <c r="O93" s="13">
        <f>N93*VLOOKUP('Données projet'!$B$9,Paramètres!$A$1:$I$89,3,0)*VLOOKUP('Données projet'!$B$9,Paramètres!$A$1:$I$89,5,0)</f>
        <v>2.7193891583010558E-13</v>
      </c>
      <c r="P93" s="13">
        <f t="shared" si="87"/>
        <v>3.6362267729089988E-12</v>
      </c>
      <c r="Q93" s="20">
        <f t="shared" si="54"/>
        <v>6.8067219078872727E-12</v>
      </c>
      <c r="R93" s="59">
        <f t="shared" si="55"/>
        <v>293.33333333334014</v>
      </c>
      <c r="S93" s="59">
        <f ca="1">AVERAGE(OFFSET($R$3,0,0,'Données projet'!$E$9+1,1))-AVERAGE(OFFSET($H$3,0,0,'Données projet'!$E$9+1,1))</f>
        <v>252.28378247570731</v>
      </c>
      <c r="T93" s="59">
        <f t="shared" si="88"/>
        <v>263.50418595307343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8.9469173796276316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3.7589077449959738E-8</v>
      </c>
      <c r="AC93" s="22">
        <f t="shared" si="57"/>
        <v>8.9469174172167083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>
        <f>VLOOKUP(A93,'Données projet'!$A$61:$I$81,2,0)</f>
        <v>380</v>
      </c>
      <c r="AG93" s="12">
        <f>VLOOKUP(A93,'Données projet'!$A$61:$I$81,9,0)</f>
        <v>6.6</v>
      </c>
      <c r="AH93" s="12">
        <f t="array" ref="AH93">INDEX(AG:AG,MIN(IF(ISNUMBER(AG93:AG289),ROW(AG93:AG289),"")))</f>
        <v>6.6</v>
      </c>
      <c r="AI93" s="13">
        <f>IF('Données projet'!$A$62&gt;35,AI92+AH93-AQ92,IF(A93&lt;'Données projet'!$A$62,$AF$205^A93,IF(A93='Données projet'!$A$62,'Données projet'!$B$62,AI92+AH93-AQ92)))</f>
        <v>380</v>
      </c>
      <c r="AJ93" s="13">
        <f>AI93*VLOOKUP('Données projet'!$B$10,Paramètres!$A$1:$I$89,3,0)*VLOOKUP('Données projet'!$B$10,Paramètres!$A$1:$I$89,5,0)</f>
        <v>320.11200000000002</v>
      </c>
      <c r="AK93" s="13">
        <f t="shared" si="89"/>
        <v>75.376656966346744</v>
      </c>
      <c r="AL93" s="20">
        <f t="shared" si="58"/>
        <v>688.80941088305383</v>
      </c>
      <c r="AM93" s="59">
        <f t="shared" si="59"/>
        <v>982.1427442163872</v>
      </c>
      <c r="AN93" s="59">
        <f ca="1">AVERAGE(OFFSET($AM$3,0,0,'Données projet'!$E$10+1,1))-AVERAGE(OFFSET($H$3,0,0,'Données projet'!$E$10+1,1))</f>
        <v>382.67703499770795</v>
      </c>
      <c r="AO93" s="59">
        <f t="shared" si="90"/>
        <v>237.98926636458219</v>
      </c>
      <c r="AP93" s="15">
        <f>IF(ISNA(VLOOKUP(A93,'Données projet'!$A$61:$I$81,3,0)),0,VLOOKUP(A93,'Données projet'!$A$61:$I$81,3,0))</f>
        <v>8</v>
      </c>
      <c r="AQ93" s="15">
        <f>IF(ISNA(VLOOKUP(A93,'Données projet'!$A$61:$I$81,4,0)),0,VLOOKUP(A93,'Données projet'!$A$61:$I$81,4,0))</f>
        <v>56</v>
      </c>
      <c r="AR93" s="16">
        <f>IF(ISNA(VLOOKUP(A93,'Données projet'!$A$61:$I$81,5,0)),0%,VLOOKUP(A93,'Données projet'!$A$61:$I$81,5,0)*VLOOKUP('Données projet'!$B$10,Paramètres!$A$1:$I$89,7,0))</f>
        <v>0.43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47.670179890984393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47.670179890984393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4.5474735088646412E-13</v>
      </c>
      <c r="O94" s="13">
        <f>N94*VLOOKUP('Données projet'!$B$9,Paramètres!$A$1:$I$89,3,0)*VLOOKUP('Données projet'!$B$9,Paramètres!$A$1:$I$89,5,0)</f>
        <v>2.7193891583010558E-13</v>
      </c>
      <c r="P94" s="13">
        <f t="shared" si="87"/>
        <v>3.6362267729089988E-12</v>
      </c>
      <c r="Q94" s="20">
        <f t="shared" si="54"/>
        <v>6.8067219078872727E-12</v>
      </c>
      <c r="R94" s="59">
        <f t="shared" si="55"/>
        <v>293.33333333334014</v>
      </c>
      <c r="S94" s="59">
        <f ca="1">AVERAGE(OFFSET($R$3,0,0,'Données projet'!$E$9+1,1))-AVERAGE(OFFSET($H$3,0,0,'Données projet'!$E$9+1,1))</f>
        <v>252.28378247570731</v>
      </c>
      <c r="T94" s="59">
        <f t="shared" si="88"/>
        <v>263.50418595307343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8.7714737868938926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2.6579491563412869E-8</v>
      </c>
      <c r="AC94" s="22">
        <f t="shared" si="57"/>
        <v>8.771473813473385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5.9</v>
      </c>
      <c r="AI94" s="13">
        <f>IF('Données projet'!$A$62&gt;35,AI93+AH94-AQ93,IF(A94&lt;'Données projet'!$A$62,$AF$205^A94,IF(A94='Données projet'!$A$62,'Données projet'!$B$62,AI93+AH94-AQ93)))</f>
        <v>329.9</v>
      </c>
      <c r="AJ94" s="13">
        <f>AI94*VLOOKUP('Données projet'!$B$10,Paramètres!$A$1:$I$89,3,0)*VLOOKUP('Données projet'!$B$10,Paramètres!$A$1:$I$89,5,0)</f>
        <v>277.90776</v>
      </c>
      <c r="AK94" s="13">
        <f t="shared" si="89"/>
        <v>66.524665602018615</v>
      </c>
      <c r="AL94" s="20">
        <f t="shared" si="58"/>
        <v>599.8864745901825</v>
      </c>
      <c r="AM94" s="59">
        <f t="shared" si="59"/>
        <v>893.21980792351587</v>
      </c>
      <c r="AN94" s="59">
        <f ca="1">AVERAGE(OFFSET($AM$3,0,0,'Données projet'!$E$10+1,1))-AVERAGE(OFFSET($H$3,0,0,'Données projet'!$E$10+1,1))</f>
        <v>382.67703499770795</v>
      </c>
      <c r="AO94" s="59">
        <f t="shared" si="90"/>
        <v>237.98926636458219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46.735396739260914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46.735396739260914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4.5474735088646412E-13</v>
      </c>
      <c r="O95" s="13">
        <f>N95*VLOOKUP('Données projet'!$B$9,Paramètres!$A$1:$I$89,3,0)*VLOOKUP('Données projet'!$B$9,Paramètres!$A$1:$I$89,5,0)</f>
        <v>2.7193891583010558E-13</v>
      </c>
      <c r="P95" s="13">
        <f t="shared" si="87"/>
        <v>3.6362267729089988E-12</v>
      </c>
      <c r="Q95" s="20">
        <f t="shared" si="54"/>
        <v>6.8067219078872727E-12</v>
      </c>
      <c r="R95" s="59">
        <f t="shared" si="55"/>
        <v>293.33333333334014</v>
      </c>
      <c r="S95" s="59">
        <f ca="1">AVERAGE(OFFSET($R$3,0,0,'Données projet'!$E$9+1,1))-AVERAGE(OFFSET($H$3,0,0,'Données projet'!$E$9+1,1))</f>
        <v>252.28378247570731</v>
      </c>
      <c r="T95" s="59">
        <f t="shared" si="88"/>
        <v>263.50418595307343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8.5994705360036381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1.8794538724979869E-8</v>
      </c>
      <c r="AC95" s="22">
        <f t="shared" si="57"/>
        <v>8.5994705547981773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5.9</v>
      </c>
      <c r="AI95" s="13">
        <f>IF('Données projet'!$A$62&gt;35,AI94+AH95-AQ94,IF(A95&lt;'Données projet'!$A$62,$AF$205^A95,IF(A95='Données projet'!$A$62,'Données projet'!$B$62,AI94+AH95-AQ94)))</f>
        <v>335.79999999999995</v>
      </c>
      <c r="AJ95" s="13">
        <f>AI95*VLOOKUP('Données projet'!$B$10,Paramètres!$A$1:$I$89,3,0)*VLOOKUP('Données projet'!$B$10,Paramètres!$A$1:$I$89,5,0)</f>
        <v>282.87792000000002</v>
      </c>
      <c r="AK95" s="13">
        <f t="shared" si="89"/>
        <v>67.574833676246314</v>
      </c>
      <c r="AL95" s="20">
        <f t="shared" si="58"/>
        <v>610.37187931946244</v>
      </c>
      <c r="AM95" s="59">
        <f t="shared" si="59"/>
        <v>903.70521265279581</v>
      </c>
      <c r="AN95" s="59">
        <f ca="1">AVERAGE(OFFSET($AM$3,0,0,'Données projet'!$E$10+1,1))-AVERAGE(OFFSET($H$3,0,0,'Données projet'!$E$10+1,1))</f>
        <v>382.67703499770795</v>
      </c>
      <c r="AO95" s="59">
        <f t="shared" si="90"/>
        <v>237.98926636458219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45.818944114981306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45.818944114981306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4.5474735088646412E-13</v>
      </c>
      <c r="O96" s="13">
        <f>N96*VLOOKUP('Données projet'!$B$9,Paramètres!$A$1:$I$89,3,0)*VLOOKUP('Données projet'!$B$9,Paramètres!$A$1:$I$89,5,0)</f>
        <v>2.7193891583010558E-13</v>
      </c>
      <c r="P96" s="13">
        <f t="shared" si="87"/>
        <v>3.6362267729089988E-12</v>
      </c>
      <c r="Q96" s="20">
        <f t="shared" si="54"/>
        <v>6.8067219078872727E-12</v>
      </c>
      <c r="R96" s="59">
        <f t="shared" si="55"/>
        <v>293.33333333334014</v>
      </c>
      <c r="S96" s="59">
        <f ca="1">AVERAGE(OFFSET($R$3,0,0,'Données projet'!$E$9+1,1))-AVERAGE(OFFSET($H$3,0,0,'Données projet'!$E$9+1,1))</f>
        <v>252.28378247570731</v>
      </c>
      <c r="T96" s="59">
        <f t="shared" si="88"/>
        <v>263.50418595307343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8.4308401639517179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1.3289745781706434E-8</v>
      </c>
      <c r="AC96" s="22">
        <f t="shared" si="57"/>
        <v>8.4308401772414641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5.9</v>
      </c>
      <c r="AI96" s="13">
        <f>IF('Données projet'!$A$62&gt;35,AI95+AH96-AQ95,IF(A96&lt;'Données projet'!$A$62,$AF$205^A96,IF(A96='Données projet'!$A$62,'Données projet'!$B$62,AI95+AH96-AQ95)))</f>
        <v>341.69999999999993</v>
      </c>
      <c r="AJ96" s="13">
        <f>AI96*VLOOKUP('Données projet'!$B$10,Paramètres!$A$1:$I$89,3,0)*VLOOKUP('Données projet'!$B$10,Paramètres!$A$1:$I$89,5,0)</f>
        <v>287.84807999999998</v>
      </c>
      <c r="AK96" s="13">
        <f t="shared" si="89"/>
        <v>68.62285608154238</v>
      </c>
      <c r="AL96" s="20">
        <f t="shared" si="58"/>
        <v>620.85354700868629</v>
      </c>
      <c r="AM96" s="59">
        <f t="shared" si="59"/>
        <v>914.18688034201955</v>
      </c>
      <c r="AN96" s="59">
        <f ca="1">AVERAGE(OFFSET($AM$3,0,0,'Données projet'!$E$10+1,1))-AVERAGE(OFFSET($H$3,0,0,'Données projet'!$E$10+1,1))</f>
        <v>382.67703499770795</v>
      </c>
      <c r="AO96" s="59">
        <f t="shared" si="90"/>
        <v>237.98926636458219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44.920462567682918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44.920462567682918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4.5474735088646412E-13</v>
      </c>
      <c r="O97" s="13">
        <f>N97*VLOOKUP('Données projet'!$B$9,Paramètres!$A$1:$I$89,3,0)*VLOOKUP('Données projet'!$B$9,Paramètres!$A$1:$I$89,5,0)</f>
        <v>2.7193891583010558E-13</v>
      </c>
      <c r="P97" s="13">
        <f t="shared" si="87"/>
        <v>3.6362267729089988E-12</v>
      </c>
      <c r="Q97" s="20">
        <f t="shared" si="54"/>
        <v>6.8067219078872727E-12</v>
      </c>
      <c r="R97" s="59">
        <f t="shared" si="55"/>
        <v>293.33333333334014</v>
      </c>
      <c r="S97" s="59">
        <f ca="1">AVERAGE(OFFSET($R$3,0,0,'Données projet'!$E$9+1,1))-AVERAGE(OFFSET($H$3,0,0,'Données projet'!$E$9+1,1))</f>
        <v>252.28378247570731</v>
      </c>
      <c r="T97" s="59">
        <f t="shared" si="88"/>
        <v>263.50418595307343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8.2655165306413636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9.3972693624899346E-9</v>
      </c>
      <c r="AC97" s="22">
        <f t="shared" si="57"/>
        <v>8.2655165400386323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5.9</v>
      </c>
      <c r="AI97" s="13">
        <f>IF('Données projet'!$A$62&gt;35,AI96+AH97-AQ96,IF(A97&lt;'Données projet'!$A$62,$AF$205^A97,IF(A97='Données projet'!$A$62,'Données projet'!$B$62,AI96+AH97-AQ96)))</f>
        <v>347.59999999999991</v>
      </c>
      <c r="AJ97" s="13">
        <f>AI97*VLOOKUP('Données projet'!$B$10,Paramètres!$A$1:$I$89,3,0)*VLOOKUP('Données projet'!$B$10,Paramètres!$A$1:$I$89,5,0)</f>
        <v>292.81823999999995</v>
      </c>
      <c r="AK97" s="13">
        <f t="shared" si="89"/>
        <v>69.668774141370633</v>
      </c>
      <c r="AL97" s="20">
        <f t="shared" si="58"/>
        <v>631.33154962955371</v>
      </c>
      <c r="AM97" s="59">
        <f t="shared" si="59"/>
        <v>924.66488296288708</v>
      </c>
      <c r="AN97" s="59">
        <f ca="1">AVERAGE(OFFSET($AM$3,0,0,'Données projet'!$E$10+1,1))-AVERAGE(OFFSET($H$3,0,0,'Données projet'!$E$10+1,1))</f>
        <v>382.67703499770795</v>
      </c>
      <c r="AO97" s="59">
        <f t="shared" si="90"/>
        <v>237.98926636458219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44.03959969550742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44.03959969550742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4.5474735088646412E-13</v>
      </c>
      <c r="O98" s="13">
        <f>N98*VLOOKUP('Données projet'!$B$9,Paramètres!$A$1:$I$89,3,0)*VLOOKUP('Données projet'!$B$9,Paramètres!$A$1:$I$89,5,0)</f>
        <v>2.7193891583010558E-13</v>
      </c>
      <c r="P98" s="13">
        <f t="shared" si="87"/>
        <v>3.6362267729089988E-12</v>
      </c>
      <c r="Q98" s="20">
        <f t="shared" si="54"/>
        <v>6.8067219078872727E-12</v>
      </c>
      <c r="R98" s="59">
        <f t="shared" si="55"/>
        <v>293.33333333334014</v>
      </c>
      <c r="S98" s="59">
        <f ca="1">AVERAGE(OFFSET($R$3,0,0,'Données projet'!$E$9+1,1))-AVERAGE(OFFSET($H$3,0,0,'Données projet'!$E$9+1,1))</f>
        <v>252.28378247570731</v>
      </c>
      <c r="T98" s="59">
        <f t="shared" si="88"/>
        <v>263.50418595307343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8.1034347929427675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6.6448728908532172E-9</v>
      </c>
      <c r="AC98" s="22">
        <f t="shared" si="57"/>
        <v>8.1034347995876406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5.9</v>
      </c>
      <c r="AI98" s="13">
        <f>IF('Données projet'!$A$62&gt;35,AI97+AH98-AQ97,IF(A98&lt;'Données projet'!$A$62,$AF$205^A98,IF(A98='Données projet'!$A$62,'Données projet'!$B$62,AI97+AH98-AQ97)))</f>
        <v>353.49999999999989</v>
      </c>
      <c r="AJ98" s="13">
        <f>AI98*VLOOKUP('Données projet'!$B$10,Paramètres!$A$1:$I$89,3,0)*VLOOKUP('Données projet'!$B$10,Paramètres!$A$1:$I$89,5,0)</f>
        <v>297.78839999999997</v>
      </c>
      <c r="AK98" s="13">
        <f t="shared" si="89"/>
        <v>70.71262769599339</v>
      </c>
      <c r="AL98" s="20">
        <f t="shared" si="58"/>
        <v>641.80595657052174</v>
      </c>
      <c r="AM98" s="59">
        <f t="shared" si="59"/>
        <v>935.13928990385511</v>
      </c>
      <c r="AN98" s="59">
        <f ca="1">AVERAGE(OFFSET($AM$3,0,0,'Données projet'!$E$10+1,1))-AVERAGE(OFFSET($H$3,0,0,'Données projet'!$E$10+1,1))</f>
        <v>382.67703499770795</v>
      </c>
      <c r="AO98" s="59">
        <f t="shared" si="90"/>
        <v>237.98926636458219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43.176010006981983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43.176010006981983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4.5474735088646412E-13</v>
      </c>
      <c r="O99" s="13">
        <f>N99*VLOOKUP('Données projet'!$B$9,Paramètres!$A$1:$I$89,3,0)*VLOOKUP('Données projet'!$B$9,Paramètres!$A$1:$I$89,5,0)</f>
        <v>2.7193891583010558E-13</v>
      </c>
      <c r="P99" s="13">
        <f t="shared" si="87"/>
        <v>3.6362267729089988E-12</v>
      </c>
      <c r="Q99" s="20">
        <f t="shared" ref="Q99:Q130" si="107">(O99+P99)*0.475*44/12</f>
        <v>6.8067219078872727E-12</v>
      </c>
      <c r="R99" s="59">
        <f t="shared" si="55"/>
        <v>293.33333333334014</v>
      </c>
      <c r="S99" s="59">
        <f ca="1">AVERAGE(OFFSET($R$3,0,0,'Données projet'!$E$9+1,1))-AVERAGE(OFFSET($H$3,0,0,'Données projet'!$E$9+1,1))</f>
        <v>252.28378247570731</v>
      </c>
      <c r="T99" s="59">
        <f t="shared" si="88"/>
        <v>263.50418595307343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7.9445313792603418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4.6986346812449673E-9</v>
      </c>
      <c r="AC99" s="22">
        <f t="shared" si="57"/>
        <v>7.9445313839589762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5.9</v>
      </c>
      <c r="AI99" s="13">
        <f>IF('Données projet'!$A$62&gt;35,AI98+AH99-AQ98,IF(A99&lt;'Données projet'!$A$62,$AF$205^A99,IF(A99='Données projet'!$A$62,'Données projet'!$B$62,AI98+AH99-AQ98)))</f>
        <v>359.39999999999986</v>
      </c>
      <c r="AJ99" s="13">
        <f>AI99*VLOOKUP('Données projet'!$B$10,Paramètres!$A$1:$I$89,3,0)*VLOOKUP('Données projet'!$B$10,Paramètres!$A$1:$I$89,5,0)</f>
        <v>302.75855999999993</v>
      </c>
      <c r="AK99" s="13">
        <f t="shared" si="89"/>
        <v>71.75445517955734</v>
      </c>
      <c r="AL99" s="20">
        <f t="shared" si="58"/>
        <v>652.27683477106223</v>
      </c>
      <c r="AM99" s="59">
        <f t="shared" si="59"/>
        <v>945.6101681043956</v>
      </c>
      <c r="AN99" s="59">
        <f ca="1">AVERAGE(OFFSET($AM$3,0,0,'Données projet'!$E$10+1,1))-AVERAGE(OFFSET($H$3,0,0,'Données projet'!$E$10+1,1))</f>
        <v>382.67703499770795</v>
      </c>
      <c r="AO99" s="59">
        <f t="shared" si="90"/>
        <v>237.98926636458219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42.32935478551083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42.32935478551083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4.5474735088646412E-13</v>
      </c>
      <c r="O100" s="13">
        <f>N100*VLOOKUP('Données projet'!$B$9,Paramètres!$A$1:$I$89,3,0)*VLOOKUP('Données projet'!$B$9,Paramètres!$A$1:$I$89,5,0)</f>
        <v>2.7193891583010558E-13</v>
      </c>
      <c r="P100" s="13">
        <f t="shared" si="87"/>
        <v>3.6362267729089988E-12</v>
      </c>
      <c r="Q100" s="20">
        <f t="shared" si="107"/>
        <v>6.8067219078872727E-12</v>
      </c>
      <c r="R100" s="59">
        <f t="shared" si="55"/>
        <v>293.33333333334014</v>
      </c>
      <c r="S100" s="59">
        <f ca="1">AVERAGE(OFFSET($R$3,0,0,'Données projet'!$E$9+1,1))-AVERAGE(OFFSET($H$3,0,0,'Données projet'!$E$9+1,1))</f>
        <v>252.28378247570731</v>
      </c>
      <c r="T100" s="59">
        <f t="shared" si="88"/>
        <v>263.50418595307343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7.7887439645987158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3.3224364454266086E-9</v>
      </c>
      <c r="AC100" s="22">
        <f t="shared" si="57"/>
        <v>7.7887439679211523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5.9</v>
      </c>
      <c r="AI100" s="13">
        <f>IF('Données projet'!$A$62&gt;35,AI99+AH100-AQ99,IF(A100&lt;'Données projet'!$A$62,$AF$205^A100,IF(A100='Données projet'!$A$62,'Données projet'!$B$62,AI99+AH100-AQ99)))</f>
        <v>365.29999999999984</v>
      </c>
      <c r="AJ100" s="13">
        <f>AI100*VLOOKUP('Données projet'!$B$10,Paramètres!$A$1:$I$89,3,0)*VLOOKUP('Données projet'!$B$10,Paramètres!$A$1:$I$89,5,0)</f>
        <v>307.7287199999999</v>
      </c>
      <c r="AK100" s="13">
        <f t="shared" si="89"/>
        <v>72.794293691974175</v>
      </c>
      <c r="AL100" s="20">
        <f t="shared" si="58"/>
        <v>662.74424884685482</v>
      </c>
      <c r="AM100" s="59">
        <f t="shared" si="59"/>
        <v>956.07758218018807</v>
      </c>
      <c r="AN100" s="59">
        <f ca="1">AVERAGE(OFFSET($AM$3,0,0,'Données projet'!$E$10+1,1))-AVERAGE(OFFSET($H$3,0,0,'Données projet'!$E$10+1,1))</f>
        <v>382.67703499770795</v>
      </c>
      <c r="AO100" s="59">
        <f t="shared" si="90"/>
        <v>237.98926636458219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41.499301956524029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41.499301956524029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4.5474735088646412E-13</v>
      </c>
      <c r="O101" s="13">
        <f>N101*VLOOKUP('Données projet'!$B$9,Paramètres!$A$1:$I$89,3,0)*VLOOKUP('Données projet'!$B$9,Paramètres!$A$1:$I$89,5,0)</f>
        <v>2.7193891583010558E-13</v>
      </c>
      <c r="P101" s="13">
        <f t="shared" si="87"/>
        <v>3.6362267729089988E-12</v>
      </c>
      <c r="Q101" s="20">
        <f t="shared" si="107"/>
        <v>6.8067219078872727E-12</v>
      </c>
      <c r="R101" s="59">
        <f t="shared" si="55"/>
        <v>293.33333333334014</v>
      </c>
      <c r="S101" s="59">
        <f ca="1">AVERAGE(OFFSET($R$3,0,0,'Données projet'!$E$9+1,1))-AVERAGE(OFFSET($H$3,0,0,'Données projet'!$E$9+1,1))</f>
        <v>252.28378247570731</v>
      </c>
      <c r="T101" s="59">
        <f t="shared" si="88"/>
        <v>263.50418595307343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7.6360114461176645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2.3493173406224837E-9</v>
      </c>
      <c r="AC101" s="22">
        <f t="shared" si="57"/>
        <v>7.6360114484669817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5.9</v>
      </c>
      <c r="AI101" s="13">
        <f>IF('Données projet'!$A$62&gt;35,AI100+AH101-AQ100,IF(A101&lt;'Données projet'!$A$62,$AF$205^A101,IF(A101='Données projet'!$A$62,'Données projet'!$B$62,AI100+AH101-AQ100)))</f>
        <v>371.19999999999982</v>
      </c>
      <c r="AJ101" s="13">
        <f>AI101*VLOOKUP('Données projet'!$B$10,Paramètres!$A$1:$I$89,3,0)*VLOOKUP('Données projet'!$B$10,Paramètres!$A$1:$I$89,5,0)</f>
        <v>312.69887999999992</v>
      </c>
      <c r="AK101" s="13">
        <f t="shared" si="89"/>
        <v>73.832179066025233</v>
      </c>
      <c r="AL101" s="20">
        <f t="shared" si="58"/>
        <v>673.20826120666038</v>
      </c>
      <c r="AM101" s="59">
        <f t="shared" si="59"/>
        <v>966.54159453999364</v>
      </c>
      <c r="AN101" s="59">
        <f ca="1">AVERAGE(OFFSET($AM$3,0,0,'Données projet'!$E$10+1,1))-AVERAGE(OFFSET($H$3,0,0,'Données projet'!$E$10+1,1))</f>
        <v>382.67703499770795</v>
      </c>
      <c r="AO101" s="59">
        <f t="shared" si="90"/>
        <v>237.98926636458219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40.685525957231427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40.685525957231427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4.5474735088646412E-13</v>
      </c>
      <c r="O102" s="13">
        <f>N102*VLOOKUP('Données projet'!$B$9,Paramètres!$A$1:$I$89,3,0)*VLOOKUP('Données projet'!$B$9,Paramètres!$A$1:$I$89,5,0)</f>
        <v>2.7193891583010558E-13</v>
      </c>
      <c r="P102" s="13">
        <f t="shared" si="87"/>
        <v>3.6362267729089988E-12</v>
      </c>
      <c r="Q102" s="20">
        <f t="shared" si="107"/>
        <v>6.8067219078872727E-12</v>
      </c>
      <c r="R102" s="59">
        <f t="shared" si="55"/>
        <v>293.33333333334014</v>
      </c>
      <c r="S102" s="59">
        <f ca="1">AVERAGE(OFFSET($R$3,0,0,'Données projet'!$E$9+1,1))-AVERAGE(OFFSET($H$3,0,0,'Données projet'!$E$9+1,1))</f>
        <v>252.28378247570731</v>
      </c>
      <c r="T102" s="59">
        <f t="shared" si="88"/>
        <v>263.50418595307343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7.486273919166389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1.6612182227133043E-9</v>
      </c>
      <c r="AC102" s="22">
        <f t="shared" si="57"/>
        <v>7.4862739208276068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5.9</v>
      </c>
      <c r="AI102" s="13">
        <f>IF('Données projet'!$A$62&gt;35,AI101+AH102-AQ101,IF(A102&lt;'Données projet'!$A$62,$AF$205^A102,IF(A102='Données projet'!$A$62,'Données projet'!$B$62,AI101+AH102-AQ101)))</f>
        <v>377.0999999999998</v>
      </c>
      <c r="AJ102" s="13">
        <f>AI102*VLOOKUP('Données projet'!$B$10,Paramètres!$A$1:$I$89,3,0)*VLOOKUP('Données projet'!$B$10,Paramètres!$A$1:$I$89,5,0)</f>
        <v>317.66903999999988</v>
      </c>
      <c r="AK102" s="13">
        <f t="shared" si="89"/>
        <v>74.868145930079521</v>
      </c>
      <c r="AL102" s="20">
        <f t="shared" si="58"/>
        <v>683.66893216155495</v>
      </c>
      <c r="AM102" s="59">
        <f t="shared" si="59"/>
        <v>977.00226549488821</v>
      </c>
      <c r="AN102" s="59">
        <f ca="1">AVERAGE(OFFSET($AM$3,0,0,'Données projet'!$E$10+1,1))-AVERAGE(OFFSET($H$3,0,0,'Données projet'!$E$10+1,1))</f>
        <v>382.67703499770795</v>
      </c>
      <c r="AO102" s="59">
        <f t="shared" si="90"/>
        <v>237.98926636458219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39.887707608930604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39.887707608930604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4.5474735088646412E-13</v>
      </c>
      <c r="O103" s="13">
        <f>N103*VLOOKUP('Données projet'!$B$9,Paramètres!$A$1:$I$89,3,0)*VLOOKUP('Données projet'!$B$9,Paramètres!$A$1:$I$89,5,0)</f>
        <v>2.7193891583010558E-13</v>
      </c>
      <c r="P103" s="13">
        <f t="shared" si="87"/>
        <v>3.6362267729089988E-12</v>
      </c>
      <c r="Q103" s="20">
        <f t="shared" si="107"/>
        <v>6.8067219078872727E-12</v>
      </c>
      <c r="R103" s="59">
        <f t="shared" si="55"/>
        <v>293.33333333334014</v>
      </c>
      <c r="S103" s="59">
        <f ca="1">AVERAGE(OFFSET($R$3,0,0,'Données projet'!$E$9+1,1))-AVERAGE(OFFSET($H$3,0,0,'Données projet'!$E$9+1,1))</f>
        <v>252.28378247570731</v>
      </c>
      <c r="T103" s="59">
        <f t="shared" si="88"/>
        <v>263.50418595307343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7.3394726537877544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1.1746586703112418E-9</v>
      </c>
      <c r="AC103" s="22">
        <f t="shared" si="57"/>
        <v>7.339472654962413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>
        <f>VLOOKUP(A103,'Données projet'!$A$61:$I$81,2,0)</f>
        <v>383</v>
      </c>
      <c r="AG103" s="12">
        <f>VLOOKUP(A103,'Données projet'!$A$61:$I$81,9,0)</f>
        <v>5.9</v>
      </c>
      <c r="AH103" s="12">
        <f t="array" ref="AH103">INDEX(AG:AG,MIN(IF(ISNUMBER(AG103:AG299),ROW(AG103:AG299),"")))</f>
        <v>5.9</v>
      </c>
      <c r="AI103" s="13">
        <f>IF('Données projet'!$A$62&gt;35,AI102+AH103-AQ102,IF(A103&lt;'Données projet'!$A$62,$AF$205^A103,IF(A103='Données projet'!$A$62,'Données projet'!$B$62,AI102+AH103-AQ102)))</f>
        <v>382.99999999999977</v>
      </c>
      <c r="AJ103" s="13">
        <f>AI103*VLOOKUP('Données projet'!$B$10,Paramètres!$A$1:$I$89,3,0)*VLOOKUP('Données projet'!$B$10,Paramètres!$A$1:$I$89,5,0)</f>
        <v>322.63919999999985</v>
      </c>
      <c r="AK103" s="13">
        <f t="shared" si="89"/>
        <v>75.902227766774701</v>
      </c>
      <c r="AL103" s="20">
        <f t="shared" si="58"/>
        <v>694.12632002713235</v>
      </c>
      <c r="AM103" s="59">
        <f t="shared" si="59"/>
        <v>987.45965336046561</v>
      </c>
      <c r="AN103" s="59">
        <f ca="1">AVERAGE(OFFSET($AM$3,0,0,'Données projet'!$E$10+1,1))-AVERAGE(OFFSET($H$3,0,0,'Données projet'!$E$10+1,1))</f>
        <v>382.67703499770795</v>
      </c>
      <c r="AO103" s="59">
        <f t="shared" si="90"/>
        <v>237.98926636458219</v>
      </c>
      <c r="AP103" s="15">
        <f>IF(ISNA(VLOOKUP(A103,'Données projet'!$A$61:$I$81,3,0)),0,VLOOKUP(A103,'Données projet'!$A$61:$I$81,3,0))</f>
        <v>9</v>
      </c>
      <c r="AQ103" s="15">
        <f>IF(ISNA(VLOOKUP(A103,'Données projet'!$A$61:$I$81,4,0)),0,VLOOKUP(A103,'Données projet'!$A$61:$I$81,4,0))</f>
        <v>55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39.105533991818817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39.105533991818817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4.5474735088646412E-13</v>
      </c>
      <c r="O104" s="13">
        <f>N104*VLOOKUP('Données projet'!$B$9,Paramètres!$A$1:$I$89,3,0)*VLOOKUP('Données projet'!$B$9,Paramètres!$A$1:$I$89,5,0)</f>
        <v>2.7193891583010558E-13</v>
      </c>
      <c r="P104" s="13">
        <f t="shared" si="87"/>
        <v>3.6362267729089988E-12</v>
      </c>
      <c r="Q104" s="20">
        <f t="shared" si="107"/>
        <v>6.8067219078872727E-12</v>
      </c>
      <c r="R104" s="59">
        <f t="shared" si="55"/>
        <v>293.33333333334014</v>
      </c>
      <c r="S104" s="59">
        <f ca="1">AVERAGE(OFFSET($R$3,0,0,'Données projet'!$E$9+1,1))-AVERAGE(OFFSET($H$3,0,0,'Données projet'!$E$9+1,1))</f>
        <v>252.28378247570731</v>
      </c>
      <c r="T104" s="59">
        <f t="shared" si="88"/>
        <v>263.50418595307343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7.1955500716832645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8.3060911135665215E-10</v>
      </c>
      <c r="AC104" s="22">
        <f t="shared" si="57"/>
        <v>7.1955500725138739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5.2</v>
      </c>
      <c r="AI104" s="13">
        <f>IF('Données projet'!$A$62&gt;35,AI103+AH104-AQ103,IF(A104&lt;'Données projet'!$A$62,$AF$205^A104,IF(A104='Données projet'!$A$62,'Données projet'!$B$62,AI103+AH104-AQ103)))</f>
        <v>333.19999999999976</v>
      </c>
      <c r="AJ104" s="13">
        <f>AI104*VLOOKUP('Données projet'!$B$10,Paramètres!$A$1:$I$89,3,0)*VLOOKUP('Données projet'!$B$10,Paramètres!$A$1:$I$89,5,0)</f>
        <v>280.68767999999983</v>
      </c>
      <c r="AK104" s="13">
        <f t="shared" si="89"/>
        <v>67.11231467966806</v>
      </c>
      <c r="AL104" s="20">
        <f t="shared" si="58"/>
        <v>605.75165740042155</v>
      </c>
      <c r="AM104" s="59">
        <f t="shared" si="59"/>
        <v>899.08499073375492</v>
      </c>
      <c r="AN104" s="59">
        <f ca="1">AVERAGE(OFFSET($AM$3,0,0,'Données projet'!$E$10+1,1))-AVERAGE(OFFSET($H$3,0,0,'Données projet'!$E$10+1,1))</f>
        <v>382.67703499770795</v>
      </c>
      <c r="AO104" s="59">
        <f t="shared" si="90"/>
        <v>237.98926636458219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38.338698322259795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38.338698322259795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4.5474735088646412E-13</v>
      </c>
      <c r="O105" s="13">
        <f>N105*VLOOKUP('Données projet'!$B$9,Paramètres!$A$1:$I$89,3,0)*VLOOKUP('Données projet'!$B$9,Paramètres!$A$1:$I$89,5,0)</f>
        <v>2.7193891583010558E-13</v>
      </c>
      <c r="P105" s="13">
        <f t="shared" si="87"/>
        <v>3.6362267729089988E-12</v>
      </c>
      <c r="Q105" s="20">
        <f t="shared" si="107"/>
        <v>6.8067219078872727E-12</v>
      </c>
      <c r="R105" s="59">
        <f t="shared" si="55"/>
        <v>293.33333333334014</v>
      </c>
      <c r="S105" s="59">
        <f ca="1">AVERAGE(OFFSET($R$3,0,0,'Données projet'!$E$9+1,1))-AVERAGE(OFFSET($H$3,0,0,'Données projet'!$E$9+1,1))</f>
        <v>252.28378247570731</v>
      </c>
      <c r="T105" s="59">
        <f t="shared" si="88"/>
        <v>263.50418595307343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7.0544497236297365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5.8732933515562091E-10</v>
      </c>
      <c r="AC105" s="22">
        <f t="shared" si="57"/>
        <v>7.0544497242170658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5.2</v>
      </c>
      <c r="AI105" s="13">
        <f>IF('Données projet'!$A$62&gt;35,AI104+AH105-AQ104,IF(A105&lt;'Données projet'!$A$62,$AF$205^A105,IF(A105='Données projet'!$A$62,'Données projet'!$B$62,AI104+AH105-AQ104)))</f>
        <v>338.39999999999975</v>
      </c>
      <c r="AJ105" s="13">
        <f>AI105*VLOOKUP('Données projet'!$B$10,Paramètres!$A$1:$I$89,3,0)*VLOOKUP('Données projet'!$B$10,Paramètres!$A$1:$I$89,5,0)</f>
        <v>285.06815999999981</v>
      </c>
      <c r="AK105" s="13">
        <f t="shared" si="89"/>
        <v>68.036936010615804</v>
      </c>
      <c r="AL105" s="20">
        <f t="shared" si="58"/>
        <v>614.99137555182222</v>
      </c>
      <c r="AM105" s="59">
        <f t="shared" si="59"/>
        <v>908.32470888515559</v>
      </c>
      <c r="AN105" s="59">
        <f ca="1">AVERAGE(OFFSET($AM$3,0,0,'Données projet'!$E$10+1,1))-AVERAGE(OFFSET($H$3,0,0,'Données projet'!$E$10+1,1))</f>
        <v>382.67703499770795</v>
      </c>
      <c r="AO105" s="59">
        <f t="shared" si="90"/>
        <v>237.98926636458219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37.586899832457249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37.586899832457249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4.5474735088646412E-13</v>
      </c>
      <c r="O106" s="13">
        <f>N106*VLOOKUP('Données projet'!$B$9,Paramètres!$A$1:$I$89,3,0)*VLOOKUP('Données projet'!$B$9,Paramètres!$A$1:$I$89,5,0)</f>
        <v>2.7193891583010558E-13</v>
      </c>
      <c r="P106" s="13">
        <f t="shared" si="87"/>
        <v>3.6362267729089988E-12</v>
      </c>
      <c r="Q106" s="20">
        <f t="shared" si="107"/>
        <v>6.8067219078872727E-12</v>
      </c>
      <c r="R106" s="59">
        <f t="shared" si="55"/>
        <v>293.33333333334014</v>
      </c>
      <c r="S106" s="59">
        <f ca="1">AVERAGE(OFFSET($R$3,0,0,'Données projet'!$E$9+1,1))-AVERAGE(OFFSET($H$3,0,0,'Données projet'!$E$9+1,1))</f>
        <v>252.28378247570731</v>
      </c>
      <c r="T106" s="59">
        <f t="shared" si="88"/>
        <v>263.50418595307343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6.9161162673388237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4.1530455567832608E-10</v>
      </c>
      <c r="AC106" s="22">
        <f t="shared" si="57"/>
        <v>6.9161162677541279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5.2</v>
      </c>
      <c r="AI106" s="13">
        <f>IF('Données projet'!$A$62&gt;35,AI105+AH106-AQ105,IF(A106&lt;'Données projet'!$A$62,$AF$205^A106,IF(A106='Données projet'!$A$62,'Données projet'!$B$62,AI105+AH106-AQ105)))</f>
        <v>343.59999999999974</v>
      </c>
      <c r="AJ106" s="13">
        <f>AI106*VLOOKUP('Données projet'!$B$10,Paramètres!$A$1:$I$89,3,0)*VLOOKUP('Données projet'!$B$10,Paramètres!$A$1:$I$89,5,0)</f>
        <v>289.44863999999978</v>
      </c>
      <c r="AK106" s="13">
        <f t="shared" si="89"/>
        <v>68.959904924746269</v>
      </c>
      <c r="AL106" s="20">
        <f t="shared" si="58"/>
        <v>624.22821574393265</v>
      </c>
      <c r="AM106" s="59">
        <f t="shared" si="59"/>
        <v>917.56154907726591</v>
      </c>
      <c r="AN106" s="59">
        <f ca="1">AVERAGE(OFFSET($AM$3,0,0,'Données projet'!$E$10+1,1))-AVERAGE(OFFSET($H$3,0,0,'Données projet'!$E$10+1,1))</f>
        <v>382.67703499770795</v>
      </c>
      <c r="AO106" s="59">
        <f t="shared" si="90"/>
        <v>237.98926636458219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36.849843652487934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36.849843652487934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4.5474735088646412E-13</v>
      </c>
      <c r="O107" s="13">
        <f>N107*VLOOKUP('Données projet'!$B$9,Paramètres!$A$1:$I$89,3,0)*VLOOKUP('Données projet'!$B$9,Paramètres!$A$1:$I$89,5,0)</f>
        <v>2.7193891583010558E-13</v>
      </c>
      <c r="P107" s="13">
        <f t="shared" si="87"/>
        <v>3.6362267729089988E-12</v>
      </c>
      <c r="Q107" s="20">
        <f t="shared" si="107"/>
        <v>6.8067219078872727E-12</v>
      </c>
      <c r="R107" s="59">
        <f t="shared" si="55"/>
        <v>293.33333333334014</v>
      </c>
      <c r="S107" s="59">
        <f ca="1">AVERAGE(OFFSET($R$3,0,0,'Données projet'!$E$9+1,1))-AVERAGE(OFFSET($H$3,0,0,'Données projet'!$E$9+1,1))</f>
        <v>252.28378247570731</v>
      </c>
      <c r="T107" s="59">
        <f t="shared" si="88"/>
        <v>263.50418595307343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6.7804954457506987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2.9366466757781046E-10</v>
      </c>
      <c r="AC107" s="22">
        <f t="shared" si="57"/>
        <v>6.7804954460443634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5.2</v>
      </c>
      <c r="AI107" s="13">
        <f>IF('Données projet'!$A$62&gt;35,AI106+AH107-AQ106,IF(A107&lt;'Données projet'!$A$62,$AF$205^A107,IF(A107='Données projet'!$A$62,'Données projet'!$B$62,AI106+AH107-AQ106)))</f>
        <v>348.79999999999973</v>
      </c>
      <c r="AJ107" s="13">
        <f>AI107*VLOOKUP('Données projet'!$B$10,Paramètres!$A$1:$I$89,3,0)*VLOOKUP('Données projet'!$B$10,Paramètres!$A$1:$I$89,5,0)</f>
        <v>293.82911999999982</v>
      </c>
      <c r="AK107" s="13">
        <f t="shared" si="89"/>
        <v>69.881249317970031</v>
      </c>
      <c r="AL107" s="20">
        <f t="shared" si="58"/>
        <v>633.4622265621307</v>
      </c>
      <c r="AM107" s="59">
        <f t="shared" si="59"/>
        <v>926.79555989546407</v>
      </c>
      <c r="AN107" s="59">
        <f ca="1">AVERAGE(OFFSET($AM$3,0,0,'Données projet'!$E$10+1,1))-AVERAGE(OFFSET($H$3,0,0,'Données projet'!$E$10+1,1))</f>
        <v>382.67703499770795</v>
      </c>
      <c r="AO107" s="59">
        <f t="shared" si="90"/>
        <v>237.98926636458219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36.127240694647938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36.127240694647938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4.5474735088646412E-13</v>
      </c>
      <c r="O108" s="13">
        <f>N108*VLOOKUP('Données projet'!$B$9,Paramètres!$A$1:$I$89,3,0)*VLOOKUP('Données projet'!$B$9,Paramètres!$A$1:$I$89,5,0)</f>
        <v>2.7193891583010558E-13</v>
      </c>
      <c r="P108" s="13">
        <f t="shared" si="87"/>
        <v>3.6362267729089988E-12</v>
      </c>
      <c r="Q108" s="20">
        <f t="shared" si="107"/>
        <v>6.8067219078872727E-12</v>
      </c>
      <c r="R108" s="59">
        <f t="shared" si="55"/>
        <v>293.33333333334014</v>
      </c>
      <c r="S108" s="59">
        <f ca="1">AVERAGE(OFFSET($R$3,0,0,'Données projet'!$E$9+1,1))-AVERAGE(OFFSET($H$3,0,0,'Données projet'!$E$9+1,1))</f>
        <v>252.28378247570731</v>
      </c>
      <c r="T108" s="59">
        <f t="shared" si="88"/>
        <v>263.50418595307343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6.6475340657533835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2.0765227783916304E-10</v>
      </c>
      <c r="AC108" s="22">
        <f t="shared" si="57"/>
        <v>6.647534065961036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5.2</v>
      </c>
      <c r="AI108" s="13">
        <f>IF('Données projet'!$A$62&gt;35,AI107+AH108-AQ107,IF(A108&lt;'Données projet'!$A$62,$AF$205^A108,IF(A108='Données projet'!$A$62,'Données projet'!$B$62,AI107+AH108-AQ107)))</f>
        <v>353.99999999999972</v>
      </c>
      <c r="AJ108" s="13">
        <f>AI108*VLOOKUP('Données projet'!$B$10,Paramètres!$A$1:$I$89,3,0)*VLOOKUP('Données projet'!$B$10,Paramètres!$A$1:$I$89,5,0)</f>
        <v>298.2095999999998</v>
      </c>
      <c r="AK108" s="13">
        <f t="shared" si="89"/>
        <v>70.80099620669624</v>
      </c>
      <c r="AL108" s="20">
        <f t="shared" si="58"/>
        <v>642.69345505999547</v>
      </c>
      <c r="AM108" s="59">
        <f t="shared" si="59"/>
        <v>936.02678839332884</v>
      </c>
      <c r="AN108" s="59">
        <f ca="1">AVERAGE(OFFSET($AM$3,0,0,'Données projet'!$E$10+1,1))-AVERAGE(OFFSET($H$3,0,0,'Données projet'!$E$10+1,1))</f>
        <v>382.67703499770795</v>
      </c>
      <c r="AO108" s="59">
        <f t="shared" si="90"/>
        <v>237.98926636458219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35.418807540066894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35.418807540066894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4.5474735088646412E-13</v>
      </c>
      <c r="O109" s="13">
        <f>N109*VLOOKUP('Données projet'!$B$9,Paramètres!$A$1:$I$89,3,0)*VLOOKUP('Données projet'!$B$9,Paramètres!$A$1:$I$89,5,0)</f>
        <v>2.7193891583010558E-13</v>
      </c>
      <c r="P109" s="13">
        <f t="shared" si="87"/>
        <v>3.6362267729089988E-12</v>
      </c>
      <c r="Q109" s="20">
        <f t="shared" si="107"/>
        <v>6.8067219078872727E-12</v>
      </c>
      <c r="R109" s="59">
        <f t="shared" si="55"/>
        <v>293.33333333334014</v>
      </c>
      <c r="S109" s="59">
        <f ca="1">AVERAGE(OFFSET($R$3,0,0,'Données projet'!$E$9+1,1))-AVERAGE(OFFSET($H$3,0,0,'Données projet'!$E$9+1,1))</f>
        <v>252.28378247570731</v>
      </c>
      <c r="T109" s="59">
        <f t="shared" si="88"/>
        <v>263.50418595307343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6.5171799773193815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1.4683233378890523E-10</v>
      </c>
      <c r="AC109" s="22">
        <f t="shared" si="57"/>
        <v>6.5171799774662142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5.2</v>
      </c>
      <c r="AI109" s="13">
        <f>IF('Données projet'!$A$62&gt;35,AI108+AH109-AQ108,IF(A109&lt;'Données projet'!$A$62,$AF$205^A109,IF(A109='Données projet'!$A$62,'Données projet'!$B$62,AI108+AH109-AQ108)))</f>
        <v>359.1999999999997</v>
      </c>
      <c r="AJ109" s="13">
        <f>AI109*VLOOKUP('Données projet'!$B$10,Paramètres!$A$1:$I$89,3,0)*VLOOKUP('Données projet'!$B$10,Paramètres!$A$1:$I$89,5,0)</f>
        <v>302.59007999999977</v>
      </c>
      <c r="AK109" s="13">
        <f t="shared" si="89"/>
        <v>71.719171768065962</v>
      </c>
      <c r="AL109" s="20">
        <f t="shared" si="58"/>
        <v>651.92194682938123</v>
      </c>
      <c r="AM109" s="59">
        <f t="shared" si="59"/>
        <v>945.2552801627146</v>
      </c>
      <c r="AN109" s="59">
        <f ca="1">AVERAGE(OFFSET($AM$3,0,0,'Données projet'!$E$10+1,1))-AVERAGE(OFFSET($H$3,0,0,'Données projet'!$E$10+1,1))</f>
        <v>382.67703499770795</v>
      </c>
      <c r="AO109" s="59">
        <f t="shared" si="90"/>
        <v>237.98926636458219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34.724266327545628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34.724266327545628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4.5474735088646412E-13</v>
      </c>
      <c r="O110" s="13">
        <f>N110*VLOOKUP('Données projet'!$B$9,Paramètres!$A$1:$I$89,3,0)*VLOOKUP('Données projet'!$B$9,Paramètres!$A$1:$I$89,5,0)</f>
        <v>2.7193891583010558E-13</v>
      </c>
      <c r="P110" s="13">
        <f t="shared" si="87"/>
        <v>3.6362267729089988E-12</v>
      </c>
      <c r="Q110" s="20">
        <f t="shared" si="107"/>
        <v>6.8067219078872727E-12</v>
      </c>
      <c r="R110" s="59">
        <f t="shared" si="55"/>
        <v>293.33333333334014</v>
      </c>
      <c r="S110" s="59">
        <f ca="1">AVERAGE(OFFSET($R$3,0,0,'Données projet'!$E$9+1,1))-AVERAGE(OFFSET($H$3,0,0,'Données projet'!$E$9+1,1))</f>
        <v>252.28378247570731</v>
      </c>
      <c r="T110" s="59">
        <f t="shared" si="88"/>
        <v>263.50418595307343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6.3893820530514276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1.0382613891958152E-10</v>
      </c>
      <c r="AC110" s="22">
        <f t="shared" si="57"/>
        <v>6.3893820531552539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5.2</v>
      </c>
      <c r="AI110" s="13">
        <f>IF('Données projet'!$A$62&gt;35,AI109+AH110-AQ109,IF(A110&lt;'Données projet'!$A$62,$AF$205^A110,IF(A110='Données projet'!$A$62,'Données projet'!$B$62,AI109+AH110-AQ109)))</f>
        <v>364.39999999999969</v>
      </c>
      <c r="AJ110" s="13">
        <f>AI110*VLOOKUP('Données projet'!$B$10,Paramètres!$A$1:$I$89,3,0)*VLOOKUP('Données projet'!$B$10,Paramètres!$A$1:$I$89,5,0)</f>
        <v>306.97055999999975</v>
      </c>
      <c r="AK110" s="13">
        <f t="shared" si="89"/>
        <v>72.635801377788624</v>
      </c>
      <c r="AL110" s="20">
        <f t="shared" si="58"/>
        <v>661.14774606631465</v>
      </c>
      <c r="AM110" s="59">
        <f t="shared" si="59"/>
        <v>954.48107939964802</v>
      </c>
      <c r="AN110" s="59">
        <f ca="1">AVERAGE(OFFSET($AM$3,0,0,'Données projet'!$E$10+1,1))-AVERAGE(OFFSET($H$3,0,0,'Données projet'!$E$10+1,1))</f>
        <v>382.67703499770795</v>
      </c>
      <c r="AO110" s="59">
        <f t="shared" si="90"/>
        <v>237.98926636458219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34.043344644573594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34.043344644573594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4.5474735088646412E-13</v>
      </c>
      <c r="O111" s="13">
        <f>N111*VLOOKUP('Données projet'!$B$9,Paramètres!$A$1:$I$89,3,0)*VLOOKUP('Données projet'!$B$9,Paramètres!$A$1:$I$89,5,0)</f>
        <v>2.7193891583010558E-13</v>
      </c>
      <c r="P111" s="13">
        <f t="shared" si="87"/>
        <v>3.6362267729089988E-12</v>
      </c>
      <c r="Q111" s="20">
        <f t="shared" si="107"/>
        <v>6.8067219078872727E-12</v>
      </c>
      <c r="R111" s="59">
        <f t="shared" si="55"/>
        <v>293.33333333334014</v>
      </c>
      <c r="S111" s="59">
        <f ca="1">AVERAGE(OFFSET($R$3,0,0,'Données projet'!$E$9+1,1))-AVERAGE(OFFSET($H$3,0,0,'Données projet'!$E$9+1,1))</f>
        <v>252.28378247570731</v>
      </c>
      <c r="T111" s="59">
        <f t="shared" si="88"/>
        <v>263.50418595307343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6.2640901681293313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7.3416166894452614E-11</v>
      </c>
      <c r="AC111" s="22">
        <f t="shared" si="57"/>
        <v>6.2640901682027472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5.2</v>
      </c>
      <c r="AI111" s="13">
        <f>IF('Données projet'!$A$62&gt;35,AI110+AH111-AQ110,IF(A111&lt;'Données projet'!$A$62,$AF$205^A111,IF(A111='Données projet'!$A$62,'Données projet'!$B$62,AI110+AH111-AQ110)))</f>
        <v>369.59999999999968</v>
      </c>
      <c r="AJ111" s="13">
        <f>AI111*VLOOKUP('Données projet'!$B$10,Paramètres!$A$1:$I$89,3,0)*VLOOKUP('Données projet'!$B$10,Paramètres!$A$1:$I$89,5,0)</f>
        <v>311.35103999999973</v>
      </c>
      <c r="AK111" s="13">
        <f t="shared" si="89"/>
        <v>73.550909645758153</v>
      </c>
      <c r="AL111" s="20">
        <f t="shared" si="58"/>
        <v>670.37089563302823</v>
      </c>
      <c r="AM111" s="59">
        <f t="shared" si="59"/>
        <v>963.7042289663616</v>
      </c>
      <c r="AN111" s="59">
        <f ca="1">AVERAGE(OFFSET($AM$3,0,0,'Données projet'!$E$10+1,1))-AVERAGE(OFFSET($H$3,0,0,'Données projet'!$E$10+1,1))</f>
        <v>382.67703499770795</v>
      </c>
      <c r="AO111" s="59">
        <f t="shared" si="90"/>
        <v>237.98926636458219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33.375775420483428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33.375775420483428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4.5474735088646412E-13</v>
      </c>
      <c r="O112" s="13">
        <f>N112*VLOOKUP('Données projet'!$B$9,Paramètres!$A$1:$I$89,3,0)*VLOOKUP('Données projet'!$B$9,Paramètres!$A$1:$I$89,5,0)</f>
        <v>2.7193891583010558E-13</v>
      </c>
      <c r="P112" s="13">
        <f t="shared" si="87"/>
        <v>3.6362267729089988E-12</v>
      </c>
      <c r="Q112" s="20">
        <f t="shared" si="107"/>
        <v>6.8067219078872727E-12</v>
      </c>
      <c r="R112" s="59">
        <f t="shared" si="55"/>
        <v>293.33333333334014</v>
      </c>
      <c r="S112" s="59">
        <f ca="1">AVERAGE(OFFSET($R$3,0,0,'Données projet'!$E$9+1,1))-AVERAGE(OFFSET($H$3,0,0,'Données projet'!$E$9+1,1))</f>
        <v>252.28378247570731</v>
      </c>
      <c r="T112" s="59">
        <f t="shared" si="88"/>
        <v>263.50418595307343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6.1412551806500533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5.191306945979076E-11</v>
      </c>
      <c r="AC112" s="22">
        <f t="shared" si="57"/>
        <v>6.1412551807019664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5.2</v>
      </c>
      <c r="AI112" s="13">
        <f>IF('Données projet'!$A$62&gt;35,AI111+AH112-AQ111,IF(A112&lt;'Données projet'!$A$62,$AF$205^A112,IF(A112='Données projet'!$A$62,'Données projet'!$B$62,AI111+AH112-AQ111)))</f>
        <v>374.79999999999967</v>
      </c>
      <c r="AJ112" s="13">
        <f>AI112*VLOOKUP('Données projet'!$B$10,Paramètres!$A$1:$I$89,3,0)*VLOOKUP('Données projet'!$B$10,Paramètres!$A$1:$I$89,5,0)</f>
        <v>315.73151999999976</v>
      </c>
      <c r="AK112" s="13">
        <f t="shared" si="89"/>
        <v>74.464520449607249</v>
      </c>
      <c r="AL112" s="20">
        <f t="shared" si="58"/>
        <v>679.59143711639888</v>
      </c>
      <c r="AM112" s="59">
        <f t="shared" si="59"/>
        <v>972.92477044973225</v>
      </c>
      <c r="AN112" s="59">
        <f ca="1">AVERAGE(OFFSET($AM$3,0,0,'Données projet'!$E$10+1,1))-AVERAGE(OFFSET($H$3,0,0,'Données projet'!$E$10+1,1))</f>
        <v>382.67703499770795</v>
      </c>
      <c r="AO112" s="59">
        <f t="shared" si="90"/>
        <v>237.98926636458219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32.721296821700648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32.721296821700648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4.5474735088646412E-13</v>
      </c>
      <c r="O113" s="13">
        <f>N113*VLOOKUP('Données projet'!$B$9,Paramètres!$A$1:$I$89,3,0)*VLOOKUP('Données projet'!$B$9,Paramètres!$A$1:$I$89,5,0)</f>
        <v>2.7193891583010558E-13</v>
      </c>
      <c r="P113" s="13">
        <f t="shared" si="87"/>
        <v>3.6362267729089988E-12</v>
      </c>
      <c r="Q113" s="20">
        <f t="shared" si="107"/>
        <v>6.8067219078872727E-12</v>
      </c>
      <c r="R113" s="59">
        <f t="shared" si="55"/>
        <v>293.33333333334014</v>
      </c>
      <c r="S113" s="59">
        <f ca="1">AVERAGE(OFFSET($R$3,0,0,'Données projet'!$E$9+1,1))-AVERAGE(OFFSET($H$3,0,0,'Données projet'!$E$9+1,1))</f>
        <v>252.28378247570731</v>
      </c>
      <c r="T113" s="59">
        <f t="shared" si="88"/>
        <v>263.50418595307343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6.0208289123532994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3.6708083447226307E-11</v>
      </c>
      <c r="AC113" s="22">
        <f t="shared" si="57"/>
        <v>6.0208289123900078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>
        <f>VLOOKUP(A113,'Données projet'!$A$61:$I$81,2,0)</f>
        <v>380</v>
      </c>
      <c r="AG113" s="12">
        <f>VLOOKUP(A113,'Données projet'!$A$61:$I$81,9,0)</f>
        <v>5.2</v>
      </c>
      <c r="AH113" s="12">
        <f t="array" ref="AH113">INDEX(AG:AG,MIN(IF(ISNUMBER(AG113:AG309),ROW(AG113:AG309),"")))</f>
        <v>5.2</v>
      </c>
      <c r="AI113" s="13">
        <f>IF('Données projet'!$A$62&gt;35,AI112+AH113-AQ112,IF(A113&lt;'Données projet'!$A$62,$AF$205^A113,IF(A113='Données projet'!$A$62,'Données projet'!$B$62,AI112+AH113-AQ112)))</f>
        <v>379.99999999999966</v>
      </c>
      <c r="AJ113" s="13">
        <f>AI113*VLOOKUP('Données projet'!$B$10,Paramètres!$A$1:$I$89,3,0)*VLOOKUP('Données projet'!$B$10,Paramètres!$A$1:$I$89,5,0)</f>
        <v>320.11199999999974</v>
      </c>
      <c r="AK113" s="13">
        <f t="shared" si="89"/>
        <v>75.376656966346744</v>
      </c>
      <c r="AL113" s="20">
        <f t="shared" si="58"/>
        <v>688.80941088305337</v>
      </c>
      <c r="AM113" s="59">
        <f t="shared" si="59"/>
        <v>982.14274421638675</v>
      </c>
      <c r="AN113" s="59">
        <f ca="1">AVERAGE(OFFSET($AM$3,0,0,'Données projet'!$E$10+1,1))-AVERAGE(OFFSET($H$3,0,0,'Données projet'!$E$10+1,1))</f>
        <v>382.67703499770795</v>
      </c>
      <c r="AO113" s="59">
        <f t="shared" si="90"/>
        <v>237.98926636458219</v>
      </c>
      <c r="AP113" s="15">
        <f>IF(ISNA(VLOOKUP(A113,'Données projet'!$A$61:$I$81,3,0)),0,VLOOKUP(A113,'Données projet'!$A$61:$I$81,3,0))</f>
        <v>10</v>
      </c>
      <c r="AQ113" s="15">
        <f>IF(ISNA(VLOOKUP(A113,'Données projet'!$A$61:$I$81,4,0)),0,VLOOKUP(A113,'Données projet'!$A$61:$I$81,4,0))</f>
        <v>51</v>
      </c>
      <c r="AR113" s="16">
        <f>IF(ISNA(VLOOKUP(A113,'Données projet'!$A$61:$I$81,5,0)),0%,VLOOKUP(A113,'Données projet'!$A$61:$I$81,5,0)*VLOOKUP('Données projet'!$B$10,Paramètres!$A$1:$I$89,7,0))</f>
        <v>0.43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52.501926221515426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52.501926221515426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4.5474735088646412E-13</v>
      </c>
      <c r="O114" s="13">
        <f>N114*VLOOKUP('Données projet'!$B$9,Paramètres!$A$1:$I$89,3,0)*VLOOKUP('Données projet'!$B$9,Paramètres!$A$1:$I$89,5,0)</f>
        <v>2.7193891583010558E-13</v>
      </c>
      <c r="P114" s="13">
        <f t="shared" si="87"/>
        <v>3.6362267729089988E-12</v>
      </c>
      <c r="Q114" s="20">
        <f t="shared" si="107"/>
        <v>6.8067219078872727E-12</v>
      </c>
      <c r="R114" s="59">
        <f t="shared" si="55"/>
        <v>293.33333333334014</v>
      </c>
      <c r="S114" s="59">
        <f ca="1">AVERAGE(OFFSET($R$3,0,0,'Données projet'!$E$9+1,1))-AVERAGE(OFFSET($H$3,0,0,'Données projet'!$E$9+1,1))</f>
        <v>252.28378247570731</v>
      </c>
      <c r="T114" s="59">
        <f t="shared" si="88"/>
        <v>263.50418595307343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5.9027641297250737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2.595653472989538E-11</v>
      </c>
      <c r="AC114" s="22">
        <f t="shared" si="57"/>
        <v>5.9027641297510298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4.5</v>
      </c>
      <c r="AI114" s="13">
        <f>IF('Données projet'!$A$62&gt;35,AI113+AH114-AQ113,IF(A114&lt;'Données projet'!$A$62,$AF$205^A114,IF(A114='Données projet'!$A$62,'Données projet'!$B$62,AI113+AH114-AQ113)))</f>
        <v>333.49999999999966</v>
      </c>
      <c r="AJ114" s="13">
        <f>AI114*VLOOKUP('Données projet'!$B$10,Paramètres!$A$1:$I$89,3,0)*VLOOKUP('Données projet'!$B$10,Paramètres!$A$1:$I$89,5,0)</f>
        <v>280.94039999999973</v>
      </c>
      <c r="AK114" s="13">
        <f t="shared" si="89"/>
        <v>67.165703636653149</v>
      </c>
      <c r="AL114" s="20">
        <f t="shared" si="58"/>
        <v>606.28479716717038</v>
      </c>
      <c r="AM114" s="59">
        <f t="shared" si="59"/>
        <v>899.61813050050364</v>
      </c>
      <c r="AN114" s="59">
        <f ca="1">AVERAGE(OFFSET($AM$3,0,0,'Données projet'!$E$10+1,1))-AVERAGE(OFFSET($H$3,0,0,'Données projet'!$E$10+1,1))</f>
        <v>382.67703499770795</v>
      </c>
      <c r="AO114" s="59">
        <f t="shared" si="90"/>
        <v>237.98926636458219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51.472395471324496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51.472395471324496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4.5474735088646412E-13</v>
      </c>
      <c r="O115" s="13">
        <f>N115*VLOOKUP('Données projet'!$B$9,Paramètres!$A$1:$I$89,3,0)*VLOOKUP('Données projet'!$B$9,Paramètres!$A$1:$I$89,5,0)</f>
        <v>2.7193891583010558E-13</v>
      </c>
      <c r="P115" s="13">
        <f t="shared" si="87"/>
        <v>3.6362267729089988E-12</v>
      </c>
      <c r="Q115" s="20">
        <f t="shared" si="107"/>
        <v>6.8067219078872727E-12</v>
      </c>
      <c r="R115" s="59">
        <f t="shared" si="55"/>
        <v>293.33333333334014</v>
      </c>
      <c r="S115" s="59">
        <f ca="1">AVERAGE(OFFSET($R$3,0,0,'Données projet'!$E$9+1,1))-AVERAGE(OFFSET($H$3,0,0,'Données projet'!$E$9+1,1))</f>
        <v>252.28378247570731</v>
      </c>
      <c r="T115" s="59">
        <f t="shared" si="88"/>
        <v>263.50418595307343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5.7870145254717809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1.8354041723613154E-11</v>
      </c>
      <c r="AC115" s="22">
        <f t="shared" si="57"/>
        <v>5.7870145254901351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4.5</v>
      </c>
      <c r="AI115" s="13">
        <f>IF('Données projet'!$A$62&gt;35,AI114+AH115-AQ114,IF(A115&lt;'Données projet'!$A$62,$AF$205^A115,IF(A115='Données projet'!$A$62,'Données projet'!$B$62,AI114+AH115-AQ114)))</f>
        <v>337.99999999999966</v>
      </c>
      <c r="AJ115" s="13">
        <f>AI115*VLOOKUP('Données projet'!$B$10,Paramètres!$A$1:$I$89,3,0)*VLOOKUP('Données projet'!$B$10,Paramètres!$A$1:$I$89,5,0)</f>
        <v>284.73119999999977</v>
      </c>
      <c r="AK115" s="13">
        <f t="shared" si="89"/>
        <v>67.965870320050954</v>
      </c>
      <c r="AL115" s="20">
        <f t="shared" si="58"/>
        <v>614.28073080742161</v>
      </c>
      <c r="AM115" s="59">
        <f t="shared" si="59"/>
        <v>907.61406414075486</v>
      </c>
      <c r="AN115" s="59">
        <f ca="1">AVERAGE(OFFSET($AM$3,0,0,'Données projet'!$E$10+1,1))-AVERAGE(OFFSET($H$3,0,0,'Données projet'!$E$10+1,1))</f>
        <v>382.67703499770795</v>
      </c>
      <c r="AO115" s="59">
        <f t="shared" si="90"/>
        <v>237.98926636458219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50.463053191193055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50.463053191193055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4.5474735088646412E-13</v>
      </c>
      <c r="O116" s="13">
        <f>N116*VLOOKUP('Données projet'!$B$9,Paramètres!$A$1:$I$89,3,0)*VLOOKUP('Données projet'!$B$9,Paramètres!$A$1:$I$89,5,0)</f>
        <v>2.7193891583010558E-13</v>
      </c>
      <c r="P116" s="13">
        <f t="shared" si="87"/>
        <v>3.6362267729089988E-12</v>
      </c>
      <c r="Q116" s="20">
        <f t="shared" si="107"/>
        <v>6.8067219078872727E-12</v>
      </c>
      <c r="R116" s="59">
        <f t="shared" si="55"/>
        <v>293.33333333334014</v>
      </c>
      <c r="S116" s="59">
        <f ca="1">AVERAGE(OFFSET($R$3,0,0,'Données projet'!$E$9+1,1))-AVERAGE(OFFSET($H$3,0,0,'Données projet'!$E$9+1,1))</f>
        <v>252.28378247570731</v>
      </c>
      <c r="T116" s="59">
        <f t="shared" si="88"/>
        <v>263.50418595307343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5.6735347003576075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1.297826736494769E-11</v>
      </c>
      <c r="AC116" s="22">
        <f t="shared" si="57"/>
        <v>5.6735347003705856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4.5</v>
      </c>
      <c r="AI116" s="13">
        <f>IF('Données projet'!$A$62&gt;35,AI115+AH116-AQ115,IF(A116&lt;'Données projet'!$A$62,$AF$205^A116,IF(A116='Données projet'!$A$62,'Données projet'!$B$62,AI115+AH116-AQ115)))</f>
        <v>342.49999999999966</v>
      </c>
      <c r="AJ116" s="13">
        <f>AI116*VLOOKUP('Données projet'!$B$10,Paramètres!$A$1:$I$89,3,0)*VLOOKUP('Données projet'!$B$10,Paramètres!$A$1:$I$89,5,0)</f>
        <v>288.52199999999971</v>
      </c>
      <c r="AK116" s="13">
        <f t="shared" si="89"/>
        <v>68.764797903454593</v>
      </c>
      <c r="AL116" s="20">
        <f t="shared" si="58"/>
        <v>622.27450634851618</v>
      </c>
      <c r="AM116" s="59">
        <f t="shared" si="59"/>
        <v>915.60783968184955</v>
      </c>
      <c r="AN116" s="59">
        <f ca="1">AVERAGE(OFFSET($AM$3,0,0,'Données projet'!$E$10+1,1))-AVERAGE(OFFSET($H$3,0,0,'Données projet'!$E$10+1,1))</f>
        <v>382.67703499770795</v>
      </c>
      <c r="AO116" s="59">
        <f t="shared" si="90"/>
        <v>237.98926636458219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49.473503497536989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49.473503497536989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4.5474735088646412E-13</v>
      </c>
      <c r="O117" s="13">
        <f>N117*VLOOKUP('Données projet'!$B$9,Paramètres!$A$1:$I$89,3,0)*VLOOKUP('Données projet'!$B$9,Paramètres!$A$1:$I$89,5,0)</f>
        <v>2.7193891583010558E-13</v>
      </c>
      <c r="P117" s="13">
        <f t="shared" si="87"/>
        <v>3.6362267729089988E-12</v>
      </c>
      <c r="Q117" s="20">
        <f t="shared" si="107"/>
        <v>6.8067219078872727E-12</v>
      </c>
      <c r="R117" s="59">
        <f t="shared" si="55"/>
        <v>293.33333333334014</v>
      </c>
      <c r="S117" s="59">
        <f ca="1">AVERAGE(OFFSET($R$3,0,0,'Données projet'!$E$9+1,1))-AVERAGE(OFFSET($H$3,0,0,'Données projet'!$E$9+1,1))</f>
        <v>252.28378247570731</v>
      </c>
      <c r="T117" s="59">
        <f t="shared" si="88"/>
        <v>263.50418595307343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5.5622801453980646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9.1770208618065768E-12</v>
      </c>
      <c r="AC117" s="22">
        <f t="shared" si="57"/>
        <v>5.5622801454072412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4.5</v>
      </c>
      <c r="AI117" s="13">
        <f>IF('Données projet'!$A$62&gt;35,AI116+AH117-AQ116,IF(A117&lt;'Données projet'!$A$62,$AF$205^A117,IF(A117='Données projet'!$A$62,'Données projet'!$B$62,AI116+AH117-AQ116)))</f>
        <v>346.99999999999966</v>
      </c>
      <c r="AJ117" s="13">
        <f>AI117*VLOOKUP('Données projet'!$B$10,Paramètres!$A$1:$I$89,3,0)*VLOOKUP('Données projet'!$B$10,Paramètres!$A$1:$I$89,5,0)</f>
        <v>292.31279999999975</v>
      </c>
      <c r="AK117" s="13">
        <f t="shared" si="89"/>
        <v>69.562504549179607</v>
      </c>
      <c r="AL117" s="20">
        <f t="shared" si="58"/>
        <v>630.26615542315403</v>
      </c>
      <c r="AM117" s="59">
        <f t="shared" si="59"/>
        <v>923.59948875648729</v>
      </c>
      <c r="AN117" s="59">
        <f ca="1">AVERAGE(OFFSET($AM$3,0,0,'Données projet'!$E$10+1,1))-AVERAGE(OFFSET($H$3,0,0,'Données projet'!$E$10+1,1))</f>
        <v>382.67703499770795</v>
      </c>
      <c r="AO117" s="59">
        <f t="shared" si="90"/>
        <v>237.98926636458219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48.503358269807805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48.503358269807805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4.5474735088646412E-13</v>
      </c>
      <c r="O118" s="13">
        <f>N118*VLOOKUP('Données projet'!$B$9,Paramètres!$A$1:$I$89,3,0)*VLOOKUP('Données projet'!$B$9,Paramètres!$A$1:$I$89,5,0)</f>
        <v>2.7193891583010558E-13</v>
      </c>
      <c r="P118" s="13">
        <f t="shared" si="87"/>
        <v>3.6362267729089988E-12</v>
      </c>
      <c r="Q118" s="20">
        <f t="shared" si="107"/>
        <v>6.8067219078872727E-12</v>
      </c>
      <c r="R118" s="59">
        <f t="shared" si="55"/>
        <v>293.33333333334014</v>
      </c>
      <c r="S118" s="59">
        <f ca="1">AVERAGE(OFFSET($R$3,0,0,'Données projet'!$E$9+1,1))-AVERAGE(OFFSET($H$3,0,0,'Données projet'!$E$9+1,1))</f>
        <v>252.28378247570731</v>
      </c>
      <c r="T118" s="59">
        <f t="shared" si="88"/>
        <v>263.50418595307343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5.4532072244026999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6.489133682473845E-12</v>
      </c>
      <c r="AC118" s="22">
        <f t="shared" si="57"/>
        <v>5.4532072244091889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4.5</v>
      </c>
      <c r="AI118" s="13">
        <f>IF('Données projet'!$A$62&gt;35,AI117+AH118-AQ117,IF(A118&lt;'Données projet'!$A$62,$AF$205^A118,IF(A118='Données projet'!$A$62,'Données projet'!$B$62,AI117+AH118-AQ117)))</f>
        <v>351.49999999999966</v>
      </c>
      <c r="AJ118" s="13">
        <f>AI118*VLOOKUP('Données projet'!$B$10,Paramètres!$A$1:$I$89,3,0)*VLOOKUP('Données projet'!$B$10,Paramètres!$A$1:$I$89,5,0)</f>
        <v>296.10359999999974</v>
      </c>
      <c r="AK118" s="13">
        <f t="shared" si="89"/>
        <v>70.359007921390557</v>
      </c>
      <c r="AL118" s="20">
        <f t="shared" si="58"/>
        <v>638.25570879642146</v>
      </c>
      <c r="AM118" s="59">
        <f t="shared" si="59"/>
        <v>931.58904212975472</v>
      </c>
      <c r="AN118" s="59">
        <f ca="1">AVERAGE(OFFSET($AM$3,0,0,'Données projet'!$E$10+1,1))-AVERAGE(OFFSET($H$3,0,0,'Données projet'!$E$10+1,1))</f>
        <v>382.67703499770795</v>
      </c>
      <c r="AO118" s="59">
        <f t="shared" si="90"/>
        <v>237.98926636458219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47.552236998264227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47.552236998264227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4.5474735088646412E-13</v>
      </c>
      <c r="O119" s="13">
        <f>N119*VLOOKUP('Données projet'!$B$9,Paramètres!$A$1:$I$89,3,0)*VLOOKUP('Données projet'!$B$9,Paramètres!$A$1:$I$89,5,0)</f>
        <v>2.7193891583010558E-13</v>
      </c>
      <c r="P119" s="13">
        <f t="shared" si="87"/>
        <v>3.6362267729089988E-12</v>
      </c>
      <c r="Q119" s="20">
        <f t="shared" si="107"/>
        <v>6.8067219078872727E-12</v>
      </c>
      <c r="R119" s="59">
        <f t="shared" si="55"/>
        <v>293.33333333334014</v>
      </c>
      <c r="S119" s="59">
        <f ca="1">AVERAGE(OFFSET($R$3,0,0,'Données projet'!$E$9+1,1))-AVERAGE(OFFSET($H$3,0,0,'Données projet'!$E$9+1,1))</f>
        <v>252.28378247570731</v>
      </c>
      <c r="T119" s="59">
        <f t="shared" si="88"/>
        <v>263.50418595307343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5.3462731568601418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4.5885104309032884E-12</v>
      </c>
      <c r="AC119" s="22">
        <f t="shared" si="57"/>
        <v>5.3462731568647301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4.5</v>
      </c>
      <c r="AI119" s="13">
        <f>IF('Données projet'!$A$62&gt;35,AI118+AH119-AQ118,IF(A119&lt;'Données projet'!$A$62,$AF$205^A119,IF(A119='Données projet'!$A$62,'Données projet'!$B$62,AI118+AH119-AQ118)))</f>
        <v>355.99999999999966</v>
      </c>
      <c r="AJ119" s="13">
        <f>AI119*VLOOKUP('Données projet'!$B$10,Paramètres!$A$1:$I$89,3,0)*VLOOKUP('Données projet'!$B$10,Paramètres!$A$1:$I$89,5,0)</f>
        <v>299.89439999999973</v>
      </c>
      <c r="AK119" s="13">
        <f t="shared" si="89"/>
        <v>71.154325205963943</v>
      </c>
      <c r="AL119" s="20">
        <f t="shared" si="58"/>
        <v>646.24319640038686</v>
      </c>
      <c r="AM119" s="59">
        <f t="shared" si="59"/>
        <v>939.57652973372024</v>
      </c>
      <c r="AN119" s="59">
        <f ca="1">AVERAGE(OFFSET($AM$3,0,0,'Données projet'!$E$10+1,1))-AVERAGE(OFFSET($H$3,0,0,'Données projet'!$E$10+1,1))</f>
        <v>382.67703499770795</v>
      </c>
      <c r="AO119" s="59">
        <f t="shared" si="90"/>
        <v>237.98926636458219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46.619766634728926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46.619766634728926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4.5474735088646412E-13</v>
      </c>
      <c r="O120" s="13">
        <f>N120*VLOOKUP('Données projet'!$B$9,Paramètres!$A$1:$I$89,3,0)*VLOOKUP('Données projet'!$B$9,Paramètres!$A$1:$I$89,5,0)</f>
        <v>2.7193891583010558E-13</v>
      </c>
      <c r="P120" s="13">
        <f t="shared" si="87"/>
        <v>3.6362267729089988E-12</v>
      </c>
      <c r="Q120" s="20">
        <f t="shared" si="107"/>
        <v>6.8067219078872727E-12</v>
      </c>
      <c r="R120" s="59">
        <f t="shared" si="55"/>
        <v>293.33333333334014</v>
      </c>
      <c r="S120" s="59">
        <f ca="1">AVERAGE(OFFSET($R$3,0,0,'Données projet'!$E$9+1,1))-AVERAGE(OFFSET($H$3,0,0,'Données projet'!$E$9+1,1))</f>
        <v>252.28378247570731</v>
      </c>
      <c r="T120" s="59">
        <f t="shared" si="88"/>
        <v>263.50418595307343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5.2414360011587524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3.2445668412369225E-12</v>
      </c>
      <c r="AC120" s="22">
        <f t="shared" si="57"/>
        <v>5.2414360011619969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4.5</v>
      </c>
      <c r="AI120" s="13">
        <f>IF('Données projet'!$A$62&gt;35,AI119+AH120-AQ119,IF(A120&lt;'Données projet'!$A$62,$AF$205^A120,IF(A120='Données projet'!$A$62,'Données projet'!$B$62,AI119+AH120-AQ119)))</f>
        <v>360.49999999999966</v>
      </c>
      <c r="AJ120" s="13">
        <f>AI120*VLOOKUP('Données projet'!$B$10,Paramètres!$A$1:$I$89,3,0)*VLOOKUP('Données projet'!$B$10,Paramètres!$A$1:$I$89,5,0)</f>
        <v>303.68519999999972</v>
      </c>
      <c r="AK120" s="13">
        <f t="shared" si="89"/>
        <v>71.948473129316923</v>
      </c>
      <c r="AL120" s="20">
        <f t="shared" si="58"/>
        <v>654.22864736689314</v>
      </c>
      <c r="AM120" s="59">
        <f t="shared" si="59"/>
        <v>947.56198070022651</v>
      </c>
      <c r="AN120" s="59">
        <f ca="1">AVERAGE(OFFSET($AM$3,0,0,'Données projet'!$E$10+1,1))-AVERAGE(OFFSET($H$3,0,0,'Données projet'!$E$10+1,1))</f>
        <v>382.67703499770795</v>
      </c>
      <c r="AO120" s="59">
        <f t="shared" si="90"/>
        <v>237.98926636458219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45.705581446271793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45.705581446271793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4.5474735088646412E-13</v>
      </c>
      <c r="O121" s="13">
        <f>N121*VLOOKUP('Données projet'!$B$9,Paramètres!$A$1:$I$89,3,0)*VLOOKUP('Données projet'!$B$9,Paramètres!$A$1:$I$89,5,0)</f>
        <v>2.7193891583010558E-13</v>
      </c>
      <c r="P121" s="13">
        <f t="shared" si="87"/>
        <v>3.6362267729089988E-12</v>
      </c>
      <c r="Q121" s="20">
        <f t="shared" si="107"/>
        <v>6.8067219078872727E-12</v>
      </c>
      <c r="R121" s="59">
        <f t="shared" si="55"/>
        <v>293.33333333334014</v>
      </c>
      <c r="S121" s="59">
        <f ca="1">AVERAGE(OFFSET($R$3,0,0,'Données projet'!$E$9+1,1))-AVERAGE(OFFSET($H$3,0,0,'Données projet'!$E$9+1,1))</f>
        <v>252.28378247570731</v>
      </c>
      <c r="T121" s="59">
        <f t="shared" si="88"/>
        <v>263.50418595307343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5.1386546381363161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2.2942552154516442E-12</v>
      </c>
      <c r="AC121" s="22">
        <f t="shared" si="57"/>
        <v>5.1386546381386102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4.5</v>
      </c>
      <c r="AI121" s="13">
        <f>IF('Données projet'!$A$62&gt;35,AI120+AH121-AQ120,IF(A121&lt;'Données projet'!$A$62,$AF$205^A121,IF(A121='Données projet'!$A$62,'Données projet'!$B$62,AI120+AH121-AQ120)))</f>
        <v>364.99999999999966</v>
      </c>
      <c r="AJ121" s="13">
        <f>AI121*VLOOKUP('Données projet'!$B$10,Paramètres!$A$1:$I$89,3,0)*VLOOKUP('Données projet'!$B$10,Paramètres!$A$1:$I$89,5,0)</f>
        <v>307.47599999999971</v>
      </c>
      <c r="AK121" s="13">
        <f t="shared" si="89"/>
        <v>72.741467976269917</v>
      </c>
      <c r="AL121" s="20">
        <f t="shared" si="58"/>
        <v>662.21209005866956</v>
      </c>
      <c r="AM121" s="59">
        <f t="shared" si="59"/>
        <v>955.54542339200293</v>
      </c>
      <c r="AN121" s="59">
        <f ca="1">AVERAGE(OFFSET($AM$3,0,0,'Données projet'!$E$10+1,1))-AVERAGE(OFFSET($H$3,0,0,'Données projet'!$E$10+1,1))</f>
        <v>382.67703499770795</v>
      </c>
      <c r="AO121" s="59">
        <f t="shared" si="90"/>
        <v>237.98926636458219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44.809322871762397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44.809322871762397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4.5474735088646412E-13</v>
      </c>
      <c r="O122" s="13">
        <f>N122*VLOOKUP('Données projet'!$B$9,Paramètres!$A$1:$I$89,3,0)*VLOOKUP('Données projet'!$B$9,Paramètres!$A$1:$I$89,5,0)</f>
        <v>2.7193891583010558E-13</v>
      </c>
      <c r="P122" s="13">
        <f t="shared" si="87"/>
        <v>3.6362267729089988E-12</v>
      </c>
      <c r="Q122" s="20">
        <f t="shared" si="107"/>
        <v>6.8067219078872727E-12</v>
      </c>
      <c r="R122" s="59">
        <f t="shared" si="55"/>
        <v>293.33333333334014</v>
      </c>
      <c r="S122" s="59">
        <f ca="1">AVERAGE(OFFSET($R$3,0,0,'Données projet'!$E$9+1,1))-AVERAGE(OFFSET($H$3,0,0,'Données projet'!$E$9+1,1))</f>
        <v>252.28378247570731</v>
      </c>
      <c r="T122" s="59">
        <f t="shared" si="88"/>
        <v>263.50418595307343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5.0378887549523084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1.6222834206184612E-12</v>
      </c>
      <c r="AC122" s="22">
        <f t="shared" si="57"/>
        <v>5.0378887549539311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4.5</v>
      </c>
      <c r="AI122" s="13">
        <f>IF('Données projet'!$A$62&gt;35,AI121+AH122-AQ121,IF(A122&lt;'Données projet'!$A$62,$AF$205^A122,IF(A122='Données projet'!$A$62,'Données projet'!$B$62,AI121+AH122-AQ121)))</f>
        <v>369.49999999999966</v>
      </c>
      <c r="AJ122" s="13">
        <f>AI122*VLOOKUP('Données projet'!$B$10,Paramètres!$A$1:$I$89,3,0)*VLOOKUP('Données projet'!$B$10,Paramètres!$A$1:$I$89,5,0)</f>
        <v>311.26679999999976</v>
      </c>
      <c r="AK122" s="13">
        <f t="shared" si="89"/>
        <v>73.533325607002496</v>
      </c>
      <c r="AL122" s="20">
        <f t="shared" si="58"/>
        <v>670.19355209886214</v>
      </c>
      <c r="AM122" s="59">
        <f t="shared" si="59"/>
        <v>963.52688543219551</v>
      </c>
      <c r="AN122" s="59">
        <f ca="1">AVERAGE(OFFSET($AM$3,0,0,'Données projet'!$E$10+1,1))-AVERAGE(OFFSET($H$3,0,0,'Données projet'!$E$10+1,1))</f>
        <v>382.67703499770795</v>
      </c>
      <c r="AO122" s="59">
        <f t="shared" si="90"/>
        <v>237.98926636458219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43.93063938123538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43.93063938123538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4.5474735088646412E-13</v>
      </c>
      <c r="O123" s="13">
        <f>N123*VLOOKUP('Données projet'!$B$9,Paramètres!$A$1:$I$89,3,0)*VLOOKUP('Données projet'!$B$9,Paramètres!$A$1:$I$89,5,0)</f>
        <v>2.7193891583010558E-13</v>
      </c>
      <c r="P123" s="13">
        <f t="shared" si="87"/>
        <v>3.6362267729089988E-12</v>
      </c>
      <c r="Q123" s="20">
        <f t="shared" si="107"/>
        <v>6.8067219078872727E-12</v>
      </c>
      <c r="R123" s="59">
        <f t="shared" si="55"/>
        <v>293.33333333334014</v>
      </c>
      <c r="S123" s="59">
        <f ca="1">AVERAGE(OFFSET($R$3,0,0,'Données projet'!$E$9+1,1))-AVERAGE(OFFSET($H$3,0,0,'Données projet'!$E$9+1,1))</f>
        <v>252.28378247570731</v>
      </c>
      <c r="T123" s="59">
        <f t="shared" si="88"/>
        <v>263.50418595307343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4.9390988292764195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1.1471276077258221E-12</v>
      </c>
      <c r="AC123" s="22">
        <f t="shared" si="57"/>
        <v>4.939098829277567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>
        <f>VLOOKUP(A123,'Données projet'!$A$61:$I$81,2,0)</f>
        <v>374</v>
      </c>
      <c r="AG123" s="12">
        <f>VLOOKUP(A123,'Données projet'!$A$61:$I$81,9,0)</f>
        <v>4.5</v>
      </c>
      <c r="AH123" s="12">
        <f t="array" ref="AH123">INDEX(AG:AG,MIN(IF(ISNUMBER(AG123:AG319),ROW(AG123:AG319),"")))</f>
        <v>4.5</v>
      </c>
      <c r="AI123" s="13">
        <f>IF('Données projet'!$A$62&gt;35,AI122+AH123-AQ122,IF(A123&lt;'Données projet'!$A$62,$AF$205^A123,IF(A123='Données projet'!$A$62,'Données projet'!$B$62,AI122+AH123-AQ122)))</f>
        <v>373.99999999999966</v>
      </c>
      <c r="AJ123" s="13">
        <f>AI123*VLOOKUP('Données projet'!$B$10,Paramètres!$A$1:$I$89,3,0)*VLOOKUP('Données projet'!$B$10,Paramètres!$A$1:$I$89,5,0)</f>
        <v>315.05759999999975</v>
      </c>
      <c r="AK123" s="13">
        <f t="shared" si="89"/>
        <v>74.324061473160583</v>
      </c>
      <c r="AL123" s="20">
        <f t="shared" si="58"/>
        <v>678.17306039908749</v>
      </c>
      <c r="AM123" s="59">
        <f t="shared" si="59"/>
        <v>971.50639373242075</v>
      </c>
      <c r="AN123" s="59">
        <f ca="1">AVERAGE(OFFSET($AM$3,0,0,'Données projet'!$E$10+1,1))-AVERAGE(OFFSET($H$3,0,0,'Données projet'!$E$10+1,1))</f>
        <v>382.67703499770795</v>
      </c>
      <c r="AO123" s="59">
        <f t="shared" si="90"/>
        <v>237.98926636458219</v>
      </c>
      <c r="AP123" s="15">
        <f>IF(ISNA(VLOOKUP(A123,'Données projet'!$A$61:$I$81,3,0)),0,VLOOKUP(A123,'Données projet'!$A$61:$I$81,3,0))</f>
        <v>11</v>
      </c>
      <c r="AQ123" s="15">
        <f>IF(ISNA(VLOOKUP(A123,'Données projet'!$A$61:$I$81,4,0)),0,VLOOKUP(A123,'Données projet'!$A$61:$I$81,4,0))</f>
        <v>47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43.069186338013587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43.069186338013587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4.5474735088646412E-13</v>
      </c>
      <c r="O124" s="13">
        <f>N124*VLOOKUP('Données projet'!$B$9,Paramètres!$A$1:$I$89,3,0)*VLOOKUP('Données projet'!$B$9,Paramètres!$A$1:$I$89,5,0)</f>
        <v>2.7193891583010558E-13</v>
      </c>
      <c r="P124" s="13">
        <f t="shared" si="87"/>
        <v>3.6362267729089988E-12</v>
      </c>
      <c r="Q124" s="20">
        <f t="shared" si="107"/>
        <v>6.8067219078872727E-12</v>
      </c>
      <c r="R124" s="59">
        <f t="shared" si="55"/>
        <v>293.33333333334014</v>
      </c>
      <c r="S124" s="59">
        <f ca="1">AVERAGE(OFFSET($R$3,0,0,'Données projet'!$E$9+1,1))-AVERAGE(OFFSET($H$3,0,0,'Données projet'!$E$9+1,1))</f>
        <v>252.28378247570731</v>
      </c>
      <c r="T124" s="59">
        <f t="shared" si="88"/>
        <v>263.50418595307343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4.8422461137871302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8.1114171030923062E-13</v>
      </c>
      <c r="AC124" s="22">
        <f t="shared" si="57"/>
        <v>4.8422461137879411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4.0999999999999996</v>
      </c>
      <c r="AI124" s="13">
        <f>IF('Données projet'!$A$62&gt;35,AI123+AH124-AQ123,IF(A124&lt;'Données projet'!$A$62,$AF$205^A124,IF(A124='Données projet'!$A$62,'Données projet'!$B$62,AI123+AH124-AQ123)))</f>
        <v>331.09999999999968</v>
      </c>
      <c r="AJ124" s="13">
        <f>AI124*VLOOKUP('Données projet'!$B$10,Paramètres!$A$1:$I$89,3,0)*VLOOKUP('Données projet'!$B$10,Paramètres!$A$1:$I$89,5,0)</f>
        <v>278.91863999999975</v>
      </c>
      <c r="AK124" s="13">
        <f t="shared" si="89"/>
        <v>66.738434989089512</v>
      </c>
      <c r="AL124" s="20">
        <f t="shared" si="58"/>
        <v>602.01940560599712</v>
      </c>
      <c r="AM124" s="59">
        <f t="shared" si="59"/>
        <v>895.35273893933049</v>
      </c>
      <c r="AN124" s="59">
        <f ca="1">AVERAGE(OFFSET($AM$3,0,0,'Données projet'!$E$10+1,1))-AVERAGE(OFFSET($H$3,0,0,'Données projet'!$E$10+1,1))</f>
        <v>382.67703499770795</v>
      </c>
      <c r="AO124" s="59">
        <f t="shared" si="90"/>
        <v>237.98926636458219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42.224625863534897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42.224625863534897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4.5474735088646412E-13</v>
      </c>
      <c r="O125" s="13">
        <f>N125*VLOOKUP('Données projet'!$B$9,Paramètres!$A$1:$I$89,3,0)*VLOOKUP('Données projet'!$B$9,Paramètres!$A$1:$I$89,5,0)</f>
        <v>2.7193891583010558E-13</v>
      </c>
      <c r="P125" s="13">
        <f t="shared" si="87"/>
        <v>3.6362267729089988E-12</v>
      </c>
      <c r="Q125" s="20">
        <f t="shared" si="107"/>
        <v>6.8067219078872727E-12</v>
      </c>
      <c r="R125" s="59">
        <f t="shared" si="55"/>
        <v>293.33333333334014</v>
      </c>
      <c r="S125" s="59">
        <f ca="1">AVERAGE(OFFSET($R$3,0,0,'Données projet'!$E$9+1,1))-AVERAGE(OFFSET($H$3,0,0,'Données projet'!$E$9+1,1))</f>
        <v>252.28378247570731</v>
      </c>
      <c r="T125" s="59">
        <f t="shared" si="88"/>
        <v>263.50418595307343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4.7472926209742621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5.7356380386291105E-13</v>
      </c>
      <c r="AC125" s="22">
        <f t="shared" si="57"/>
        <v>4.7472926209748358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4.0999999999999996</v>
      </c>
      <c r="AI125" s="13">
        <f>IF('Données projet'!$A$62&gt;35,AI124+AH125-AQ124,IF(A125&lt;'Données projet'!$A$62,$AF$205^A125,IF(A125='Données projet'!$A$62,'Données projet'!$B$62,AI124+AH125-AQ124)))</f>
        <v>335.1999999999997</v>
      </c>
      <c r="AJ125" s="13">
        <f>AI125*VLOOKUP('Données projet'!$B$10,Paramètres!$A$1:$I$89,3,0)*VLOOKUP('Données projet'!$B$10,Paramètres!$A$1:$I$89,5,0)</f>
        <v>282.37247999999977</v>
      </c>
      <c r="AK125" s="13">
        <f t="shared" si="89"/>
        <v>67.468135636314159</v>
      </c>
      <c r="AL125" s="20">
        <f t="shared" si="58"/>
        <v>609.30573889991354</v>
      </c>
      <c r="AM125" s="59">
        <f t="shared" si="59"/>
        <v>902.63907223324691</v>
      </c>
      <c r="AN125" s="59">
        <f ca="1">AVERAGE(OFFSET($AM$3,0,0,'Données projet'!$E$10+1,1))-AVERAGE(OFFSET($H$3,0,0,'Données projet'!$E$10+1,1))</f>
        <v>382.67703499770795</v>
      </c>
      <c r="AO125" s="59">
        <f t="shared" si="90"/>
        <v>237.98926636458219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41.396626704829707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41.396626704829707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4.5474735088646412E-13</v>
      </c>
      <c r="O126" s="13">
        <f>N126*VLOOKUP('Données projet'!$B$9,Paramètres!$A$1:$I$89,3,0)*VLOOKUP('Données projet'!$B$9,Paramètres!$A$1:$I$89,5,0)</f>
        <v>2.7193891583010558E-13</v>
      </c>
      <c r="P126" s="13">
        <f t="shared" si="87"/>
        <v>3.6362267729089988E-12</v>
      </c>
      <c r="Q126" s="20">
        <f t="shared" si="107"/>
        <v>6.8067219078872727E-12</v>
      </c>
      <c r="R126" s="59">
        <f t="shared" si="55"/>
        <v>293.33333333334014</v>
      </c>
      <c r="S126" s="59">
        <f ca="1">AVERAGE(OFFSET($R$3,0,0,'Données projet'!$E$9+1,1))-AVERAGE(OFFSET($H$3,0,0,'Données projet'!$E$9+1,1))</f>
        <v>252.28378247570731</v>
      </c>
      <c r="T126" s="59">
        <f t="shared" si="88"/>
        <v>263.50418595307343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4.6542011082395423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4.0557085515461531E-13</v>
      </c>
      <c r="AC126" s="22">
        <f t="shared" si="57"/>
        <v>4.6542011082399481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4.0999999999999996</v>
      </c>
      <c r="AI126" s="13">
        <f>IF('Données projet'!$A$62&gt;35,AI125+AH126-AQ125,IF(A126&lt;'Données projet'!$A$62,$AF$205^A126,IF(A126='Données projet'!$A$62,'Données projet'!$B$62,AI125+AH126-AQ125)))</f>
        <v>339.29999999999973</v>
      </c>
      <c r="AJ126" s="13">
        <f>AI126*VLOOKUP('Données projet'!$B$10,Paramètres!$A$1:$I$89,3,0)*VLOOKUP('Données projet'!$B$10,Paramètres!$A$1:$I$89,5,0)</f>
        <v>285.82631999999978</v>
      </c>
      <c r="AK126" s="13">
        <f t="shared" si="89"/>
        <v>68.196798086264792</v>
      </c>
      <c r="AL126" s="20">
        <f t="shared" si="58"/>
        <v>616.59026400024413</v>
      </c>
      <c r="AM126" s="59">
        <f t="shared" si="59"/>
        <v>909.92359733357739</v>
      </c>
      <c r="AN126" s="59">
        <f ca="1">AVERAGE(OFFSET($AM$3,0,0,'Données projet'!$E$10+1,1))-AVERAGE(OFFSET($H$3,0,0,'Données projet'!$E$10+1,1))</f>
        <v>382.67703499770795</v>
      </c>
      <c r="AO126" s="59">
        <f t="shared" si="90"/>
        <v>237.98926636458219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40.584864104597109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40.584864104597109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4.5474735088646412E-13</v>
      </c>
      <c r="O127" s="13">
        <f>N127*VLOOKUP('Données projet'!$B$9,Paramètres!$A$1:$I$89,3,0)*VLOOKUP('Données projet'!$B$9,Paramètres!$A$1:$I$89,5,0)</f>
        <v>2.7193891583010558E-13</v>
      </c>
      <c r="P127" s="13">
        <f t="shared" si="87"/>
        <v>3.6362267729089988E-12</v>
      </c>
      <c r="Q127" s="20">
        <f t="shared" si="107"/>
        <v>6.8067219078872727E-12</v>
      </c>
      <c r="R127" s="59">
        <f t="shared" si="55"/>
        <v>293.33333333334014</v>
      </c>
      <c r="S127" s="59">
        <f ca="1">AVERAGE(OFFSET($R$3,0,0,'Données projet'!$E$9+1,1))-AVERAGE(OFFSET($H$3,0,0,'Données projet'!$E$9+1,1))</f>
        <v>252.28378247570731</v>
      </c>
      <c r="T127" s="59">
        <f t="shared" si="88"/>
        <v>263.50418595307343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4.5629350632893342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2.8678190193145552E-13</v>
      </c>
      <c r="AC127" s="22">
        <f t="shared" si="57"/>
        <v>4.5629350632896211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4.0999999999999996</v>
      </c>
      <c r="AI127" s="13">
        <f>IF('Données projet'!$A$62&gt;35,AI126+AH127-AQ126,IF(A127&lt;'Données projet'!$A$62,$AF$205^A127,IF(A127='Données projet'!$A$62,'Données projet'!$B$62,AI126+AH127-AQ126)))</f>
        <v>343.39999999999975</v>
      </c>
      <c r="AJ127" s="13">
        <f>AI127*VLOOKUP('Données projet'!$B$10,Paramètres!$A$1:$I$89,3,0)*VLOOKUP('Données projet'!$B$10,Paramètres!$A$1:$I$89,5,0)</f>
        <v>289.2801599999998</v>
      </c>
      <c r="AK127" s="13">
        <f t="shared" si="89"/>
        <v>68.924436335316329</v>
      </c>
      <c r="AL127" s="20">
        <f t="shared" si="58"/>
        <v>623.87300528400885</v>
      </c>
      <c r="AM127" s="59">
        <f t="shared" si="59"/>
        <v>917.20633861734223</v>
      </c>
      <c r="AN127" s="59">
        <f ca="1">AVERAGE(OFFSET($AM$3,0,0,'Données projet'!$E$10+1,1))-AVERAGE(OFFSET($H$3,0,0,'Données projet'!$E$10+1,1))</f>
        <v>382.67703499770795</v>
      </c>
      <c r="AO127" s="59">
        <f t="shared" si="90"/>
        <v>237.98926636458219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39.789019673828776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39.789019673828776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4.5474735088646412E-13</v>
      </c>
      <c r="O128" s="13">
        <f>N128*VLOOKUP('Données projet'!$B$9,Paramètres!$A$1:$I$89,3,0)*VLOOKUP('Données projet'!$B$9,Paramètres!$A$1:$I$89,5,0)</f>
        <v>2.7193891583010558E-13</v>
      </c>
      <c r="P128" s="13">
        <f t="shared" si="87"/>
        <v>3.6362267729089988E-12</v>
      </c>
      <c r="Q128" s="20">
        <f t="shared" si="107"/>
        <v>6.8067219078872727E-12</v>
      </c>
      <c r="R128" s="59">
        <f t="shared" si="55"/>
        <v>293.33333333334014</v>
      </c>
      <c r="S128" s="59">
        <f ca="1">AVERAGE(OFFSET($R$3,0,0,'Données projet'!$E$9+1,1))-AVERAGE(OFFSET($H$3,0,0,'Données projet'!$E$9+1,1))</f>
        <v>252.28378247570731</v>
      </c>
      <c r="T128" s="59">
        <f t="shared" si="88"/>
        <v>263.50418595307343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4.4734586898138087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2.0278542757730765E-13</v>
      </c>
      <c r="AC128" s="22">
        <f t="shared" si="57"/>
        <v>4.4734586898140112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4.0999999999999996</v>
      </c>
      <c r="AI128" s="13">
        <f>IF('Données projet'!$A$62&gt;35,AI127+AH128-AQ127,IF(A128&lt;'Données projet'!$A$62,$AF$205^A128,IF(A128='Données projet'!$A$62,'Données projet'!$B$62,AI127+AH128-AQ127)))</f>
        <v>347.49999999999977</v>
      </c>
      <c r="AJ128" s="13">
        <f>AI128*VLOOKUP('Données projet'!$B$10,Paramètres!$A$1:$I$89,3,0)*VLOOKUP('Données projet'!$B$10,Paramètres!$A$1:$I$89,5,0)</f>
        <v>292.73399999999987</v>
      </c>
      <c r="AK128" s="13">
        <f t="shared" si="89"/>
        <v>69.651064026395645</v>
      </c>
      <c r="AL128" s="20">
        <f t="shared" si="58"/>
        <v>631.15398651263888</v>
      </c>
      <c r="AM128" s="59">
        <f t="shared" si="59"/>
        <v>924.48731984597225</v>
      </c>
      <c r="AN128" s="59">
        <f ca="1">AVERAGE(OFFSET($AM$3,0,0,'Données projet'!$E$10+1,1))-AVERAGE(OFFSET($H$3,0,0,'Données projet'!$E$10+1,1))</f>
        <v>382.67703499770795</v>
      </c>
      <c r="AO128" s="59">
        <f t="shared" si="90"/>
        <v>237.98926636458219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39.00878126693064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39.00878126693064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4.5474735088646412E-13</v>
      </c>
      <c r="O129" s="13">
        <f>N129*VLOOKUP('Données projet'!$B$9,Paramètres!$A$1:$I$89,3,0)*VLOOKUP('Données projet'!$B$9,Paramètres!$A$1:$I$89,5,0)</f>
        <v>2.7193891583010558E-13</v>
      </c>
      <c r="P129" s="13">
        <f t="shared" si="87"/>
        <v>3.6362267729089988E-12</v>
      </c>
      <c r="Q129" s="20">
        <f t="shared" si="107"/>
        <v>6.8067219078872727E-12</v>
      </c>
      <c r="R129" s="59">
        <f t="shared" si="55"/>
        <v>293.33333333334014</v>
      </c>
      <c r="S129" s="59">
        <f ca="1">AVERAGE(OFFSET($R$3,0,0,'Données projet'!$E$9+1,1))-AVERAGE(OFFSET($H$3,0,0,'Données projet'!$E$9+1,1))</f>
        <v>252.28378247570731</v>
      </c>
      <c r="T129" s="59">
        <f t="shared" si="88"/>
        <v>263.50418595307343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4.3857368934469401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1.4339095096572776E-13</v>
      </c>
      <c r="AC129" s="22">
        <f t="shared" si="57"/>
        <v>4.3857368934470831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4.0999999999999996</v>
      </c>
      <c r="AI129" s="13">
        <f>IF('Données projet'!$A$62&gt;35,AI128+AH129-AQ128,IF(A129&lt;'Données projet'!$A$62,$AF$205^A129,IF(A129='Données projet'!$A$62,'Données projet'!$B$62,AI128+AH129-AQ128)))</f>
        <v>351.5999999999998</v>
      </c>
      <c r="AJ129" s="13">
        <f>AI129*VLOOKUP('Données projet'!$B$10,Paramètres!$A$1:$I$89,3,0)*VLOOKUP('Données projet'!$B$10,Paramètres!$A$1:$I$89,5,0)</f>
        <v>296.18783999999982</v>
      </c>
      <c r="AK129" s="13">
        <f t="shared" si="89"/>
        <v>70.37669446196935</v>
      </c>
      <c r="AL129" s="20">
        <f t="shared" si="58"/>
        <v>638.43323085459633</v>
      </c>
      <c r="AM129" s="59">
        <f t="shared" si="59"/>
        <v>931.76656418792959</v>
      </c>
      <c r="AN129" s="59">
        <f ca="1">AVERAGE(OFFSET($AM$3,0,0,'Données projet'!$E$10+1,1))-AVERAGE(OFFSET($H$3,0,0,'Données projet'!$E$10+1,1))</f>
        <v>382.67703499770795</v>
      </c>
      <c r="AO129" s="59">
        <f t="shared" si="90"/>
        <v>237.98926636458219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38.243842859293338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38.243842859293338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4.5474735088646412E-13</v>
      </c>
      <c r="O130" s="13">
        <f>N130*VLOOKUP('Données projet'!$B$9,Paramètres!$A$1:$I$89,3,0)*VLOOKUP('Données projet'!$B$9,Paramètres!$A$1:$I$89,5,0)</f>
        <v>2.7193891583010558E-13</v>
      </c>
      <c r="P130" s="13">
        <f t="shared" si="87"/>
        <v>3.6362267729089988E-12</v>
      </c>
      <c r="Q130" s="20">
        <f t="shared" si="107"/>
        <v>6.8067219078872727E-12</v>
      </c>
      <c r="R130" s="59">
        <f t="shared" si="55"/>
        <v>293.33333333334014</v>
      </c>
      <c r="S130" s="59">
        <f ca="1">AVERAGE(OFFSET($R$3,0,0,'Données projet'!$E$9+1,1))-AVERAGE(OFFSET($H$3,0,0,'Données projet'!$E$9+1,1))</f>
        <v>252.28378247570731</v>
      </c>
      <c r="T130" s="59">
        <f t="shared" si="88"/>
        <v>263.50418595307343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4.2997352680018128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1.0139271378865383E-13</v>
      </c>
      <c r="AC130" s="22">
        <f t="shared" si="57"/>
        <v>4.2997352680019141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4.0999999999999996</v>
      </c>
      <c r="AI130" s="13">
        <f>IF('Données projet'!$A$62&gt;35,AI129+AH130-AQ129,IF(A130&lt;'Données projet'!$A$62,$AF$205^A130,IF(A130='Données projet'!$A$62,'Données projet'!$B$62,AI129+AH130-AQ129)))</f>
        <v>355.69999999999982</v>
      </c>
      <c r="AJ130" s="13">
        <f>AI130*VLOOKUP('Données projet'!$B$10,Paramètres!$A$1:$I$89,3,0)*VLOOKUP('Données projet'!$B$10,Paramètres!$A$1:$I$89,5,0)</f>
        <v>299.64167999999989</v>
      </c>
      <c r="AK130" s="13">
        <f t="shared" si="89"/>
        <v>71.101340616409487</v>
      </c>
      <c r="AL130" s="20">
        <f t="shared" si="58"/>
        <v>645.71076090691292</v>
      </c>
      <c r="AM130" s="59">
        <f t="shared" si="59"/>
        <v>939.0440942402463</v>
      </c>
      <c r="AN130" s="59">
        <f ca="1">AVERAGE(OFFSET($AM$3,0,0,'Données projet'!$E$10+1,1))-AVERAGE(OFFSET($H$3,0,0,'Données projet'!$E$10+1,1))</f>
        <v>382.67703499770795</v>
      </c>
      <c r="AO130" s="59">
        <f t="shared" si="90"/>
        <v>237.98926636458219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37.493904427263445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37.493904427263445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4.5474735088646412E-13</v>
      </c>
      <c r="O131" s="13">
        <f>N131*VLOOKUP('Données projet'!$B$9,Paramètres!$A$1:$I$89,3,0)*VLOOKUP('Données projet'!$B$9,Paramètres!$A$1:$I$89,5,0)</f>
        <v>2.7193891583010558E-13</v>
      </c>
      <c r="P131" s="13">
        <f t="shared" si="87"/>
        <v>3.6362267729089988E-12</v>
      </c>
      <c r="Q131" s="20">
        <f t="shared" ref="Q131:Q153" si="108">(O131+P131)*0.475*44/12</f>
        <v>6.8067219078872727E-12</v>
      </c>
      <c r="R131" s="59">
        <f t="shared" ref="R131:R194" si="109">Q131+(I131+J131)*44/12</f>
        <v>293.33333333334014</v>
      </c>
      <c r="S131" s="59">
        <f ca="1">AVERAGE(OFFSET($R$3,0,0,'Données projet'!$E$9+1,1))-AVERAGE(OFFSET($H$3,0,0,'Données projet'!$E$9+1,1))</f>
        <v>252.28378247570731</v>
      </c>
      <c r="T131" s="59">
        <f t="shared" si="88"/>
        <v>263.50418595307343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4.2154200819758527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7.1695475482863881E-14</v>
      </c>
      <c r="AC131" s="22">
        <f t="shared" si="57"/>
        <v>4.2154200819759247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4.0999999999999996</v>
      </c>
      <c r="AI131" s="13">
        <f>IF('Données projet'!$A$62&gt;35,AI130+AH131-AQ130,IF(A131&lt;'Données projet'!$A$62,$AF$205^A131,IF(A131='Données projet'!$A$62,'Données projet'!$B$62,AI130+AH131-AQ130)))</f>
        <v>359.79999999999984</v>
      </c>
      <c r="AJ131" s="13">
        <f>AI131*VLOOKUP('Données projet'!$B$10,Paramètres!$A$1:$I$89,3,0)*VLOOKUP('Données projet'!$B$10,Paramètres!$A$1:$I$89,5,0)</f>
        <v>303.09551999999991</v>
      </c>
      <c r="AK131" s="13">
        <f t="shared" si="89"/>
        <v>71.825015147771637</v>
      </c>
      <c r="AL131" s="20">
        <f t="shared" si="58"/>
        <v>652.98659871570203</v>
      </c>
      <c r="AM131" s="59">
        <f t="shared" si="59"/>
        <v>946.31993204903529</v>
      </c>
      <c r="AN131" s="59">
        <f ca="1">AVERAGE(OFFSET($AM$3,0,0,'Données projet'!$E$10+1,1))-AVERAGE(OFFSET($H$3,0,0,'Données projet'!$E$10+1,1))</f>
        <v>382.67703499770795</v>
      </c>
      <c r="AO131" s="59">
        <f t="shared" si="90"/>
        <v>237.98926636458219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36.75867183046838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36.75867183046838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4.5474735088646412E-13</v>
      </c>
      <c r="O132" s="13">
        <f>N132*VLOOKUP('Données projet'!$B$9,Paramètres!$A$1:$I$89,3,0)*VLOOKUP('Données projet'!$B$9,Paramètres!$A$1:$I$89,5,0)</f>
        <v>2.7193891583010558E-13</v>
      </c>
      <c r="P132" s="13">
        <f t="shared" si="87"/>
        <v>3.6362267729089988E-12</v>
      </c>
      <c r="Q132" s="20">
        <f t="shared" si="108"/>
        <v>6.8067219078872727E-12</v>
      </c>
      <c r="R132" s="59">
        <f t="shared" si="109"/>
        <v>293.33333333334014</v>
      </c>
      <c r="S132" s="59">
        <f ca="1">AVERAGE(OFFSET($R$3,0,0,'Données projet'!$E$9+1,1))-AVERAGE(OFFSET($H$3,0,0,'Données projet'!$E$9+1,1))</f>
        <v>252.28378247570731</v>
      </c>
      <c r="T132" s="59">
        <f t="shared" si="88"/>
        <v>263.50418595307343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4.1327582653206765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5.0696356894326914E-14</v>
      </c>
      <c r="AC132" s="22">
        <f t="shared" ref="AC132:AC153" si="111">SUM(Z132:AB132)</f>
        <v>4.1327582653207271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4.0999999999999996</v>
      </c>
      <c r="AI132" s="13">
        <f>IF('Données projet'!$A$62&gt;35,AI131+AH132-AQ131,IF(A132&lt;'Données projet'!$A$62,$AF$205^A132,IF(A132='Données projet'!$A$62,'Données projet'!$B$62,AI131+AH132-AQ131)))</f>
        <v>363.89999999999986</v>
      </c>
      <c r="AJ132" s="13">
        <f>AI132*VLOOKUP('Données projet'!$B$10,Paramètres!$A$1:$I$89,3,0)*VLOOKUP('Données projet'!$B$10,Paramètres!$A$1:$I$89,5,0)</f>
        <v>306.54935999999992</v>
      </c>
      <c r="AK132" s="13">
        <f t="shared" si="89"/>
        <v>72.547730409021852</v>
      </c>
      <c r="AL132" s="20">
        <f t="shared" ref="AL132:AL153" si="112">(AJ132+AK132)*0.475*44/12</f>
        <v>660.26076579571293</v>
      </c>
      <c r="AM132" s="59">
        <f t="shared" ref="AM132:AM195" si="113">AL132+(AD132+AE132)*44/12</f>
        <v>953.5940991290463</v>
      </c>
      <c r="AN132" s="59">
        <f ca="1">AVERAGE(OFFSET($AM$3,0,0,'Données projet'!$E$10+1,1))-AVERAGE(OFFSET($H$3,0,0,'Données projet'!$E$10+1,1))</f>
        <v>382.67703499770795</v>
      </c>
      <c r="AO132" s="59">
        <f t="shared" si="90"/>
        <v>237.98926636458219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36.037856696448863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36.037856696448863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4.5474735088646412E-13</v>
      </c>
      <c r="O133" s="13">
        <f>N133*VLOOKUP('Données projet'!$B$9,Paramètres!$A$1:$I$89,3,0)*VLOOKUP('Données projet'!$B$9,Paramètres!$A$1:$I$89,5,0)</f>
        <v>2.7193891583010558E-13</v>
      </c>
      <c r="P133" s="13">
        <f t="shared" ref="P133:P196" si="141">EXP(-1.0587+0.8836*LN(O133)+0.284)</f>
        <v>3.6362267729089988E-12</v>
      </c>
      <c r="Q133" s="20">
        <f t="shared" si="108"/>
        <v>6.8067219078872727E-12</v>
      </c>
      <c r="R133" s="59">
        <f t="shared" si="109"/>
        <v>293.33333333334014</v>
      </c>
      <c r="S133" s="59">
        <f ca="1">AVERAGE(OFFSET($R$3,0,0,'Données projet'!$E$9+1,1))-AVERAGE(OFFSET($H$3,0,0,'Données projet'!$E$9+1,1))</f>
        <v>252.28378247570731</v>
      </c>
      <c r="T133" s="59">
        <f t="shared" ref="T133:T196" si="142">$T$3</f>
        <v>263.50418595307343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4.0517173964713784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3.5847737741431941E-14</v>
      </c>
      <c r="AC133" s="22">
        <f t="shared" si="111"/>
        <v>4.0517173964714139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>
        <f>VLOOKUP(A133,'Données projet'!$A$61:$I$81,2,0)</f>
        <v>368</v>
      </c>
      <c r="AG133" s="12">
        <f>VLOOKUP(A133,'Données projet'!$A$61:$I$81,9,0)</f>
        <v>4.0999999999999996</v>
      </c>
      <c r="AH133" s="12">
        <f t="array" ref="AH133">INDEX(AG:AG,MIN(IF(ISNUMBER(AG133:AG329),ROW(AG133:AG329),"")))</f>
        <v>4.0999999999999996</v>
      </c>
      <c r="AI133" s="13">
        <f>IF('Données projet'!$A$62&gt;35,AI132+AH133-AQ132,IF(A133&lt;'Données projet'!$A$62,$AF$205^A133,IF(A133='Données projet'!$A$62,'Données projet'!$B$62,AI132+AH133-AQ132)))</f>
        <v>367.99999999999989</v>
      </c>
      <c r="AJ133" s="13">
        <f>AI133*VLOOKUP('Données projet'!$B$10,Paramètres!$A$1:$I$89,3,0)*VLOOKUP('Données projet'!$B$10,Paramètres!$A$1:$I$89,5,0)</f>
        <v>310.00319999999994</v>
      </c>
      <c r="AK133" s="13">
        <f t="shared" ref="AK133:AK153" si="143">EXP(-1.0587+0.8836*LN(AJ133)+0.284)</f>
        <v>73.269498458742788</v>
      </c>
      <c r="AL133" s="20">
        <f t="shared" si="112"/>
        <v>667.53328314897692</v>
      </c>
      <c r="AM133" s="59">
        <f t="shared" si="113"/>
        <v>960.86661648231029</v>
      </c>
      <c r="AN133" s="59">
        <f ca="1">AVERAGE(OFFSET($AM$3,0,0,'Données projet'!$E$10+1,1))-AVERAGE(OFFSET($H$3,0,0,'Données projet'!$E$10+1,1))</f>
        <v>382.67703499770795</v>
      </c>
      <c r="AO133" s="59">
        <f t="shared" ref="AO133:AO196" si="144">$AO$3</f>
        <v>237.98926636458219</v>
      </c>
      <c r="AP133" s="15">
        <f>IF(ISNA(VLOOKUP(A133,'Données projet'!$A$61:$I$81,3,0)),0,VLOOKUP(A133,'Données projet'!$A$61:$I$81,3,0))</f>
        <v>12</v>
      </c>
      <c r="AQ133" s="15">
        <f>IF(ISNA(VLOOKUP(A133,'Données projet'!$A$61:$I$81,4,0)),0,VLOOKUP(A133,'Données projet'!$A$61:$I$81,4,0))</f>
        <v>44</v>
      </c>
      <c r="AR133" s="16">
        <f>IF(ISNA(VLOOKUP(A133,'Données projet'!$A$61:$I$81,5,0)),0%,VLOOKUP(A133,'Données projet'!$A$61:$I$81,5,0)*VLOOKUP('Données projet'!$B$10,Paramètres!$A$1:$I$89,7,0))</f>
        <v>0.43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52.950393154388749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52.950393154388749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4.5474735088646412E-13</v>
      </c>
      <c r="O134" s="13">
        <f>N134*VLOOKUP('Données projet'!$B$9,Paramètres!$A$1:$I$89,3,0)*VLOOKUP('Données projet'!$B$9,Paramètres!$A$1:$I$89,5,0)</f>
        <v>2.7193891583010558E-13</v>
      </c>
      <c r="P134" s="13">
        <f t="shared" si="141"/>
        <v>3.6362267729089988E-12</v>
      </c>
      <c r="Q134" s="20">
        <f t="shared" si="108"/>
        <v>6.8067219078872727E-12</v>
      </c>
      <c r="R134" s="59">
        <f t="shared" si="109"/>
        <v>293.33333333334014</v>
      </c>
      <c r="S134" s="59">
        <f ca="1">AVERAGE(OFFSET($R$3,0,0,'Données projet'!$E$9+1,1))-AVERAGE(OFFSET($H$3,0,0,'Données projet'!$E$9+1,1))</f>
        <v>252.28378247570731</v>
      </c>
      <c r="T134" s="59">
        <f t="shared" si="142"/>
        <v>263.50418595307343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3.9722656896301656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2.5348178447163457E-14</v>
      </c>
      <c r="AC134" s="22">
        <f t="shared" si="111"/>
        <v>3.9722656896301909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3.8</v>
      </c>
      <c r="AI134" s="13">
        <f>IF('Données projet'!$A$62&gt;35,AI133+AH134-AQ133,IF(A134&lt;'Données projet'!$A$62,$AF$205^A134,IF(A134='Données projet'!$A$62,'Données projet'!$B$62,AI133+AH134-AQ133)))</f>
        <v>327.7999999999999</v>
      </c>
      <c r="AJ134" s="13">
        <f>AI134*VLOOKUP('Données projet'!$B$10,Paramètres!$A$1:$I$89,3,0)*VLOOKUP('Données projet'!$B$10,Paramètres!$A$1:$I$89,5,0)</f>
        <v>276.13871999999992</v>
      </c>
      <c r="AK134" s="13">
        <f t="shared" si="143"/>
        <v>66.150351116005822</v>
      </c>
      <c r="AL134" s="20">
        <f t="shared" si="112"/>
        <v>596.15346552704329</v>
      </c>
      <c r="AM134" s="59">
        <f t="shared" si="113"/>
        <v>889.48679886037667</v>
      </c>
      <c r="AN134" s="59">
        <f ca="1">AVERAGE(OFFSET($AM$3,0,0,'Données projet'!$E$10+1,1))-AVERAGE(OFFSET($H$3,0,0,'Données projet'!$E$10+1,1))</f>
        <v>382.67703499770795</v>
      </c>
      <c r="AO134" s="59">
        <f t="shared" si="144"/>
        <v>237.98926636458219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51.912068241181991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51.912068241181991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4.5474735088646412E-13</v>
      </c>
      <c r="O135" s="13">
        <f>N135*VLOOKUP('Données projet'!$B$9,Paramètres!$A$1:$I$89,3,0)*VLOOKUP('Données projet'!$B$9,Paramètres!$A$1:$I$89,5,0)</f>
        <v>2.7193891583010558E-13</v>
      </c>
      <c r="P135" s="13">
        <f t="shared" si="141"/>
        <v>3.6362267729089988E-12</v>
      </c>
      <c r="Q135" s="20">
        <f t="shared" si="108"/>
        <v>6.8067219078872727E-12</v>
      </c>
      <c r="R135" s="59">
        <f t="shared" si="109"/>
        <v>293.33333333334014</v>
      </c>
      <c r="S135" s="59">
        <f ca="1">AVERAGE(OFFSET($R$3,0,0,'Données projet'!$E$9+1,1))-AVERAGE(OFFSET($H$3,0,0,'Données projet'!$E$9+1,1))</f>
        <v>252.28378247570731</v>
      </c>
      <c r="T135" s="59">
        <f t="shared" si="142"/>
        <v>263.50418595307343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3.894371982299353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1.792386887071597E-14</v>
      </c>
      <c r="AC135" s="22">
        <f t="shared" si="111"/>
        <v>3.8943719822993708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3.8</v>
      </c>
      <c r="AI135" s="13">
        <f>IF('Données projet'!$A$62&gt;35,AI134+AH135-AQ134,IF(A135&lt;'Données projet'!$A$62,$AF$205^A135,IF(A135='Données projet'!$A$62,'Données projet'!$B$62,AI134+AH135-AQ134)))</f>
        <v>331.59999999999991</v>
      </c>
      <c r="AJ135" s="13">
        <f>AI135*VLOOKUP('Données projet'!$B$10,Paramètres!$A$1:$I$89,3,0)*VLOOKUP('Données projet'!$B$10,Paramètres!$A$1:$I$89,5,0)</f>
        <v>279.33983999999998</v>
      </c>
      <c r="AK135" s="13">
        <f t="shared" si="143"/>
        <v>66.827478935410426</v>
      </c>
      <c r="AL135" s="20">
        <f t="shared" si="112"/>
        <v>602.90808047917312</v>
      </c>
      <c r="AM135" s="59">
        <f t="shared" si="113"/>
        <v>896.24141381250638</v>
      </c>
      <c r="AN135" s="59">
        <f ca="1">AVERAGE(OFFSET($AM$3,0,0,'Données projet'!$E$10+1,1))-AVERAGE(OFFSET($H$3,0,0,'Données projet'!$E$10+1,1))</f>
        <v>382.67703499770795</v>
      </c>
      <c r="AO135" s="59">
        <f t="shared" si="144"/>
        <v>237.98926636458219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50.894104246207554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50.894104246207554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4.5474735088646412E-13</v>
      </c>
      <c r="O136" s="13">
        <f>N136*VLOOKUP('Données projet'!$B$9,Paramètres!$A$1:$I$89,3,0)*VLOOKUP('Données projet'!$B$9,Paramètres!$A$1:$I$89,5,0)</f>
        <v>2.7193891583010558E-13</v>
      </c>
      <c r="P136" s="13">
        <f t="shared" si="141"/>
        <v>3.6362267729089988E-12</v>
      </c>
      <c r="Q136" s="20">
        <f t="shared" si="108"/>
        <v>6.8067219078872727E-12</v>
      </c>
      <c r="R136" s="59">
        <f t="shared" si="109"/>
        <v>293.33333333334014</v>
      </c>
      <c r="S136" s="59">
        <f ca="1">AVERAGE(OFFSET($R$3,0,0,'Données projet'!$E$9+1,1))-AVERAGE(OFFSET($H$3,0,0,'Données projet'!$E$9+1,1))</f>
        <v>252.28378247570731</v>
      </c>
      <c r="T136" s="59">
        <f t="shared" si="142"/>
        <v>263.50418595307343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3.8180057230588273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1.2674089223581728E-14</v>
      </c>
      <c r="AC136" s="22">
        <f t="shared" si="111"/>
        <v>3.8180057230588402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3.8</v>
      </c>
      <c r="AI136" s="13">
        <f>IF('Données projet'!$A$62&gt;35,AI135+AH136-AQ135,IF(A136&lt;'Données projet'!$A$62,$AF$205^A136,IF(A136='Données projet'!$A$62,'Données projet'!$B$62,AI135+AH136-AQ135)))</f>
        <v>335.39999999999992</v>
      </c>
      <c r="AJ136" s="13">
        <f>AI136*VLOOKUP('Données projet'!$B$10,Paramètres!$A$1:$I$89,3,0)*VLOOKUP('Données projet'!$B$10,Paramètres!$A$1:$I$89,5,0)</f>
        <v>282.54095999999993</v>
      </c>
      <c r="AK136" s="13">
        <f t="shared" si="143"/>
        <v>67.503704117788104</v>
      </c>
      <c r="AL136" s="20">
        <f t="shared" si="112"/>
        <v>609.66112333848082</v>
      </c>
      <c r="AM136" s="59">
        <f t="shared" si="113"/>
        <v>902.99445667181408</v>
      </c>
      <c r="AN136" s="59">
        <f ca="1">AVERAGE(OFFSET($AM$3,0,0,'Données projet'!$E$10+1,1))-AVERAGE(OFFSET($H$3,0,0,'Données projet'!$E$10+1,1))</f>
        <v>382.67703499770795</v>
      </c>
      <c r="AO136" s="59">
        <f t="shared" si="144"/>
        <v>237.98926636458219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49.896101904277835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49.896101904277835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4.5474735088646412E-13</v>
      </c>
      <c r="O137" s="13">
        <f>N137*VLOOKUP('Données projet'!$B$9,Paramètres!$A$1:$I$89,3,0)*VLOOKUP('Données projet'!$B$9,Paramètres!$A$1:$I$89,5,0)</f>
        <v>2.7193891583010558E-13</v>
      </c>
      <c r="P137" s="13">
        <f t="shared" si="141"/>
        <v>3.6362267729089988E-12</v>
      </c>
      <c r="Q137" s="20">
        <f t="shared" si="108"/>
        <v>6.8067219078872727E-12</v>
      </c>
      <c r="R137" s="59">
        <f t="shared" si="109"/>
        <v>293.33333333334014</v>
      </c>
      <c r="S137" s="59">
        <f ca="1">AVERAGE(OFFSET($R$3,0,0,'Données projet'!$E$9+1,1))-AVERAGE(OFFSET($H$3,0,0,'Données projet'!$E$9+1,1))</f>
        <v>252.28378247570731</v>
      </c>
      <c r="T137" s="59">
        <f t="shared" si="142"/>
        <v>263.50418595307343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3.7431369595831896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8.9619344353579851E-15</v>
      </c>
      <c r="AC137" s="22">
        <f t="shared" si="111"/>
        <v>3.7431369595831985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3.8</v>
      </c>
      <c r="AI137" s="13">
        <f>IF('Données projet'!$A$62&gt;35,AI136+AH137-AQ136,IF(A137&lt;'Données projet'!$A$62,$AF$205^A137,IF(A137='Données projet'!$A$62,'Données projet'!$B$62,AI136+AH137-AQ136)))</f>
        <v>339.19999999999993</v>
      </c>
      <c r="AJ137" s="13">
        <f>AI137*VLOOKUP('Données projet'!$B$10,Paramètres!$A$1:$I$89,3,0)*VLOOKUP('Données projet'!$B$10,Paramètres!$A$1:$I$89,5,0)</f>
        <v>285.74207999999999</v>
      </c>
      <c r="AK137" s="13">
        <f t="shared" si="143"/>
        <v>68.179038073144469</v>
      </c>
      <c r="AL137" s="20">
        <f t="shared" si="112"/>
        <v>616.41261397739322</v>
      </c>
      <c r="AM137" s="59">
        <f t="shared" si="113"/>
        <v>909.74594731072648</v>
      </c>
      <c r="AN137" s="59">
        <f ca="1">AVERAGE(OFFSET($AM$3,0,0,'Données projet'!$E$10+1,1))-AVERAGE(OFFSET($H$3,0,0,'Données projet'!$E$10+1,1))</f>
        <v>382.67703499770795</v>
      </c>
      <c r="AO137" s="59">
        <f t="shared" si="144"/>
        <v>237.98926636458219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48.917669779552035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48.917669779552035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4.5474735088646412E-13</v>
      </c>
      <c r="O138" s="13">
        <f>N138*VLOOKUP('Données projet'!$B$9,Paramètres!$A$1:$I$89,3,0)*VLOOKUP('Données projet'!$B$9,Paramètres!$A$1:$I$89,5,0)</f>
        <v>2.7193891583010558E-13</v>
      </c>
      <c r="P138" s="13">
        <f t="shared" si="141"/>
        <v>3.6362267729089988E-12</v>
      </c>
      <c r="Q138" s="20">
        <f t="shared" si="108"/>
        <v>6.8067219078872727E-12</v>
      </c>
      <c r="R138" s="59">
        <f t="shared" si="109"/>
        <v>293.33333333334014</v>
      </c>
      <c r="S138" s="59">
        <f ca="1">AVERAGE(OFFSET($R$3,0,0,'Données projet'!$E$9+1,1))-AVERAGE(OFFSET($H$3,0,0,'Données projet'!$E$9+1,1))</f>
        <v>252.28378247570731</v>
      </c>
      <c r="T138" s="59">
        <f t="shared" si="142"/>
        <v>263.50418595307343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3.6697363268938723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6.3370446117908642E-15</v>
      </c>
      <c r="AC138" s="22">
        <f t="shared" si="111"/>
        <v>3.6697363268938785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3.8</v>
      </c>
      <c r="AI138" s="13">
        <f>IF('Données projet'!$A$62&gt;35,AI137+AH138-AQ137,IF(A138&lt;'Données projet'!$A$62,$AF$205^A138,IF(A138='Données projet'!$A$62,'Données projet'!$B$62,AI137+AH138-AQ137)))</f>
        <v>342.99999999999994</v>
      </c>
      <c r="AJ138" s="13">
        <f>AI138*VLOOKUP('Données projet'!$B$10,Paramètres!$A$1:$I$89,3,0)*VLOOKUP('Données projet'!$B$10,Paramètres!$A$1:$I$89,5,0)</f>
        <v>288.94319999999999</v>
      </c>
      <c r="AK138" s="13">
        <f t="shared" si="143"/>
        <v>68.853491941116729</v>
      </c>
      <c r="AL138" s="20">
        <f t="shared" si="112"/>
        <v>623.16257179744491</v>
      </c>
      <c r="AM138" s="59">
        <f t="shared" si="113"/>
        <v>916.49590513077828</v>
      </c>
      <c r="AN138" s="59">
        <f ca="1">AVERAGE(OFFSET($AM$3,0,0,'Données projet'!$E$10+1,1))-AVERAGE(OFFSET($H$3,0,0,'Données projet'!$E$10+1,1))</f>
        <v>382.67703499770795</v>
      </c>
      <c r="AO138" s="59">
        <f t="shared" si="144"/>
        <v>237.98926636458219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47.958424112007442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47.958424112007442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4.5474735088646412E-13</v>
      </c>
      <c r="O139" s="13">
        <f>N139*VLOOKUP('Données projet'!$B$9,Paramètres!$A$1:$I$89,3,0)*VLOOKUP('Données projet'!$B$9,Paramètres!$A$1:$I$89,5,0)</f>
        <v>2.7193891583010558E-13</v>
      </c>
      <c r="P139" s="13">
        <f t="shared" si="141"/>
        <v>3.6362267729089988E-12</v>
      </c>
      <c r="Q139" s="20">
        <f t="shared" si="108"/>
        <v>6.8067219078872727E-12</v>
      </c>
      <c r="R139" s="59">
        <f t="shared" si="109"/>
        <v>293.33333333334014</v>
      </c>
      <c r="S139" s="59">
        <f ca="1">AVERAGE(OFFSET($R$3,0,0,'Données projet'!$E$9+1,1))-AVERAGE(OFFSET($H$3,0,0,'Données projet'!$E$9+1,1))</f>
        <v>252.28378247570731</v>
      </c>
      <c r="T139" s="59">
        <f t="shared" si="142"/>
        <v>263.50418595307343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3.5977750358416274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4.4809672176789926E-15</v>
      </c>
      <c r="AC139" s="22">
        <f t="shared" si="111"/>
        <v>3.5977750358416318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3.8</v>
      </c>
      <c r="AI139" s="13">
        <f>IF('Données projet'!$A$62&gt;35,AI138+AH139-AQ138,IF(A139&lt;'Données projet'!$A$62,$AF$205^A139,IF(A139='Données projet'!$A$62,'Données projet'!$B$62,AI138+AH139-AQ138)))</f>
        <v>346.79999999999995</v>
      </c>
      <c r="AJ139" s="13">
        <f>AI139*VLOOKUP('Données projet'!$B$10,Paramètres!$A$1:$I$89,3,0)*VLOOKUP('Données projet'!$B$10,Paramètres!$A$1:$I$89,5,0)</f>
        <v>292.14431999999999</v>
      </c>
      <c r="AK139" s="13">
        <f t="shared" si="143"/>
        <v>69.527076600303857</v>
      </c>
      <c r="AL139" s="20">
        <f t="shared" si="112"/>
        <v>629.9110157455292</v>
      </c>
      <c r="AM139" s="59">
        <f t="shared" si="113"/>
        <v>923.24434907886257</v>
      </c>
      <c r="AN139" s="59">
        <f ca="1">AVERAGE(OFFSET($AM$3,0,0,'Données projet'!$E$10+1,1))-AVERAGE(OFFSET($H$3,0,0,'Données projet'!$E$10+1,1))</f>
        <v>382.67703499770795</v>
      </c>
      <c r="AO139" s="59">
        <f t="shared" si="144"/>
        <v>237.98926636458219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47.017988666921312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47.017988666921312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4.5474735088646412E-13</v>
      </c>
      <c r="O140" s="13">
        <f>N140*VLOOKUP('Données projet'!$B$9,Paramètres!$A$1:$I$89,3,0)*VLOOKUP('Données projet'!$B$9,Paramètres!$A$1:$I$89,5,0)</f>
        <v>2.7193891583010558E-13</v>
      </c>
      <c r="P140" s="13">
        <f t="shared" si="141"/>
        <v>3.6362267729089988E-12</v>
      </c>
      <c r="Q140" s="20">
        <f t="shared" si="108"/>
        <v>6.8067219078872727E-12</v>
      </c>
      <c r="R140" s="59">
        <f t="shared" si="109"/>
        <v>293.33333333334014</v>
      </c>
      <c r="S140" s="59">
        <f ca="1">AVERAGE(OFFSET($R$3,0,0,'Données projet'!$E$9+1,1))-AVERAGE(OFFSET($H$3,0,0,'Données projet'!$E$9+1,1))</f>
        <v>252.28378247570731</v>
      </c>
      <c r="T140" s="59">
        <f t="shared" si="142"/>
        <v>263.50418595307343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3.5272248618148634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3.1685223058954321E-15</v>
      </c>
      <c r="AC140" s="22">
        <f t="shared" si="111"/>
        <v>3.5272248618148665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3.8</v>
      </c>
      <c r="AI140" s="13">
        <f>IF('Données projet'!$A$62&gt;35,AI139+AH140-AQ139,IF(A140&lt;'Données projet'!$A$62,$AF$205^A140,IF(A140='Données projet'!$A$62,'Données projet'!$B$62,AI139+AH140-AQ139)))</f>
        <v>350.59999999999997</v>
      </c>
      <c r="AJ140" s="13">
        <f>AI140*VLOOKUP('Données projet'!$B$10,Paramètres!$A$1:$I$89,3,0)*VLOOKUP('Données projet'!$B$10,Paramètres!$A$1:$I$89,5,0)</f>
        <v>295.34544</v>
      </c>
      <c r="AK140" s="13">
        <f t="shared" si="143"/>
        <v>70.199802677174929</v>
      </c>
      <c r="AL140" s="20">
        <f t="shared" si="112"/>
        <v>636.65796432941295</v>
      </c>
      <c r="AM140" s="59">
        <f t="shared" si="113"/>
        <v>929.99129766274632</v>
      </c>
      <c r="AN140" s="59">
        <f ca="1">AVERAGE(OFFSET($AM$3,0,0,'Données projet'!$E$10+1,1))-AVERAGE(OFFSET($H$3,0,0,'Données projet'!$E$10+1,1))</f>
        <v>382.67703499770795</v>
      </c>
      <c r="AO140" s="59">
        <f t="shared" si="144"/>
        <v>237.98926636458219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46.09599458730434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46.09599458730434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4.5474735088646412E-13</v>
      </c>
      <c r="O141" s="13">
        <f>N141*VLOOKUP('Données projet'!$B$9,Paramètres!$A$1:$I$89,3,0)*VLOOKUP('Données projet'!$B$9,Paramètres!$A$1:$I$89,5,0)</f>
        <v>2.7193891583010558E-13</v>
      </c>
      <c r="P141" s="13">
        <f t="shared" si="141"/>
        <v>3.6362267729089988E-12</v>
      </c>
      <c r="Q141" s="20">
        <f t="shared" si="108"/>
        <v>6.8067219078872727E-12</v>
      </c>
      <c r="R141" s="59">
        <f t="shared" si="109"/>
        <v>293.33333333334014</v>
      </c>
      <c r="S141" s="59">
        <f ca="1">AVERAGE(OFFSET($R$3,0,0,'Données projet'!$E$9+1,1))-AVERAGE(OFFSET($H$3,0,0,'Données projet'!$E$9+1,1))</f>
        <v>252.28378247570731</v>
      </c>
      <c r="T141" s="59">
        <f t="shared" si="142"/>
        <v>263.50418595307343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3.458058133669407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2.2404836088394963E-15</v>
      </c>
      <c r="AC141" s="22">
        <f t="shared" si="111"/>
        <v>3.4580581336694092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3.8</v>
      </c>
      <c r="AI141" s="13">
        <f>IF('Données projet'!$A$62&gt;35,AI140+AH141-AQ140,IF(A141&lt;'Données projet'!$A$62,$AF$205^A141,IF(A141='Données projet'!$A$62,'Données projet'!$B$62,AI140+AH141-AQ140)))</f>
        <v>354.4</v>
      </c>
      <c r="AJ141" s="13">
        <f>AI141*VLOOKUP('Données projet'!$B$10,Paramètres!$A$1:$I$89,3,0)*VLOOKUP('Données projet'!$B$10,Paramètres!$A$1:$I$89,5,0)</f>
        <v>298.54656</v>
      </c>
      <c r="AK141" s="13">
        <f t="shared" si="143"/>
        <v>70.871680554580649</v>
      </c>
      <c r="AL141" s="20">
        <f t="shared" si="112"/>
        <v>643.40343563256113</v>
      </c>
      <c r="AM141" s="59">
        <f t="shared" si="113"/>
        <v>936.7367689658945</v>
      </c>
      <c r="AN141" s="59">
        <f ca="1">AVERAGE(OFFSET($AM$3,0,0,'Données projet'!$E$10+1,1))-AVERAGE(OFFSET($H$3,0,0,'Données projet'!$E$10+1,1))</f>
        <v>382.67703499770795</v>
      </c>
      <c r="AO141" s="59">
        <f t="shared" si="144"/>
        <v>237.98926636458219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45.1920802492278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45.1920802492278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4.5474735088646412E-13</v>
      </c>
      <c r="O142" s="13">
        <f>N142*VLOOKUP('Données projet'!$B$9,Paramètres!$A$1:$I$89,3,0)*VLOOKUP('Données projet'!$B$9,Paramètres!$A$1:$I$89,5,0)</f>
        <v>2.7193891583010558E-13</v>
      </c>
      <c r="P142" s="13">
        <f t="shared" si="141"/>
        <v>3.6362267729089988E-12</v>
      </c>
      <c r="Q142" s="20">
        <f t="shared" si="108"/>
        <v>6.8067219078872727E-12</v>
      </c>
      <c r="R142" s="59">
        <f t="shared" si="109"/>
        <v>293.33333333334014</v>
      </c>
      <c r="S142" s="59">
        <f ca="1">AVERAGE(OFFSET($R$3,0,0,'Données projet'!$E$9+1,1))-AVERAGE(OFFSET($H$3,0,0,'Données projet'!$E$9+1,1))</f>
        <v>252.28378247570731</v>
      </c>
      <c r="T142" s="59">
        <f t="shared" si="142"/>
        <v>263.50418595307343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3.3902477228753445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1.5842611529477161E-15</v>
      </c>
      <c r="AC142" s="22">
        <f t="shared" si="111"/>
        <v>3.3902477228753463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3.8</v>
      </c>
      <c r="AI142" s="13">
        <f>IF('Données projet'!$A$62&gt;35,AI141+AH142-AQ141,IF(A142&lt;'Données projet'!$A$62,$AF$205^A142,IF(A142='Données projet'!$A$62,'Données projet'!$B$62,AI141+AH142-AQ141)))</f>
        <v>358.2</v>
      </c>
      <c r="AJ142" s="13">
        <f>AI142*VLOOKUP('Données projet'!$B$10,Paramètres!$A$1:$I$89,3,0)*VLOOKUP('Données projet'!$B$10,Paramètres!$A$1:$I$89,5,0)</f>
        <v>301.74768</v>
      </c>
      <c r="AK142" s="13">
        <f t="shared" si="143"/>
        <v>71.542720379889786</v>
      </c>
      <c r="AL142" s="20">
        <f t="shared" si="112"/>
        <v>650.14744732830798</v>
      </c>
      <c r="AM142" s="59">
        <f t="shared" si="113"/>
        <v>943.48078066164135</v>
      </c>
      <c r="AN142" s="59">
        <f ca="1">AVERAGE(OFFSET($AM$3,0,0,'Données projet'!$E$10+1,1))-AVERAGE(OFFSET($H$3,0,0,'Données projet'!$E$10+1,1))</f>
        <v>382.67703499770795</v>
      </c>
      <c r="AO142" s="59">
        <f t="shared" si="144"/>
        <v>237.98926636458219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44.305891119987635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44.305891119987635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4.5474735088646412E-13</v>
      </c>
      <c r="O143" s="13">
        <f>N143*VLOOKUP('Données projet'!$B$9,Paramètres!$A$1:$I$89,3,0)*VLOOKUP('Données projet'!$B$9,Paramètres!$A$1:$I$89,5,0)</f>
        <v>2.7193891583010558E-13</v>
      </c>
      <c r="P143" s="13">
        <f t="shared" si="141"/>
        <v>3.6362267729089988E-12</v>
      </c>
      <c r="Q143" s="20">
        <f t="shared" si="108"/>
        <v>6.8067219078872727E-12</v>
      </c>
      <c r="R143" s="59">
        <f t="shared" si="109"/>
        <v>293.33333333334014</v>
      </c>
      <c r="S143" s="59">
        <f ca="1">AVERAGE(OFFSET($R$3,0,0,'Données projet'!$E$9+1,1))-AVERAGE(OFFSET($H$3,0,0,'Données projet'!$E$9+1,1))</f>
        <v>252.28378247570731</v>
      </c>
      <c r="T143" s="59">
        <f t="shared" si="142"/>
        <v>263.50418595307343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3.3237670328766868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1.1202418044197481E-15</v>
      </c>
      <c r="AC143" s="22">
        <f t="shared" si="111"/>
        <v>3.3237670328766882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>
        <f>VLOOKUP(A143,'Données projet'!$A$61:$I$81,2,0)</f>
        <v>362</v>
      </c>
      <c r="AG143" s="12">
        <f>VLOOKUP(A143,'Données projet'!$A$61:$I$81,9,0)</f>
        <v>3.8</v>
      </c>
      <c r="AH143" s="12">
        <f t="array" ref="AH143">INDEX(AG:AG,MIN(IF(ISNUMBER(AG143:AG339),ROW(AG143:AG339),"")))</f>
        <v>3.8</v>
      </c>
      <c r="AI143" s="13">
        <f>IF('Données projet'!$A$62&gt;35,AI142+AH143-AQ142,IF(A143&lt;'Données projet'!$A$62,$AF$205^A143,IF(A143='Données projet'!$A$62,'Données projet'!$B$62,AI142+AH143-AQ142)))</f>
        <v>362</v>
      </c>
      <c r="AJ143" s="13">
        <f>AI143*VLOOKUP('Données projet'!$B$10,Paramètres!$A$1:$I$89,3,0)*VLOOKUP('Données projet'!$B$10,Paramètres!$A$1:$I$89,5,0)</f>
        <v>304.94880000000006</v>
      </c>
      <c r="AK143" s="13">
        <f t="shared" si="143"/>
        <v>72.212932072769945</v>
      </c>
      <c r="AL143" s="20">
        <f t="shared" si="112"/>
        <v>656.89001669340769</v>
      </c>
      <c r="AM143" s="59">
        <f t="shared" si="113"/>
        <v>950.22335002674095</v>
      </c>
      <c r="AN143" s="59">
        <f ca="1">AVERAGE(OFFSET($AM$3,0,0,'Données projet'!$E$10+1,1))-AVERAGE(OFFSET($H$3,0,0,'Données projet'!$E$10+1,1))</f>
        <v>382.67703499770795</v>
      </c>
      <c r="AO143" s="59">
        <f t="shared" si="144"/>
        <v>237.98926636458219</v>
      </c>
      <c r="AP143" s="15">
        <f>IF(ISNA(VLOOKUP(A143,'Données projet'!$A$61:$I$81,3,0)),0,VLOOKUP(A143,'Données projet'!$A$61:$I$81,3,0))</f>
        <v>13</v>
      </c>
      <c r="AQ143" s="15">
        <f>IF(ISNA(VLOOKUP(A143,'Données projet'!$A$61:$I$81,4,0)),0,VLOOKUP(A143,'Données projet'!$A$61:$I$81,4,0))</f>
        <v>41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43.437079619049868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43.437079619049868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4.5474735088646412E-13</v>
      </c>
      <c r="O144" s="13">
        <f>N144*VLOOKUP('Données projet'!$B$9,Paramètres!$A$1:$I$89,3,0)*VLOOKUP('Données projet'!$B$9,Paramètres!$A$1:$I$89,5,0)</f>
        <v>2.7193891583010558E-13</v>
      </c>
      <c r="P144" s="13">
        <f t="shared" si="141"/>
        <v>3.6362267729089988E-12</v>
      </c>
      <c r="Q144" s="20">
        <f t="shared" si="108"/>
        <v>6.8067219078872727E-12</v>
      </c>
      <c r="R144" s="59">
        <f t="shared" si="109"/>
        <v>293.33333333334014</v>
      </c>
      <c r="S144" s="59">
        <f ca="1">AVERAGE(OFFSET($R$3,0,0,'Données projet'!$E$9+1,1))-AVERAGE(OFFSET($H$3,0,0,'Données projet'!$E$9+1,1))</f>
        <v>252.28378247570731</v>
      </c>
      <c r="T144" s="59">
        <f t="shared" si="142"/>
        <v>263.50418595307343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3.2585899886596859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7.9213057647385803E-16</v>
      </c>
      <c r="AC144" s="22">
        <f t="shared" si="111"/>
        <v>3.2585899886596867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3.4</v>
      </c>
      <c r="AI144" s="13">
        <f>IF('Données projet'!$A$62&gt;35,AI143+AH144-AQ143,IF(A144&lt;'Données projet'!$A$62,$AF$205^A144,IF(A144='Données projet'!$A$62,'Données projet'!$B$62,AI143+AH144-AQ143)))</f>
        <v>324.39999999999998</v>
      </c>
      <c r="AJ144" s="13">
        <f>AI144*VLOOKUP('Données projet'!$B$10,Paramètres!$A$1:$I$89,3,0)*VLOOKUP('Données projet'!$B$10,Paramètres!$A$1:$I$89,5,0)</f>
        <v>273.27456000000001</v>
      </c>
      <c r="AK144" s="13">
        <f t="shared" si="143"/>
        <v>65.543725237807038</v>
      </c>
      <c r="AL144" s="20">
        <f t="shared" si="112"/>
        <v>590.10851345584717</v>
      </c>
      <c r="AM144" s="59">
        <f t="shared" si="113"/>
        <v>883.44184678918054</v>
      </c>
      <c r="AN144" s="59">
        <f ca="1">AVERAGE(OFFSET($AM$3,0,0,'Données projet'!$E$10+1,1))-AVERAGE(OFFSET($H$3,0,0,'Données projet'!$E$10+1,1))</f>
        <v>382.67703499770795</v>
      </c>
      <c r="AO144" s="59">
        <f t="shared" si="144"/>
        <v>237.98926636458219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42.5853049817228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42.5853049817228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4.5474735088646412E-13</v>
      </c>
      <c r="O145" s="13">
        <f>N145*VLOOKUP('Données projet'!$B$9,Paramètres!$A$1:$I$89,3,0)*VLOOKUP('Données projet'!$B$9,Paramètres!$A$1:$I$89,5,0)</f>
        <v>2.7193891583010558E-13</v>
      </c>
      <c r="P145" s="13">
        <f t="shared" si="141"/>
        <v>3.6362267729089988E-12</v>
      </c>
      <c r="Q145" s="20">
        <f t="shared" si="108"/>
        <v>6.8067219078872727E-12</v>
      </c>
      <c r="R145" s="59">
        <f t="shared" si="109"/>
        <v>293.33333333334014</v>
      </c>
      <c r="S145" s="59">
        <f ca="1">AVERAGE(OFFSET($R$3,0,0,'Données projet'!$E$9+1,1))-AVERAGE(OFFSET($H$3,0,0,'Données projet'!$E$9+1,1))</f>
        <v>252.28378247570731</v>
      </c>
      <c r="T145" s="59">
        <f t="shared" si="142"/>
        <v>263.50418595307343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3.1946910265257089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5.6012090220987407E-16</v>
      </c>
      <c r="AC145" s="22">
        <f t="shared" si="111"/>
        <v>3.1946910265257094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3.4</v>
      </c>
      <c r="AI145" s="13">
        <f>IF('Données projet'!$A$62&gt;35,AI144+AH145-AQ144,IF(A145&lt;'Données projet'!$A$62,$AF$205^A145,IF(A145='Données projet'!$A$62,'Données projet'!$B$62,AI144+AH145-AQ144)))</f>
        <v>327.79999999999995</v>
      </c>
      <c r="AJ145" s="13">
        <f>AI145*VLOOKUP('Données projet'!$B$10,Paramètres!$A$1:$I$89,3,0)*VLOOKUP('Données projet'!$B$10,Paramètres!$A$1:$I$89,5,0)</f>
        <v>276.13872000000003</v>
      </c>
      <c r="AK145" s="13">
        <f t="shared" si="143"/>
        <v>66.150351116005879</v>
      </c>
      <c r="AL145" s="20">
        <f t="shared" si="112"/>
        <v>596.15346552704364</v>
      </c>
      <c r="AM145" s="59">
        <f t="shared" si="113"/>
        <v>889.48679886037689</v>
      </c>
      <c r="AN145" s="59">
        <f ca="1">AVERAGE(OFFSET($AM$3,0,0,'Données projet'!$E$10+1,1))-AVERAGE(OFFSET($H$3,0,0,'Données projet'!$E$10+1,1))</f>
        <v>382.67703499770795</v>
      </c>
      <c r="AO145" s="59">
        <f t="shared" si="144"/>
        <v>237.98926636458219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41.75023312550249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41.75023312550249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4.5474735088646412E-13</v>
      </c>
      <c r="O146" s="13">
        <f>N146*VLOOKUP('Données projet'!$B$9,Paramètres!$A$1:$I$89,3,0)*VLOOKUP('Données projet'!$B$9,Paramètres!$A$1:$I$89,5,0)</f>
        <v>2.7193891583010558E-13</v>
      </c>
      <c r="P146" s="13">
        <f t="shared" si="141"/>
        <v>3.6362267729089988E-12</v>
      </c>
      <c r="Q146" s="20">
        <f t="shared" si="108"/>
        <v>6.8067219078872727E-12</v>
      </c>
      <c r="R146" s="59">
        <f t="shared" si="109"/>
        <v>293.33333333334014</v>
      </c>
      <c r="S146" s="59">
        <f ca="1">AVERAGE(OFFSET($R$3,0,0,'Données projet'!$E$9+1,1))-AVERAGE(OFFSET($H$3,0,0,'Données projet'!$E$9+1,1))</f>
        <v>252.28378247570731</v>
      </c>
      <c r="T146" s="59">
        <f t="shared" si="142"/>
        <v>263.50418595307343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3.1320450840646608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3.9606528823692901E-16</v>
      </c>
      <c r="AC146" s="22">
        <f t="shared" si="111"/>
        <v>3.1320450840646612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3.4</v>
      </c>
      <c r="AI146" s="13">
        <f>IF('Données projet'!$A$62&gt;35,AI145+AH146-AQ145,IF(A146&lt;'Données projet'!$A$62,$AF$205^A146,IF(A146='Données projet'!$A$62,'Données projet'!$B$62,AI145+AH146-AQ145)))</f>
        <v>331.19999999999993</v>
      </c>
      <c r="AJ146" s="13">
        <f>AI146*VLOOKUP('Données projet'!$B$10,Paramètres!$A$1:$I$89,3,0)*VLOOKUP('Données projet'!$B$10,Paramètres!$A$1:$I$89,5,0)</f>
        <v>279.00288</v>
      </c>
      <c r="AK146" s="13">
        <f t="shared" si="143"/>
        <v>66.756245029775258</v>
      </c>
      <c r="AL146" s="20">
        <f t="shared" si="112"/>
        <v>602.19714276019192</v>
      </c>
      <c r="AM146" s="59">
        <f t="shared" si="113"/>
        <v>895.53047609352529</v>
      </c>
      <c r="AN146" s="59">
        <f ca="1">AVERAGE(OFFSET($AM$3,0,0,'Données projet'!$E$10+1,1))-AVERAGE(OFFSET($H$3,0,0,'Données projet'!$E$10+1,1))</f>
        <v>382.67703499770795</v>
      </c>
      <c r="AO146" s="59">
        <f t="shared" si="144"/>
        <v>237.98926636458219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40.93153651903912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40.93153651903912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4.5474735088646412E-13</v>
      </c>
      <c r="O147" s="13">
        <f>N147*VLOOKUP('Données projet'!$B$9,Paramètres!$A$1:$I$89,3,0)*VLOOKUP('Données projet'!$B$9,Paramètres!$A$1:$I$89,5,0)</f>
        <v>2.7193891583010558E-13</v>
      </c>
      <c r="P147" s="13">
        <f t="shared" si="141"/>
        <v>3.6362267729089988E-12</v>
      </c>
      <c r="Q147" s="20">
        <f t="shared" si="108"/>
        <v>6.8067219078872727E-12</v>
      </c>
      <c r="R147" s="59">
        <f t="shared" si="109"/>
        <v>293.33333333334014</v>
      </c>
      <c r="S147" s="59">
        <f ca="1">AVERAGE(OFFSET($R$3,0,0,'Données projet'!$E$9+1,1))-AVERAGE(OFFSET($H$3,0,0,'Données projet'!$E$9+1,1))</f>
        <v>252.28378247570731</v>
      </c>
      <c r="T147" s="59">
        <f t="shared" si="142"/>
        <v>263.50418595307343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3.0706275903250217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2.8006045110493704E-16</v>
      </c>
      <c r="AC147" s="22">
        <f t="shared" si="111"/>
        <v>3.0706275903250222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3.4</v>
      </c>
      <c r="AI147" s="13">
        <f>IF('Données projet'!$A$62&gt;35,AI146+AH147-AQ146,IF(A147&lt;'Données projet'!$A$62,$AF$205^A147,IF(A147='Données projet'!$A$62,'Données projet'!$B$62,AI146+AH147-AQ146)))</f>
        <v>334.59999999999991</v>
      </c>
      <c r="AJ147" s="13">
        <f>AI147*VLOOKUP('Données projet'!$B$10,Paramètres!$A$1:$I$89,3,0)*VLOOKUP('Données projet'!$B$10,Paramètres!$A$1:$I$89,5,0)</f>
        <v>281.86703999999997</v>
      </c>
      <c r="AK147" s="13">
        <f t="shared" si="143"/>
        <v>67.361415363173109</v>
      </c>
      <c r="AL147" s="20">
        <f t="shared" si="112"/>
        <v>608.23955975752642</v>
      </c>
      <c r="AM147" s="59">
        <f t="shared" si="113"/>
        <v>901.57289309085968</v>
      </c>
      <c r="AN147" s="59">
        <f ca="1">AVERAGE(OFFSET($AM$3,0,0,'Données projet'!$E$10+1,1))-AVERAGE(OFFSET($H$3,0,0,'Données projet'!$E$10+1,1))</f>
        <v>382.67703499770795</v>
      </c>
      <c r="AO147" s="59">
        <f t="shared" si="144"/>
        <v>237.98926636458219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40.128894053672873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40.128894053672873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4.5474735088646412E-13</v>
      </c>
      <c r="O148" s="13">
        <f>N148*VLOOKUP('Données projet'!$B$9,Paramètres!$A$1:$I$89,3,0)*VLOOKUP('Données projet'!$B$9,Paramètres!$A$1:$I$89,5,0)</f>
        <v>2.7193891583010558E-13</v>
      </c>
      <c r="P148" s="13">
        <f t="shared" si="141"/>
        <v>3.6362267729089988E-12</v>
      </c>
      <c r="Q148" s="20">
        <f t="shared" si="108"/>
        <v>6.8067219078872727E-12</v>
      </c>
      <c r="R148" s="59">
        <f t="shared" si="109"/>
        <v>293.33333333334014</v>
      </c>
      <c r="S148" s="59">
        <f ca="1">AVERAGE(OFFSET($R$3,0,0,'Données projet'!$E$9+1,1))-AVERAGE(OFFSET($H$3,0,0,'Données projet'!$E$9+1,1))</f>
        <v>252.28378247570731</v>
      </c>
      <c r="T148" s="59">
        <f t="shared" si="142"/>
        <v>263.50418595307343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3.0104144561766448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1.9803264411846451E-16</v>
      </c>
      <c r="AC148" s="22">
        <f t="shared" si="111"/>
        <v>3.0104144561766448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3.4</v>
      </c>
      <c r="AI148" s="13">
        <f>IF('Données projet'!$A$62&gt;35,AI147+AH148-AQ147,IF(A148&lt;'Données projet'!$A$62,$AF$205^A148,IF(A148='Données projet'!$A$62,'Données projet'!$B$62,AI147+AH148-AQ147)))</f>
        <v>337.99999999999989</v>
      </c>
      <c r="AJ148" s="13">
        <f>AI148*VLOOKUP('Données projet'!$B$10,Paramètres!$A$1:$I$89,3,0)*VLOOKUP('Données projet'!$B$10,Paramètres!$A$1:$I$89,5,0)</f>
        <v>284.73119999999994</v>
      </c>
      <c r="AK148" s="13">
        <f t="shared" si="143"/>
        <v>67.965870320050954</v>
      </c>
      <c r="AL148" s="20">
        <f t="shared" si="112"/>
        <v>614.28073080742195</v>
      </c>
      <c r="AM148" s="59">
        <f t="shared" si="113"/>
        <v>907.61406414075532</v>
      </c>
      <c r="AN148" s="59">
        <f ca="1">AVERAGE(OFFSET($AM$3,0,0,'Données projet'!$E$10+1,1))-AVERAGE(OFFSET($H$3,0,0,'Données projet'!$E$10+1,1))</f>
        <v>382.67703499770795</v>
      </c>
      <c r="AO148" s="59">
        <f t="shared" si="144"/>
        <v>237.98926636458219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39.341990917488893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39.341990917488893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4.5474735088646412E-13</v>
      </c>
      <c r="O149" s="13">
        <f>N149*VLOOKUP('Données projet'!$B$9,Paramètres!$A$1:$I$89,3,0)*VLOOKUP('Données projet'!$B$9,Paramètres!$A$1:$I$89,5,0)</f>
        <v>2.7193891583010558E-13</v>
      </c>
      <c r="P149" s="13">
        <f t="shared" si="141"/>
        <v>3.6362267729089988E-12</v>
      </c>
      <c r="Q149" s="20">
        <f t="shared" si="108"/>
        <v>6.8067219078872727E-12</v>
      </c>
      <c r="R149" s="59">
        <f t="shared" si="109"/>
        <v>293.33333333334014</v>
      </c>
      <c r="S149" s="59">
        <f ca="1">AVERAGE(OFFSET($R$3,0,0,'Données projet'!$E$9+1,1))-AVERAGE(OFFSET($H$3,0,0,'Données projet'!$E$9+1,1))</f>
        <v>252.28378247570731</v>
      </c>
      <c r="T149" s="59">
        <f t="shared" si="142"/>
        <v>263.50418595307343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2.9513820648625324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1.4003022555246852E-16</v>
      </c>
      <c r="AC149" s="22">
        <f t="shared" si="111"/>
        <v>2.9513820648625324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3.4</v>
      </c>
      <c r="AI149" s="13">
        <f>IF('Données projet'!$A$62&gt;35,AI148+AH149-AQ148,IF(A149&lt;'Données projet'!$A$62,$AF$205^A149,IF(A149='Données projet'!$A$62,'Données projet'!$B$62,AI148+AH149-AQ148)))</f>
        <v>341.39999999999986</v>
      </c>
      <c r="AJ149" s="13">
        <f>AI149*VLOOKUP('Données projet'!$B$10,Paramètres!$A$1:$I$89,3,0)*VLOOKUP('Données projet'!$B$10,Paramètres!$A$1:$I$89,5,0)</f>
        <v>287.59535999999991</v>
      </c>
      <c r="AK149" s="13">
        <f t="shared" si="143"/>
        <v>68.569617929699987</v>
      </c>
      <c r="AL149" s="20">
        <f t="shared" si="112"/>
        <v>620.32066989422731</v>
      </c>
      <c r="AM149" s="59">
        <f t="shared" si="113"/>
        <v>913.65400322756068</v>
      </c>
      <c r="AN149" s="59">
        <f ca="1">AVERAGE(OFFSET($AM$3,0,0,'Données projet'!$E$10+1,1))-AVERAGE(OFFSET($H$3,0,0,'Données projet'!$E$10+1,1))</f>
        <v>382.67703499770795</v>
      </c>
      <c r="AO149" s="59">
        <f t="shared" si="144"/>
        <v>237.98926636458219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38.570518471841964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38.570518471841964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4.5474735088646412E-13</v>
      </c>
      <c r="O150" s="13">
        <f>N150*VLOOKUP('Données projet'!$B$9,Paramètres!$A$1:$I$89,3,0)*VLOOKUP('Données projet'!$B$9,Paramètres!$A$1:$I$89,5,0)</f>
        <v>2.7193891583010558E-13</v>
      </c>
      <c r="P150" s="13">
        <f t="shared" si="141"/>
        <v>3.6362267729089988E-12</v>
      </c>
      <c r="Q150" s="20">
        <f t="shared" si="108"/>
        <v>6.8067219078872727E-12</v>
      </c>
      <c r="R150" s="59">
        <f t="shared" si="109"/>
        <v>293.33333333334014</v>
      </c>
      <c r="S150" s="59">
        <f ca="1">AVERAGE(OFFSET($R$3,0,0,'Données projet'!$E$9+1,1))-AVERAGE(OFFSET($H$3,0,0,'Données projet'!$E$9+1,1))</f>
        <v>252.28378247570731</v>
      </c>
      <c r="T150" s="59">
        <f t="shared" si="142"/>
        <v>263.50418595307343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2.893507262735886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9.9016322059232253E-17</v>
      </c>
      <c r="AC150" s="22">
        <f t="shared" si="111"/>
        <v>2.893507262735886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3.4</v>
      </c>
      <c r="AI150" s="13">
        <f>IF('Données projet'!$A$62&gt;35,AI149+AH150-AQ149,IF(A150&lt;'Données projet'!$A$62,$AF$205^A150,IF(A150='Données projet'!$A$62,'Données projet'!$B$62,AI149+AH150-AQ149)))</f>
        <v>344.79999999999984</v>
      </c>
      <c r="AJ150" s="13">
        <f>AI150*VLOOKUP('Données projet'!$B$10,Paramètres!$A$1:$I$89,3,0)*VLOOKUP('Données projet'!$B$10,Paramètres!$A$1:$I$89,5,0)</f>
        <v>290.45951999999988</v>
      </c>
      <c r="AK150" s="13">
        <f t="shared" si="143"/>
        <v>69.172666052266209</v>
      </c>
      <c r="AL150" s="20">
        <f t="shared" si="112"/>
        <v>626.35939070769678</v>
      </c>
      <c r="AM150" s="59">
        <f t="shared" si="113"/>
        <v>919.69272404103003</v>
      </c>
      <c r="AN150" s="59">
        <f ca="1">AVERAGE(OFFSET($AM$3,0,0,'Données projet'!$E$10+1,1))-AVERAGE(OFFSET($H$3,0,0,'Données projet'!$E$10+1,1))</f>
        <v>382.67703499770795</v>
      </c>
      <c r="AO150" s="59">
        <f t="shared" si="144"/>
        <v>237.98926636458219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37.81417413030244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37.81417413030244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4.5474735088646412E-13</v>
      </c>
      <c r="O151" s="13">
        <f>N151*VLOOKUP('Données projet'!$B$9,Paramètres!$A$1:$I$89,3,0)*VLOOKUP('Données projet'!$B$9,Paramètres!$A$1:$I$89,5,0)</f>
        <v>2.7193891583010558E-13</v>
      </c>
      <c r="P151" s="13">
        <f t="shared" si="141"/>
        <v>3.6362267729089988E-12</v>
      </c>
      <c r="Q151" s="20">
        <f t="shared" si="108"/>
        <v>6.8067219078872727E-12</v>
      </c>
      <c r="R151" s="59">
        <f t="shared" si="109"/>
        <v>293.33333333334014</v>
      </c>
      <c r="S151" s="59">
        <f ca="1">AVERAGE(OFFSET($R$3,0,0,'Données projet'!$E$9+1,1))-AVERAGE(OFFSET($H$3,0,0,'Données projet'!$E$9+1,1))</f>
        <v>252.28378247570731</v>
      </c>
      <c r="T151" s="59">
        <f t="shared" si="142"/>
        <v>263.50418595307343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2.8367673501787998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7.0015112776234259E-17</v>
      </c>
      <c r="AC151" s="22">
        <f t="shared" si="111"/>
        <v>2.8367673501787998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3.4</v>
      </c>
      <c r="AI151" s="13">
        <f>IF('Données projet'!$A$62&gt;35,AI150+AH151-AQ150,IF(A151&lt;'Données projet'!$A$62,$AF$205^A151,IF(A151='Données projet'!$A$62,'Données projet'!$B$62,AI150+AH151-AQ150)))</f>
        <v>348.19999999999982</v>
      </c>
      <c r="AJ151" s="13">
        <f>AI151*VLOOKUP('Données projet'!$B$10,Paramètres!$A$1:$I$89,3,0)*VLOOKUP('Données projet'!$B$10,Paramètres!$A$1:$I$89,5,0)</f>
        <v>293.32367999999985</v>
      </c>
      <c r="AK151" s="13">
        <f t="shared" si="143"/>
        <v>69.775022383945227</v>
      </c>
      <c r="AL151" s="20">
        <f t="shared" si="112"/>
        <v>632.39690665203761</v>
      </c>
      <c r="AM151" s="59">
        <f t="shared" si="113"/>
        <v>925.73023998537087</v>
      </c>
      <c r="AN151" s="59">
        <f ca="1">AVERAGE(OFFSET($AM$3,0,0,'Données projet'!$E$10+1,1))-AVERAGE(OFFSET($H$3,0,0,'Données projet'!$E$10+1,1))</f>
        <v>382.67703499770795</v>
      </c>
      <c r="AO151" s="59">
        <f t="shared" si="144"/>
        <v>237.98926636458219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37.072661239976014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37.072661239976014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4.5474735088646412E-13</v>
      </c>
      <c r="O152" s="13">
        <f>N152*VLOOKUP('Données projet'!$B$9,Paramètres!$A$1:$I$89,3,0)*VLOOKUP('Données projet'!$B$9,Paramètres!$A$1:$I$89,5,0)</f>
        <v>2.7193891583010558E-13</v>
      </c>
      <c r="P152" s="13">
        <f t="shared" si="141"/>
        <v>3.6362267729089988E-12</v>
      </c>
      <c r="Q152" s="20">
        <f t="shared" si="108"/>
        <v>6.8067219078872727E-12</v>
      </c>
      <c r="R152" s="59">
        <f t="shared" si="109"/>
        <v>293.33333333334014</v>
      </c>
      <c r="S152" s="59">
        <f ca="1">AVERAGE(OFFSET($R$3,0,0,'Données projet'!$E$9+1,1))-AVERAGE(OFFSET($H$3,0,0,'Données projet'!$E$9+1,1))</f>
        <v>252.28378247570731</v>
      </c>
      <c r="T152" s="59">
        <f t="shared" si="142"/>
        <v>263.50418595307343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2.7811400726990283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4.9508161029616127E-17</v>
      </c>
      <c r="AC152" s="22">
        <f t="shared" si="111"/>
        <v>2.7811400726990283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3.4</v>
      </c>
      <c r="AI152" s="13">
        <f>IF('Données projet'!$A$62&gt;35,AI151+AH152-AQ151,IF(A152&lt;'Données projet'!$A$62,$AF$205^A152,IF(A152='Données projet'!$A$62,'Données projet'!$B$62,AI151+AH152-AQ151)))</f>
        <v>351.5999999999998</v>
      </c>
      <c r="AJ152" s="13">
        <f>AI152*VLOOKUP('Données projet'!$B$10,Paramètres!$A$1:$I$89,3,0)*VLOOKUP('Données projet'!$B$10,Paramètres!$A$1:$I$89,5,0)</f>
        <v>296.18783999999982</v>
      </c>
      <c r="AK152" s="13">
        <f t="shared" si="143"/>
        <v>70.37669446196935</v>
      </c>
      <c r="AL152" s="20">
        <f t="shared" si="112"/>
        <v>638.43323085459633</v>
      </c>
      <c r="AM152" s="59">
        <f t="shared" si="113"/>
        <v>931.76656418792959</v>
      </c>
      <c r="AN152" s="59">
        <f ca="1">AVERAGE(OFFSET($AM$3,0,0,'Données projet'!$E$10+1,1))-AVERAGE(OFFSET($H$3,0,0,'Données projet'!$E$10+1,1))</f>
        <v>382.67703499770795</v>
      </c>
      <c r="AO152" s="59">
        <f t="shared" si="144"/>
        <v>237.98926636458219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36.345688965150686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36.345688965150686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4.5474735088646412E-13</v>
      </c>
      <c r="O153" s="13">
        <f>N153*VLOOKUP('Données projet'!$B$9,Paramètres!$A$1:$I$89,3,0)*VLOOKUP('Données projet'!$B$9,Paramètres!$A$1:$I$89,5,0)</f>
        <v>2.7193891583010558E-13</v>
      </c>
      <c r="P153" s="13">
        <f t="shared" si="141"/>
        <v>3.6362267729089988E-12</v>
      </c>
      <c r="Q153" s="20">
        <f t="shared" si="108"/>
        <v>6.8067219078872727E-12</v>
      </c>
      <c r="R153" s="59">
        <f t="shared" si="109"/>
        <v>293.33333333334014</v>
      </c>
      <c r="S153" s="59">
        <f ca="1">AVERAGE(OFFSET($R$3,0,0,'Données projet'!$E$9+1,1))-AVERAGE(OFFSET($H$3,0,0,'Données projet'!$E$9+1,1))</f>
        <v>252.28378247570731</v>
      </c>
      <c r="T153" s="59">
        <f t="shared" si="142"/>
        <v>263.50418595307343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2.7266036122013464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3.5007556388117129E-17</v>
      </c>
      <c r="AC153" s="22">
        <f t="shared" si="111"/>
        <v>2.7266036122013464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>
        <f>VLOOKUP(A153,'Données projet'!$A$61:$I$81,2,0)</f>
        <v>355</v>
      </c>
      <c r="AG153" s="12">
        <f>VLOOKUP(A153,'Données projet'!$A$61:$I$81,9,0)</f>
        <v>3.4</v>
      </c>
      <c r="AH153" s="12">
        <f t="array" ref="AH153">INDEX(AG:AG,MIN(IF(ISNUMBER(AG153:AG349),ROW(AG153:AG349),"")))</f>
        <v>3.4</v>
      </c>
      <c r="AI153" s="13">
        <f>IF('Données projet'!$A$62&gt;35,AI152+AH153-AQ152,IF(A153&lt;'Données projet'!$A$62,$AF$205^A153,IF(A153='Données projet'!$A$62,'Données projet'!$B$62,AI152+AH153-AQ152)))</f>
        <v>354.99999999999977</v>
      </c>
      <c r="AJ153" s="13">
        <f>AI153*VLOOKUP('Données projet'!$B$10,Paramètres!$A$1:$I$89,3,0)*VLOOKUP('Données projet'!$B$10,Paramètres!$A$1:$I$89,5,0)</f>
        <v>299.05199999999985</v>
      </c>
      <c r="AK153" s="13">
        <f t="shared" si="143"/>
        <v>70.977689669395403</v>
      </c>
      <c r="AL153" s="20">
        <f t="shared" si="112"/>
        <v>644.46837617419669</v>
      </c>
      <c r="AM153" s="59">
        <f t="shared" si="113"/>
        <v>937.80170950752995</v>
      </c>
      <c r="AN153" s="59">
        <f ca="1">AVERAGE(OFFSET($AM$3,0,0,'Données projet'!$E$10+1,1))-AVERAGE(OFFSET($H$3,0,0,'Données projet'!$E$10+1,1))</f>
        <v>382.67703499770795</v>
      </c>
      <c r="AO153" s="59">
        <f t="shared" si="144"/>
        <v>237.98926636458219</v>
      </c>
      <c r="AP153" s="15">
        <f>IF(ISNA(VLOOKUP(A153,'Données projet'!$A$61:$I$81,3,0)),0,VLOOKUP(A153,'Données projet'!$A$61:$I$81,3,0))</f>
        <v>14</v>
      </c>
      <c r="AQ153" s="15">
        <f>IF(ISNA(VLOOKUP(A153,'Données projet'!$A$61:$I$81,4,0)),0,VLOOKUP(A153,'Données projet'!$A$61:$I$81,4,0))</f>
        <v>355</v>
      </c>
      <c r="AR153" s="16">
        <f>IF(ISNA(VLOOKUP(A153,'Données projet'!$A$61:$I$81,5,0)),0%,VLOOKUP(A153,'Données projet'!$A$61:$I$81,5,0)*VLOOKUP('Données projet'!$B$10,Paramètres!$A$1:$I$89,7,0))</f>
        <v>0.43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177.78801718746311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177.78801718746311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4.5474735088646412E-13</v>
      </c>
      <c r="O154" s="13">
        <f>N154*VLOOKUP('Données projet'!$B$9,Paramètres!$A$1:$I$89,3,0)*VLOOKUP('Données projet'!$B$9,Paramètres!$A$1:$I$89,5,0)</f>
        <v>2.7193891583010558E-13</v>
      </c>
      <c r="P154" s="13">
        <f t="shared" si="141"/>
        <v>3.6362267729089988E-12</v>
      </c>
      <c r="Q154" s="20">
        <f t="shared" ref="Q154:Q203" si="162">(O154+P154)*0.475*44/12</f>
        <v>6.8067219078872727E-12</v>
      </c>
      <c r="R154" s="59">
        <f t="shared" si="109"/>
        <v>293.33333333334014</v>
      </c>
      <c r="S154" s="59">
        <f ca="1">AVERAGE(OFFSET($R$3,0,0,'Données projet'!$E$9+1,1))-AVERAGE(OFFSET($H$3,0,0,'Données projet'!$E$9+1,1))</f>
        <v>252.28378247570731</v>
      </c>
      <c r="T154" s="59">
        <f t="shared" si="142"/>
        <v>263.50418595307343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2.6731365784300674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2.4754080514808063E-17</v>
      </c>
      <c r="AC154" s="22">
        <f t="shared" ref="AC154:AC203" si="163">SUM(Z154:AB154)</f>
        <v>2.6731365784300674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-2.2737367544323206E-13</v>
      </c>
      <c r="AJ154" s="13">
        <f>AI154*VLOOKUP('Données projet'!$B$10,Paramètres!$A$1:$I$89,3,0)*VLOOKUP('Données projet'!$B$10,Paramètres!$A$1:$I$89,5,0)</f>
        <v>-1.915395841933787E-13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382.67703499770795</v>
      </c>
      <c r="AO154" s="59">
        <f t="shared" si="144"/>
        <v>237.98926636458219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174.30170261039987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174.30170261039987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4.5474735088646412E-13</v>
      </c>
      <c r="O155" s="13">
        <f>N155*VLOOKUP('Données projet'!$B$9,Paramètres!$A$1:$I$89,3,0)*VLOOKUP('Données projet'!$B$9,Paramètres!$A$1:$I$89,5,0)</f>
        <v>2.7193891583010558E-13</v>
      </c>
      <c r="P155" s="13">
        <f t="shared" si="141"/>
        <v>3.6362267729089988E-12</v>
      </c>
      <c r="Q155" s="20">
        <f t="shared" si="162"/>
        <v>6.8067219078872727E-12</v>
      </c>
      <c r="R155" s="59">
        <f t="shared" si="109"/>
        <v>293.33333333334014</v>
      </c>
      <c r="S155" s="59">
        <f ca="1">AVERAGE(OFFSET($R$3,0,0,'Données projet'!$E$9+1,1))-AVERAGE(OFFSET($H$3,0,0,'Données projet'!$E$9+1,1))</f>
        <v>252.28378247570731</v>
      </c>
      <c r="T155" s="59">
        <f t="shared" si="142"/>
        <v>263.50418595307343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2.6207180005793727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1.7503778194058565E-17</v>
      </c>
      <c r="AC155" s="22">
        <f t="shared" si="163"/>
        <v>2.6207180005793727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-2.2737367544323206E-13</v>
      </c>
      <c r="AJ155" s="13">
        <f>AI155*VLOOKUP('Données projet'!$B$10,Paramètres!$A$1:$I$89,3,0)*VLOOKUP('Données projet'!$B$10,Paramètres!$A$1:$I$89,5,0)</f>
        <v>-1.915395841933787E-13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382.67703499770795</v>
      </c>
      <c r="AO155" s="59">
        <f t="shared" si="144"/>
        <v>237.98926636458219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170.88375253575094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170.88375253575094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4.5474735088646412E-13</v>
      </c>
      <c r="O156" s="13">
        <f>N156*VLOOKUP('Données projet'!$B$9,Paramètres!$A$1:$I$89,3,0)*VLOOKUP('Données projet'!$B$9,Paramètres!$A$1:$I$89,5,0)</f>
        <v>2.7193891583010558E-13</v>
      </c>
      <c r="P156" s="13">
        <f t="shared" si="141"/>
        <v>3.6362267729089988E-12</v>
      </c>
      <c r="Q156" s="20">
        <f t="shared" si="162"/>
        <v>6.8067219078872727E-12</v>
      </c>
      <c r="R156" s="59">
        <f t="shared" si="109"/>
        <v>293.33333333334014</v>
      </c>
      <c r="S156" s="59">
        <f ca="1">AVERAGE(OFFSET($R$3,0,0,'Données projet'!$E$9+1,1))-AVERAGE(OFFSET($H$3,0,0,'Données projet'!$E$9+1,1))</f>
        <v>252.28378247570731</v>
      </c>
      <c r="T156" s="59">
        <f t="shared" si="142"/>
        <v>263.50418595307343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2.5693273190681549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1.2377040257404032E-17</v>
      </c>
      <c r="AC156" s="22">
        <f t="shared" si="163"/>
        <v>2.5693273190681549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-2.2737367544323206E-13</v>
      </c>
      <c r="AJ156" s="13">
        <f>AI156*VLOOKUP('Données projet'!$B$10,Paramètres!$A$1:$I$89,3,0)*VLOOKUP('Données projet'!$B$10,Paramètres!$A$1:$I$89,5,0)</f>
        <v>-1.915395841933787E-13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382.67703499770795</v>
      </c>
      <c r="AO156" s="59">
        <f t="shared" si="144"/>
        <v>237.98926636458219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167.53282637732218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167.53282637732218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4.5474735088646412E-13</v>
      </c>
      <c r="O157" s="13">
        <f>N157*VLOOKUP('Données projet'!$B$9,Paramètres!$A$1:$I$89,3,0)*VLOOKUP('Données projet'!$B$9,Paramètres!$A$1:$I$89,5,0)</f>
        <v>2.7193891583010558E-13</v>
      </c>
      <c r="P157" s="13">
        <f t="shared" si="141"/>
        <v>3.6362267729089988E-12</v>
      </c>
      <c r="Q157" s="20">
        <f t="shared" si="162"/>
        <v>6.8067219078872727E-12</v>
      </c>
      <c r="R157" s="59">
        <f t="shared" si="109"/>
        <v>293.33333333334014</v>
      </c>
      <c r="S157" s="59">
        <f ca="1">AVERAGE(OFFSET($R$3,0,0,'Données projet'!$E$9+1,1))-AVERAGE(OFFSET($H$3,0,0,'Données projet'!$E$9+1,1))</f>
        <v>252.28378247570731</v>
      </c>
      <c r="T157" s="59">
        <f t="shared" si="142"/>
        <v>263.50418595307343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2.5189443774761515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8.7518890970292824E-18</v>
      </c>
      <c r="AC157" s="22">
        <f t="shared" si="163"/>
        <v>2.5189443774761515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-2.2737367544323206E-13</v>
      </c>
      <c r="AJ157" s="13">
        <f>AI157*VLOOKUP('Données projet'!$B$10,Paramètres!$A$1:$I$89,3,0)*VLOOKUP('Données projet'!$B$10,Paramètres!$A$1:$I$89,5,0)</f>
        <v>-1.915395841933787E-13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382.67703499770795</v>
      </c>
      <c r="AO157" s="59">
        <f t="shared" si="144"/>
        <v>237.98926636458219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164.24760983699707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164.24760983699707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4.5474735088646412E-13</v>
      </c>
      <c r="O158" s="13">
        <f>N158*VLOOKUP('Données projet'!$B$9,Paramètres!$A$1:$I$89,3,0)*VLOOKUP('Données projet'!$B$9,Paramètres!$A$1:$I$89,5,0)</f>
        <v>2.7193891583010558E-13</v>
      </c>
      <c r="P158" s="13">
        <f t="shared" si="141"/>
        <v>3.6362267729089988E-12</v>
      </c>
      <c r="Q158" s="20">
        <f t="shared" si="162"/>
        <v>6.8067219078872727E-12</v>
      </c>
      <c r="R158" s="59">
        <f t="shared" si="109"/>
        <v>293.33333333334014</v>
      </c>
      <c r="S158" s="59">
        <f ca="1">AVERAGE(OFFSET($R$3,0,0,'Données projet'!$E$9+1,1))-AVERAGE(OFFSET($H$3,0,0,'Données projet'!$E$9+1,1))</f>
        <v>252.28378247570731</v>
      </c>
      <c r="T158" s="59">
        <f t="shared" si="142"/>
        <v>263.50418595307343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2.4695494146382071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6.1885201287020158E-18</v>
      </c>
      <c r="AC158" s="22">
        <f t="shared" si="163"/>
        <v>2.4695494146382071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-2.2737367544323206E-13</v>
      </c>
      <c r="AJ158" s="13">
        <f>AI158*VLOOKUP('Données projet'!$B$10,Paramètres!$A$1:$I$89,3,0)*VLOOKUP('Données projet'!$B$10,Paramètres!$A$1:$I$89,5,0)</f>
        <v>-1.915395841933787E-13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382.67703499770795</v>
      </c>
      <c r="AO158" s="59">
        <f t="shared" si="144"/>
        <v>237.98926636458219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161.0268143892435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161.0268143892435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4.5474735088646412E-13</v>
      </c>
      <c r="O159" s="13">
        <f>N159*VLOOKUP('Données projet'!$B$9,Paramètres!$A$1:$I$89,3,0)*VLOOKUP('Données projet'!$B$9,Paramètres!$A$1:$I$89,5,0)</f>
        <v>2.7193891583010558E-13</v>
      </c>
      <c r="P159" s="13">
        <f t="shared" si="141"/>
        <v>3.6362267729089988E-12</v>
      </c>
      <c r="Q159" s="20">
        <f t="shared" si="162"/>
        <v>6.8067219078872727E-12</v>
      </c>
      <c r="R159" s="59">
        <f t="shared" si="109"/>
        <v>293.33333333334014</v>
      </c>
      <c r="S159" s="59">
        <f ca="1">AVERAGE(OFFSET($R$3,0,0,'Données projet'!$E$9+1,1))-AVERAGE(OFFSET($H$3,0,0,'Données projet'!$E$9+1,1))</f>
        <v>252.28378247570731</v>
      </c>
      <c r="T159" s="59">
        <f t="shared" si="142"/>
        <v>263.50418595307343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2.4211230568935624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4.3759445485146412E-18</v>
      </c>
      <c r="AC159" s="22">
        <f t="shared" si="163"/>
        <v>2.4211230568935624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-2.2737367544323206E-13</v>
      </c>
      <c r="AJ159" s="13">
        <f>AI159*VLOOKUP('Données projet'!$B$10,Paramètres!$A$1:$I$89,3,0)*VLOOKUP('Données projet'!$B$10,Paramètres!$A$1:$I$89,5,0)</f>
        <v>-1.915395841933787E-13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382.67703499770795</v>
      </c>
      <c r="AO159" s="59">
        <f t="shared" si="144"/>
        <v>237.98926636458219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157.86917677572913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157.86917677572913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4.5474735088646412E-13</v>
      </c>
      <c r="O160" s="13">
        <f>N160*VLOOKUP('Données projet'!$B$9,Paramètres!$A$1:$I$89,3,0)*VLOOKUP('Données projet'!$B$9,Paramètres!$A$1:$I$89,5,0)</f>
        <v>2.7193891583010558E-13</v>
      </c>
      <c r="P160" s="13">
        <f t="shared" si="141"/>
        <v>3.6362267729089988E-12</v>
      </c>
      <c r="Q160" s="20">
        <f t="shared" si="162"/>
        <v>6.8067219078872727E-12</v>
      </c>
      <c r="R160" s="59">
        <f t="shared" si="109"/>
        <v>293.33333333334014</v>
      </c>
      <c r="S160" s="59">
        <f ca="1">AVERAGE(OFFSET($R$3,0,0,'Données projet'!$E$9+1,1))-AVERAGE(OFFSET($H$3,0,0,'Données projet'!$E$9+1,1))</f>
        <v>252.28378247570731</v>
      </c>
      <c r="T160" s="59">
        <f t="shared" si="142"/>
        <v>263.50418595307343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2.3736463104871284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3.0942600643510079E-18</v>
      </c>
      <c r="AC160" s="22">
        <f t="shared" si="163"/>
        <v>2.3736463104871284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-2.2737367544323206E-13</v>
      </c>
      <c r="AJ160" s="13">
        <f>AI160*VLOOKUP('Données projet'!$B$10,Paramètres!$A$1:$I$89,3,0)*VLOOKUP('Données projet'!$B$10,Paramètres!$A$1:$I$89,5,0)</f>
        <v>-1.915395841933787E-13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382.67703499770795</v>
      </c>
      <c r="AO160" s="59">
        <f t="shared" si="144"/>
        <v>237.98926636458219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154.77345850984699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154.77345850984699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4.5474735088646412E-13</v>
      </c>
      <c r="O161" s="13">
        <f>N161*VLOOKUP('Données projet'!$B$9,Paramètres!$A$1:$I$89,3,0)*VLOOKUP('Données projet'!$B$9,Paramètres!$A$1:$I$89,5,0)</f>
        <v>2.7193891583010558E-13</v>
      </c>
      <c r="P161" s="13">
        <f t="shared" si="141"/>
        <v>3.6362267729089988E-12</v>
      </c>
      <c r="Q161" s="20">
        <f t="shared" si="162"/>
        <v>6.8067219078872727E-12</v>
      </c>
      <c r="R161" s="59">
        <f t="shared" si="109"/>
        <v>293.33333333334014</v>
      </c>
      <c r="S161" s="59">
        <f ca="1">AVERAGE(OFFSET($R$3,0,0,'Données projet'!$E$9+1,1))-AVERAGE(OFFSET($H$3,0,0,'Données projet'!$E$9+1,1))</f>
        <v>252.28378247570731</v>
      </c>
      <c r="T161" s="59">
        <f t="shared" si="142"/>
        <v>263.50418595307343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2.3271005541197685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2.1879722742573206E-18</v>
      </c>
      <c r="AC161" s="22">
        <f t="shared" si="163"/>
        <v>2.3271005541197685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-2.2737367544323206E-13</v>
      </c>
      <c r="AJ161" s="13">
        <f>AI161*VLOOKUP('Données projet'!$B$10,Paramètres!$A$1:$I$89,3,0)*VLOOKUP('Données projet'!$B$10,Paramètres!$A$1:$I$89,5,0)</f>
        <v>-1.915395841933787E-13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382.67703499770795</v>
      </c>
      <c r="AO161" s="59">
        <f t="shared" si="144"/>
        <v>237.98926636458219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151.73844539095711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151.73844539095711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4.5474735088646412E-13</v>
      </c>
      <c r="O162" s="13">
        <f>N162*VLOOKUP('Données projet'!$B$9,Paramètres!$A$1:$I$89,3,0)*VLOOKUP('Données projet'!$B$9,Paramètres!$A$1:$I$89,5,0)</f>
        <v>2.7193891583010558E-13</v>
      </c>
      <c r="P162" s="13">
        <f t="shared" si="141"/>
        <v>3.6362267729089988E-12</v>
      </c>
      <c r="Q162" s="20">
        <f t="shared" si="162"/>
        <v>6.8067219078872727E-12</v>
      </c>
      <c r="R162" s="59">
        <f t="shared" si="109"/>
        <v>293.33333333334014</v>
      </c>
      <c r="S162" s="59">
        <f ca="1">AVERAGE(OFFSET($R$3,0,0,'Données projet'!$E$9+1,1))-AVERAGE(OFFSET($H$3,0,0,'Données projet'!$E$9+1,1))</f>
        <v>252.28378247570731</v>
      </c>
      <c r="T162" s="59">
        <f t="shared" si="142"/>
        <v>263.50418595307343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2.2814675316446644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1.547130032175504E-18</v>
      </c>
      <c r="AC162" s="22">
        <f t="shared" si="163"/>
        <v>2.2814675316446644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-2.2737367544323206E-13</v>
      </c>
      <c r="AJ162" s="13">
        <f>AI162*VLOOKUP('Données projet'!$B$10,Paramètres!$A$1:$I$89,3,0)*VLOOKUP('Données projet'!$B$10,Paramètres!$A$1:$I$89,5,0)</f>
        <v>-1.915395841933787E-13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382.67703499770795</v>
      </c>
      <c r="AO162" s="59">
        <f t="shared" si="144"/>
        <v>237.98926636458219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148.76294702815343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148.76294702815343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4.5474735088646412E-13</v>
      </c>
      <c r="O163" s="13">
        <f>N163*VLOOKUP('Données projet'!$B$9,Paramètres!$A$1:$I$89,3,0)*VLOOKUP('Données projet'!$B$9,Paramètres!$A$1:$I$89,5,0)</f>
        <v>2.7193891583010558E-13</v>
      </c>
      <c r="P163" s="13">
        <f t="shared" si="141"/>
        <v>3.6362267729089988E-12</v>
      </c>
      <c r="Q163" s="20">
        <f t="shared" si="162"/>
        <v>6.8067219078872727E-12</v>
      </c>
      <c r="R163" s="59">
        <f t="shared" si="109"/>
        <v>293.33333333334014</v>
      </c>
      <c r="S163" s="59">
        <f ca="1">AVERAGE(OFFSET($R$3,0,0,'Données projet'!$E$9+1,1))-AVERAGE(OFFSET($H$3,0,0,'Données projet'!$E$9+1,1))</f>
        <v>252.28378247570731</v>
      </c>
      <c r="T163" s="59">
        <f t="shared" si="142"/>
        <v>263.50418595307343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2.2367293449069021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1.0939861371286603E-18</v>
      </c>
      <c r="AC163" s="22">
        <f t="shared" si="163"/>
        <v>2.2367293449069021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-2.2737367544323206E-13</v>
      </c>
      <c r="AJ163" s="13">
        <f>AI163*VLOOKUP('Données projet'!$B$10,Paramètres!$A$1:$I$89,3,0)*VLOOKUP('Données projet'!$B$10,Paramètres!$A$1:$I$89,5,0)</f>
        <v>-1.915395841933787E-13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382.67703499770795</v>
      </c>
      <c r="AO163" s="59">
        <f t="shared" si="144"/>
        <v>237.98926636458219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145.84579637336955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145.84579637336955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4.5474735088646412E-13</v>
      </c>
      <c r="O164" s="13">
        <f>N164*VLOOKUP('Données projet'!$B$9,Paramètres!$A$1:$I$89,3,0)*VLOOKUP('Données projet'!$B$9,Paramètres!$A$1:$I$89,5,0)</f>
        <v>2.7193891583010558E-13</v>
      </c>
      <c r="P164" s="13">
        <f t="shared" si="141"/>
        <v>3.6362267729089988E-12</v>
      </c>
      <c r="Q164" s="20">
        <f t="shared" si="162"/>
        <v>6.8067219078872727E-12</v>
      </c>
      <c r="R164" s="59">
        <f t="shared" si="109"/>
        <v>293.33333333334014</v>
      </c>
      <c r="S164" s="59">
        <f ca="1">AVERAGE(OFFSET($R$3,0,0,'Données projet'!$E$9+1,1))-AVERAGE(OFFSET($H$3,0,0,'Données projet'!$E$9+1,1))</f>
        <v>252.28378247570731</v>
      </c>
      <c r="T164" s="59">
        <f t="shared" si="142"/>
        <v>263.50418595307343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2.1928684467234678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7.7356501608775198E-19</v>
      </c>
      <c r="AC164" s="22">
        <f t="shared" si="163"/>
        <v>2.1928684467234678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-2.2737367544323206E-13</v>
      </c>
      <c r="AJ164" s="13">
        <f>AI164*VLOOKUP('Données projet'!$B$10,Paramètres!$A$1:$I$89,3,0)*VLOOKUP('Données projet'!$B$10,Paramètres!$A$1:$I$89,5,0)</f>
        <v>-1.915395841933787E-13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382.67703499770795</v>
      </c>
      <c r="AO164" s="59">
        <f t="shared" si="144"/>
        <v>237.98926636458219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142.98584926363978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142.98584926363978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4.5474735088646412E-13</v>
      </c>
      <c r="O165" s="13">
        <f>N165*VLOOKUP('Données projet'!$B$9,Paramètres!$A$1:$I$89,3,0)*VLOOKUP('Données projet'!$B$9,Paramètres!$A$1:$I$89,5,0)</f>
        <v>2.7193891583010558E-13</v>
      </c>
      <c r="P165" s="13">
        <f t="shared" si="141"/>
        <v>3.6362267729089988E-12</v>
      </c>
      <c r="Q165" s="20">
        <f t="shared" si="162"/>
        <v>6.8067219078872727E-12</v>
      </c>
      <c r="R165" s="59">
        <f t="shared" si="109"/>
        <v>293.33333333334014</v>
      </c>
      <c r="S165" s="59">
        <f ca="1">AVERAGE(OFFSET($R$3,0,0,'Données projet'!$E$9+1,1))-AVERAGE(OFFSET($H$3,0,0,'Données projet'!$E$9+1,1))</f>
        <v>252.28378247570731</v>
      </c>
      <c r="T165" s="59">
        <f t="shared" si="142"/>
        <v>263.50418595307343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2.1498676340009042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5.4699306856433015E-19</v>
      </c>
      <c r="AC165" s="22">
        <f t="shared" si="163"/>
        <v>2.1498676340009042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-2.2737367544323206E-13</v>
      </c>
      <c r="AJ165" s="13">
        <f>AI165*VLOOKUP('Données projet'!$B$10,Paramètres!$A$1:$I$89,3,0)*VLOOKUP('Données projet'!$B$10,Paramètres!$A$1:$I$89,5,0)</f>
        <v>-1.915395841933787E-13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382.67703499770795</v>
      </c>
      <c r="AO165" s="59">
        <f t="shared" si="144"/>
        <v>237.98926636458219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140.1819839723363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140.1819839723363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4.5474735088646412E-13</v>
      </c>
      <c r="O166" s="13">
        <f>N166*VLOOKUP('Données projet'!$B$9,Paramètres!$A$1:$I$89,3,0)*VLOOKUP('Données projet'!$B$9,Paramètres!$A$1:$I$89,5,0)</f>
        <v>2.7193891583010558E-13</v>
      </c>
      <c r="P166" s="13">
        <f t="shared" si="141"/>
        <v>3.6362267729089988E-12</v>
      </c>
      <c r="Q166" s="20">
        <f t="shared" si="162"/>
        <v>6.8067219078872727E-12</v>
      </c>
      <c r="R166" s="59">
        <f t="shared" si="109"/>
        <v>293.33333333334014</v>
      </c>
      <c r="S166" s="59">
        <f ca="1">AVERAGE(OFFSET($R$3,0,0,'Données projet'!$E$9+1,1))-AVERAGE(OFFSET($H$3,0,0,'Données projet'!$E$9+1,1))</f>
        <v>252.28378247570731</v>
      </c>
      <c r="T166" s="59">
        <f t="shared" si="142"/>
        <v>263.50418595307343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2.1077100409879241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3.8678250804387599E-19</v>
      </c>
      <c r="AC166" s="22">
        <f t="shared" si="163"/>
        <v>2.1077100409879241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-2.2737367544323206E-13</v>
      </c>
      <c r="AJ166" s="13">
        <f>AI166*VLOOKUP('Données projet'!$B$10,Paramètres!$A$1:$I$89,3,0)*VLOOKUP('Données projet'!$B$10,Paramètres!$A$1:$I$89,5,0)</f>
        <v>-1.915395841933787E-13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382.67703499770795</v>
      </c>
      <c r="AO166" s="59">
        <f t="shared" si="144"/>
        <v>237.98926636458219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137.43310076920633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137.43310076920633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4.5474735088646412E-13</v>
      </c>
      <c r="O167" s="13">
        <f>N167*VLOOKUP('Données projet'!$B$9,Paramètres!$A$1:$I$89,3,0)*VLOOKUP('Données projet'!$B$9,Paramètres!$A$1:$I$89,5,0)</f>
        <v>2.7193891583010558E-13</v>
      </c>
      <c r="P167" s="13">
        <f t="shared" si="141"/>
        <v>3.6362267729089988E-12</v>
      </c>
      <c r="Q167" s="20">
        <f t="shared" si="162"/>
        <v>6.8067219078872727E-12</v>
      </c>
      <c r="R167" s="59">
        <f t="shared" si="109"/>
        <v>293.33333333334014</v>
      </c>
      <c r="S167" s="59">
        <f ca="1">AVERAGE(OFFSET($R$3,0,0,'Données projet'!$E$9+1,1))-AVERAGE(OFFSET($H$3,0,0,'Données projet'!$E$9+1,1))</f>
        <v>252.28378247570731</v>
      </c>
      <c r="T167" s="59">
        <f t="shared" si="142"/>
        <v>263.50418595307343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2.066379132660336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2.7349653428216507E-19</v>
      </c>
      <c r="AC167" s="22">
        <f t="shared" si="163"/>
        <v>2.066379132660336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-2.2737367544323206E-13</v>
      </c>
      <c r="AJ167" s="13">
        <f>AI167*VLOOKUP('Données projet'!$B$10,Paramètres!$A$1:$I$89,3,0)*VLOOKUP('Données projet'!$B$10,Paramètres!$A$1:$I$89,5,0)</f>
        <v>-1.915395841933787E-13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382.67703499770795</v>
      </c>
      <c r="AO167" s="59">
        <f t="shared" si="144"/>
        <v>237.98926636458219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134.73812148903656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134.73812148903656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4.5474735088646412E-13</v>
      </c>
      <c r="O168" s="13">
        <f>N168*VLOOKUP('Données projet'!$B$9,Paramètres!$A$1:$I$89,3,0)*VLOOKUP('Données projet'!$B$9,Paramètres!$A$1:$I$89,5,0)</f>
        <v>2.7193891583010558E-13</v>
      </c>
      <c r="P168" s="13">
        <f t="shared" si="141"/>
        <v>3.6362267729089988E-12</v>
      </c>
      <c r="Q168" s="20">
        <f t="shared" si="162"/>
        <v>6.8067219078872727E-12</v>
      </c>
      <c r="R168" s="59">
        <f t="shared" si="109"/>
        <v>293.33333333334014</v>
      </c>
      <c r="S168" s="59">
        <f ca="1">AVERAGE(OFFSET($R$3,0,0,'Données projet'!$E$9+1,1))-AVERAGE(OFFSET($H$3,0,0,'Données projet'!$E$9+1,1))</f>
        <v>252.28378247570731</v>
      </c>
      <c r="T168" s="59">
        <f t="shared" si="142"/>
        <v>263.50418595307343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2.025858698235687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1.9339125402193799E-19</v>
      </c>
      <c r="AC168" s="22">
        <f t="shared" si="163"/>
        <v>2.025858698235687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-2.2737367544323206E-13</v>
      </c>
      <c r="AJ168" s="13">
        <f>AI168*VLOOKUP('Données projet'!$B$10,Paramètres!$A$1:$I$89,3,0)*VLOOKUP('Données projet'!$B$10,Paramètres!$A$1:$I$89,5,0)</f>
        <v>-1.915395841933787E-13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382.67703499770795</v>
      </c>
      <c r="AO168" s="59">
        <f t="shared" si="144"/>
        <v>237.98926636458219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132.09598910877585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132.09598910877585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4.5474735088646412E-13</v>
      </c>
      <c r="O169" s="13">
        <f>N169*VLOOKUP('Données projet'!$B$9,Paramètres!$A$1:$I$89,3,0)*VLOOKUP('Données projet'!$B$9,Paramètres!$A$1:$I$89,5,0)</f>
        <v>2.7193891583010558E-13</v>
      </c>
      <c r="P169" s="13">
        <f t="shared" si="141"/>
        <v>3.6362267729089988E-12</v>
      </c>
      <c r="Q169" s="20">
        <f t="shared" si="162"/>
        <v>6.8067219078872727E-12</v>
      </c>
      <c r="R169" s="59">
        <f t="shared" si="109"/>
        <v>293.33333333334014</v>
      </c>
      <c r="S169" s="59">
        <f ca="1">AVERAGE(OFFSET($R$3,0,0,'Données projet'!$E$9+1,1))-AVERAGE(OFFSET($H$3,0,0,'Données projet'!$E$9+1,1))</f>
        <v>252.28378247570731</v>
      </c>
      <c r="T169" s="59">
        <f t="shared" si="142"/>
        <v>263.50418595307343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1.9861328448150806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1.3674826714108254E-19</v>
      </c>
      <c r="AC169" s="22">
        <f t="shared" si="163"/>
        <v>1.9861328448150806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-2.2737367544323206E-13</v>
      </c>
      <c r="AJ169" s="13">
        <f>AI169*VLOOKUP('Données projet'!$B$10,Paramètres!$A$1:$I$89,3,0)*VLOOKUP('Données projet'!$B$10,Paramètres!$A$1:$I$89,5,0)</f>
        <v>-1.915395841933787E-13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382.67703499770795</v>
      </c>
      <c r="AO169" s="59">
        <f t="shared" si="144"/>
        <v>237.98926636458219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129.50566733295042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129.50566733295042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4.5474735088646412E-13</v>
      </c>
      <c r="O170" s="13">
        <f>N170*VLOOKUP('Données projet'!$B$9,Paramètres!$A$1:$I$89,3,0)*VLOOKUP('Données projet'!$B$9,Paramètres!$A$1:$I$89,5,0)</f>
        <v>2.7193891583010558E-13</v>
      </c>
      <c r="P170" s="13">
        <f t="shared" si="141"/>
        <v>3.6362267729089988E-12</v>
      </c>
      <c r="Q170" s="20">
        <f t="shared" si="162"/>
        <v>6.8067219078872727E-12</v>
      </c>
      <c r="R170" s="59">
        <f t="shared" si="109"/>
        <v>293.33333333334014</v>
      </c>
      <c r="S170" s="59">
        <f ca="1">AVERAGE(OFFSET($R$3,0,0,'Données projet'!$E$9+1,1))-AVERAGE(OFFSET($H$3,0,0,'Données projet'!$E$9+1,1))</f>
        <v>252.28378247570731</v>
      </c>
      <c r="T170" s="59">
        <f t="shared" si="142"/>
        <v>263.50418595307343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1.9471859911496743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9.6695627010968997E-20</v>
      </c>
      <c r="AC170" s="22">
        <f t="shared" si="163"/>
        <v>1.9471859911496743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-2.2737367544323206E-13</v>
      </c>
      <c r="AJ170" s="13">
        <f>AI170*VLOOKUP('Données projet'!$B$10,Paramètres!$A$1:$I$89,3,0)*VLOOKUP('Données projet'!$B$10,Paramètres!$A$1:$I$89,5,0)</f>
        <v>-1.915395841933787E-13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382.67703499770795</v>
      </c>
      <c r="AO170" s="59">
        <f t="shared" si="144"/>
        <v>237.98926636458219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126.96614018720867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126.96614018720867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4.5474735088646412E-13</v>
      </c>
      <c r="O171" s="13">
        <f>N171*VLOOKUP('Données projet'!$B$9,Paramètres!$A$1:$I$89,3,0)*VLOOKUP('Données projet'!$B$9,Paramètres!$A$1:$I$89,5,0)</f>
        <v>2.7193891583010558E-13</v>
      </c>
      <c r="P171" s="13">
        <f t="shared" si="141"/>
        <v>3.6362267729089988E-12</v>
      </c>
      <c r="Q171" s="20">
        <f t="shared" si="162"/>
        <v>6.8067219078872727E-12</v>
      </c>
      <c r="R171" s="59">
        <f t="shared" si="109"/>
        <v>293.33333333334014</v>
      </c>
      <c r="S171" s="59">
        <f ca="1">AVERAGE(OFFSET($R$3,0,0,'Données projet'!$E$9+1,1))-AVERAGE(OFFSET($H$3,0,0,'Données projet'!$E$9+1,1))</f>
        <v>252.28378247570731</v>
      </c>
      <c r="T171" s="59">
        <f t="shared" si="142"/>
        <v>263.50418595307343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1.9090028615294115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6.8374133570541268E-20</v>
      </c>
      <c r="AC171" s="22">
        <f t="shared" si="163"/>
        <v>1.9090028615294115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-2.2737367544323206E-13</v>
      </c>
      <c r="AJ171" s="13">
        <f>AI171*VLOOKUP('Données projet'!$B$10,Paramètres!$A$1:$I$89,3,0)*VLOOKUP('Données projet'!$B$10,Paramètres!$A$1:$I$89,5,0)</f>
        <v>-1.915395841933787E-13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382.67703499770795</v>
      </c>
      <c r="AO171" s="59">
        <f t="shared" si="144"/>
        <v>237.98926636458219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124.47641161983628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124.47641161983628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4.5474735088646412E-13</v>
      </c>
      <c r="O172" s="13">
        <f>N172*VLOOKUP('Données projet'!$B$9,Paramètres!$A$1:$I$89,3,0)*VLOOKUP('Données projet'!$B$9,Paramètres!$A$1:$I$89,5,0)</f>
        <v>2.7193891583010558E-13</v>
      </c>
      <c r="P172" s="13">
        <f t="shared" si="141"/>
        <v>3.6362267729089988E-12</v>
      </c>
      <c r="Q172" s="20">
        <f t="shared" si="162"/>
        <v>6.8067219078872727E-12</v>
      </c>
      <c r="R172" s="59">
        <f t="shared" si="109"/>
        <v>293.33333333334014</v>
      </c>
      <c r="S172" s="59">
        <f ca="1">AVERAGE(OFFSET($R$3,0,0,'Données projet'!$E$9+1,1))-AVERAGE(OFFSET($H$3,0,0,'Données projet'!$E$9+1,1))</f>
        <v>252.28378247570731</v>
      </c>
      <c r="T172" s="59">
        <f t="shared" si="142"/>
        <v>263.50418595307343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1.8715684797915926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4.8347813505484499E-20</v>
      </c>
      <c r="AC172" s="22">
        <f t="shared" si="163"/>
        <v>1.8715684797915926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-2.2737367544323206E-13</v>
      </c>
      <c r="AJ172" s="13">
        <f>AI172*VLOOKUP('Données projet'!$B$10,Paramètres!$A$1:$I$89,3,0)*VLOOKUP('Données projet'!$B$10,Paramètres!$A$1:$I$89,5,0)</f>
        <v>-1.915395841933787E-13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382.67703499770795</v>
      </c>
      <c r="AO172" s="59">
        <f t="shared" si="144"/>
        <v>237.98926636458219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122.0355051110856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122.0355051110856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4.5474735088646412E-13</v>
      </c>
      <c r="O173" s="13">
        <f>N173*VLOOKUP('Données projet'!$B$9,Paramètres!$A$1:$I$89,3,0)*VLOOKUP('Données projet'!$B$9,Paramètres!$A$1:$I$89,5,0)</f>
        <v>2.7193891583010558E-13</v>
      </c>
      <c r="P173" s="13">
        <f t="shared" si="141"/>
        <v>3.6362267729089988E-12</v>
      </c>
      <c r="Q173" s="20">
        <f t="shared" si="162"/>
        <v>6.8067219078872727E-12</v>
      </c>
      <c r="R173" s="59">
        <f t="shared" si="109"/>
        <v>293.33333333334014</v>
      </c>
      <c r="S173" s="59">
        <f ca="1">AVERAGE(OFFSET($R$3,0,0,'Données projet'!$E$9+1,1))-AVERAGE(OFFSET($H$3,0,0,'Données projet'!$E$9+1,1))</f>
        <v>252.28378247570731</v>
      </c>
      <c r="T173" s="59">
        <f t="shared" si="142"/>
        <v>263.50418595307343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1.8348681634469339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3.4187066785270634E-20</v>
      </c>
      <c r="AC173" s="22">
        <f t="shared" si="163"/>
        <v>1.8348681634469339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-2.2737367544323206E-13</v>
      </c>
      <c r="AJ173" s="13">
        <f>AI173*VLOOKUP('Données projet'!$B$10,Paramètres!$A$1:$I$89,3,0)*VLOOKUP('Données projet'!$B$10,Paramètres!$A$1:$I$89,5,0)</f>
        <v>-1.915395841933787E-13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382.67703499770795</v>
      </c>
      <c r="AO173" s="59">
        <f t="shared" si="144"/>
        <v>237.98926636458219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119.64246329016555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119.64246329016555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4.5474735088646412E-13</v>
      </c>
      <c r="O174" s="13">
        <f>N174*VLOOKUP('Données projet'!$B$9,Paramètres!$A$1:$I$89,3,0)*VLOOKUP('Données projet'!$B$9,Paramètres!$A$1:$I$89,5,0)</f>
        <v>2.7193891583010558E-13</v>
      </c>
      <c r="P174" s="13">
        <f t="shared" si="141"/>
        <v>3.6362267729089988E-12</v>
      </c>
      <c r="Q174" s="20">
        <f t="shared" si="162"/>
        <v>6.8067219078872727E-12</v>
      </c>
      <c r="R174" s="59">
        <f t="shared" si="109"/>
        <v>293.33333333334014</v>
      </c>
      <c r="S174" s="59">
        <f ca="1">AVERAGE(OFFSET($R$3,0,0,'Données projet'!$E$9+1,1))-AVERAGE(OFFSET($H$3,0,0,'Données projet'!$E$9+1,1))</f>
        <v>252.28378247570731</v>
      </c>
      <c r="T174" s="59">
        <f t="shared" si="142"/>
        <v>263.50418595307343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1.7988875179208115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2.4173906752742249E-20</v>
      </c>
      <c r="AC174" s="22">
        <f t="shared" si="163"/>
        <v>1.7988875179208115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-2.2737367544323206E-13</v>
      </c>
      <c r="AJ174" s="13">
        <f>AI174*VLOOKUP('Données projet'!$B$10,Paramètres!$A$1:$I$89,3,0)*VLOOKUP('Données projet'!$B$10,Paramètres!$A$1:$I$89,5,0)</f>
        <v>-1.915395841933787E-13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382.67703499770795</v>
      </c>
      <c r="AO174" s="59">
        <f t="shared" si="144"/>
        <v>237.98926636458219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117.29634755974236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117.29634755974236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4.5474735088646412E-13</v>
      </c>
      <c r="O175" s="13">
        <f>N175*VLOOKUP('Données projet'!$B$9,Paramètres!$A$1:$I$89,3,0)*VLOOKUP('Données projet'!$B$9,Paramètres!$A$1:$I$89,5,0)</f>
        <v>2.7193891583010558E-13</v>
      </c>
      <c r="P175" s="13">
        <f t="shared" si="141"/>
        <v>3.6362267729089988E-12</v>
      </c>
      <c r="Q175" s="20">
        <f t="shared" si="162"/>
        <v>6.8067219078872727E-12</v>
      </c>
      <c r="R175" s="59">
        <f t="shared" si="109"/>
        <v>293.33333333334014</v>
      </c>
      <c r="S175" s="59">
        <f ca="1">AVERAGE(OFFSET($R$3,0,0,'Données projet'!$E$9+1,1))-AVERAGE(OFFSET($H$3,0,0,'Données projet'!$E$9+1,1))</f>
        <v>252.28378247570731</v>
      </c>
      <c r="T175" s="59">
        <f t="shared" si="142"/>
        <v>263.50418595307343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1.7636124309074295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1.7093533392635317E-20</v>
      </c>
      <c r="AC175" s="22">
        <f t="shared" si="163"/>
        <v>1.7636124309074295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-2.2737367544323206E-13</v>
      </c>
      <c r="AJ175" s="13">
        <f>AI175*VLOOKUP('Données projet'!$B$10,Paramètres!$A$1:$I$89,3,0)*VLOOKUP('Données projet'!$B$10,Paramètres!$A$1:$I$89,5,0)</f>
        <v>-1.915395841933787E-13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382.67703499770795</v>
      </c>
      <c r="AO175" s="59">
        <f t="shared" si="144"/>
        <v>237.98926636458219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114.99623772780346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114.99623772780346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4.5474735088646412E-13</v>
      </c>
      <c r="O176" s="13">
        <f>N176*VLOOKUP('Données projet'!$B$9,Paramètres!$A$1:$I$89,3,0)*VLOOKUP('Données projet'!$B$9,Paramètres!$A$1:$I$89,5,0)</f>
        <v>2.7193891583010558E-13</v>
      </c>
      <c r="P176" s="13">
        <f t="shared" si="141"/>
        <v>3.6362267729089988E-12</v>
      </c>
      <c r="Q176" s="20">
        <f t="shared" si="162"/>
        <v>6.8067219078872727E-12</v>
      </c>
      <c r="R176" s="59">
        <f t="shared" si="109"/>
        <v>293.33333333334014</v>
      </c>
      <c r="S176" s="59">
        <f ca="1">AVERAGE(OFFSET($R$3,0,0,'Données projet'!$E$9+1,1))-AVERAGE(OFFSET($H$3,0,0,'Données projet'!$E$9+1,1))</f>
        <v>252.28378247570731</v>
      </c>
      <c r="T176" s="59">
        <f t="shared" si="142"/>
        <v>263.50418595307343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1.7290290668347013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1.2086953376371125E-20</v>
      </c>
      <c r="AC176" s="22">
        <f t="shared" si="163"/>
        <v>1.7290290668347013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-2.2737367544323206E-13</v>
      </c>
      <c r="AJ176" s="13">
        <f>AI176*VLOOKUP('Données projet'!$B$10,Paramètres!$A$1:$I$89,3,0)*VLOOKUP('Données projet'!$B$10,Paramètres!$A$1:$I$89,5,0)</f>
        <v>-1.915395841933787E-13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382.67703499770795</v>
      </c>
      <c r="AO176" s="59">
        <f t="shared" si="144"/>
        <v>237.98926636458219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112.74123164674042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112.74123164674042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4.5474735088646412E-13</v>
      </c>
      <c r="O177" s="13">
        <f>N177*VLOOKUP('Données projet'!$B$9,Paramètres!$A$1:$I$89,3,0)*VLOOKUP('Données projet'!$B$9,Paramètres!$A$1:$I$89,5,0)</f>
        <v>2.7193891583010558E-13</v>
      </c>
      <c r="P177" s="13">
        <f t="shared" si="141"/>
        <v>3.6362267729089988E-12</v>
      </c>
      <c r="Q177" s="20">
        <f t="shared" si="162"/>
        <v>6.8067219078872727E-12</v>
      </c>
      <c r="R177" s="59">
        <f t="shared" si="109"/>
        <v>293.33333333334014</v>
      </c>
      <c r="S177" s="59">
        <f ca="1">AVERAGE(OFFSET($R$3,0,0,'Données projet'!$E$9+1,1))-AVERAGE(OFFSET($H$3,0,0,'Données projet'!$E$9+1,1))</f>
        <v>252.28378247570731</v>
      </c>
      <c r="T177" s="59">
        <f t="shared" si="142"/>
        <v>263.50418595307343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1.69512386143767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8.5467666963176586E-21</v>
      </c>
      <c r="AC177" s="22">
        <f t="shared" si="163"/>
        <v>1.69512386143767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-2.2737367544323206E-13</v>
      </c>
      <c r="AJ177" s="13">
        <f>AI177*VLOOKUP('Données projet'!$B$10,Paramètres!$A$1:$I$89,3,0)*VLOOKUP('Données projet'!$B$10,Paramètres!$A$1:$I$89,5,0)</f>
        <v>-1.915395841933787E-13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382.67703499770795</v>
      </c>
      <c r="AO177" s="59">
        <f t="shared" si="144"/>
        <v>237.98926636458219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110.53044485950913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110.53044485950913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4.5474735088646412E-13</v>
      </c>
      <c r="O178" s="13">
        <f>N178*VLOOKUP('Données projet'!$B$9,Paramètres!$A$1:$I$89,3,0)*VLOOKUP('Données projet'!$B$9,Paramètres!$A$1:$I$89,5,0)</f>
        <v>2.7193891583010558E-13</v>
      </c>
      <c r="P178" s="13">
        <f t="shared" si="141"/>
        <v>3.6362267729089988E-12</v>
      </c>
      <c r="Q178" s="20">
        <f t="shared" si="162"/>
        <v>6.8067219078872727E-12</v>
      </c>
      <c r="R178" s="59">
        <f t="shared" si="109"/>
        <v>293.33333333334014</v>
      </c>
      <c r="S178" s="59">
        <f ca="1">AVERAGE(OFFSET($R$3,0,0,'Données projet'!$E$9+1,1))-AVERAGE(OFFSET($H$3,0,0,'Données projet'!$E$9+1,1))</f>
        <v>252.28378247570731</v>
      </c>
      <c r="T178" s="59">
        <f t="shared" si="142"/>
        <v>263.50418595307343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1.6618835164383414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6.0434766881855623E-21</v>
      </c>
      <c r="AC178" s="22">
        <f t="shared" si="163"/>
        <v>1.6618835164383414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-2.2737367544323206E-13</v>
      </c>
      <c r="AJ178" s="13">
        <f>AI178*VLOOKUP('Données projet'!$B$10,Paramètres!$A$1:$I$89,3,0)*VLOOKUP('Données projet'!$B$10,Paramètres!$A$1:$I$89,5,0)</f>
        <v>-1.915395841933787E-13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382.67703499770795</v>
      </c>
      <c r="AO178" s="59">
        <f t="shared" si="144"/>
        <v>237.98926636458219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108.36301025272866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108.36301025272866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4.5474735088646412E-13</v>
      </c>
      <c r="O179" s="13">
        <f>N179*VLOOKUP('Données projet'!$B$9,Paramètres!$A$1:$I$89,3,0)*VLOOKUP('Données projet'!$B$9,Paramètres!$A$1:$I$89,5,0)</f>
        <v>2.7193891583010558E-13</v>
      </c>
      <c r="P179" s="13">
        <f t="shared" si="141"/>
        <v>3.6362267729089988E-12</v>
      </c>
      <c r="Q179" s="20">
        <f t="shared" si="162"/>
        <v>6.8067219078872727E-12</v>
      </c>
      <c r="R179" s="59">
        <f t="shared" si="109"/>
        <v>293.33333333334014</v>
      </c>
      <c r="S179" s="59">
        <f ca="1">AVERAGE(OFFSET($R$3,0,0,'Données projet'!$E$9+1,1))-AVERAGE(OFFSET($H$3,0,0,'Données projet'!$E$9+1,1))</f>
        <v>252.28378247570731</v>
      </c>
      <c r="T179" s="59">
        <f t="shared" si="142"/>
        <v>263.50418595307343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1.6292949943298412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4.2733833481588293E-21</v>
      </c>
      <c r="AC179" s="22">
        <f t="shared" si="163"/>
        <v>1.6292949943298412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-2.2737367544323206E-13</v>
      </c>
      <c r="AJ179" s="13">
        <f>AI179*VLOOKUP('Données projet'!$B$10,Paramètres!$A$1:$I$89,3,0)*VLOOKUP('Données projet'!$B$10,Paramètres!$A$1:$I$89,5,0)</f>
        <v>-1.915395841933787E-13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382.67703499770795</v>
      </c>
      <c r="AO179" s="59">
        <f t="shared" si="144"/>
        <v>237.98926636458219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106.23807771658257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106.23807771658257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4.5474735088646412E-13</v>
      </c>
      <c r="O180" s="13">
        <f>N180*VLOOKUP('Données projet'!$B$9,Paramètres!$A$1:$I$89,3,0)*VLOOKUP('Données projet'!$B$9,Paramètres!$A$1:$I$89,5,0)</f>
        <v>2.7193891583010558E-13</v>
      </c>
      <c r="P180" s="13">
        <f t="shared" si="141"/>
        <v>3.6362267729089988E-12</v>
      </c>
      <c r="Q180" s="20">
        <f t="shared" si="162"/>
        <v>6.8067219078872727E-12</v>
      </c>
      <c r="R180" s="59">
        <f t="shared" si="109"/>
        <v>293.33333333334014</v>
      </c>
      <c r="S180" s="59">
        <f ca="1">AVERAGE(OFFSET($R$3,0,0,'Données projet'!$E$9+1,1))-AVERAGE(OFFSET($H$3,0,0,'Données projet'!$E$9+1,1))</f>
        <v>252.28378247570731</v>
      </c>
      <c r="T180" s="59">
        <f t="shared" si="142"/>
        <v>263.50418595307343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1.5973455132628527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3.0217383440927812E-21</v>
      </c>
      <c r="AC180" s="22">
        <f t="shared" si="163"/>
        <v>1.5973455132628527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-2.2737367544323206E-13</v>
      </c>
      <c r="AJ180" s="13">
        <f>AI180*VLOOKUP('Données projet'!$B$10,Paramètres!$A$1:$I$89,3,0)*VLOOKUP('Données projet'!$B$10,Paramètres!$A$1:$I$89,5,0)</f>
        <v>-1.915395841933787E-13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382.67703499770795</v>
      </c>
      <c r="AO180" s="59">
        <f t="shared" si="144"/>
        <v>237.98926636458219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104.15481381138943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104.15481381138943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4.5474735088646412E-13</v>
      </c>
      <c r="O181" s="13">
        <f>N181*VLOOKUP('Données projet'!$B$9,Paramètres!$A$1:$I$89,3,0)*VLOOKUP('Données projet'!$B$9,Paramètres!$A$1:$I$89,5,0)</f>
        <v>2.7193891583010558E-13</v>
      </c>
      <c r="P181" s="13">
        <f t="shared" si="141"/>
        <v>3.6362267729089988E-12</v>
      </c>
      <c r="Q181" s="20">
        <f t="shared" si="162"/>
        <v>6.8067219078872727E-12</v>
      </c>
      <c r="R181" s="59">
        <f t="shared" si="109"/>
        <v>293.33333333334014</v>
      </c>
      <c r="S181" s="59">
        <f ca="1">AVERAGE(OFFSET($R$3,0,0,'Données projet'!$E$9+1,1))-AVERAGE(OFFSET($H$3,0,0,'Données projet'!$E$9+1,1))</f>
        <v>252.28378247570731</v>
      </c>
      <c r="T181" s="59">
        <f t="shared" si="142"/>
        <v>263.50418595307343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1.5660225420323286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2.1366916740794146E-21</v>
      </c>
      <c r="AC181" s="22">
        <f t="shared" si="163"/>
        <v>1.5660225420323286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-2.2737367544323206E-13</v>
      </c>
      <c r="AJ181" s="13">
        <f>AI181*VLOOKUP('Données projet'!$B$10,Paramètres!$A$1:$I$89,3,0)*VLOOKUP('Données projet'!$B$10,Paramètres!$A$1:$I$89,5,0)</f>
        <v>-1.915395841933787E-13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382.67703499770795</v>
      </c>
      <c r="AO181" s="59">
        <f t="shared" si="144"/>
        <v>237.98926636458219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102.11240144071162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102.11240144071162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4.5474735088646412E-13</v>
      </c>
      <c r="O182" s="13">
        <f>N182*VLOOKUP('Données projet'!$B$9,Paramètres!$A$1:$I$89,3,0)*VLOOKUP('Données projet'!$B$9,Paramètres!$A$1:$I$89,5,0)</f>
        <v>2.7193891583010558E-13</v>
      </c>
      <c r="P182" s="13">
        <f t="shared" si="141"/>
        <v>3.6362267729089988E-12</v>
      </c>
      <c r="Q182" s="20">
        <f t="shared" si="162"/>
        <v>6.8067219078872727E-12</v>
      </c>
      <c r="R182" s="59">
        <f t="shared" si="109"/>
        <v>293.33333333334014</v>
      </c>
      <c r="S182" s="59">
        <f ca="1">AVERAGE(OFFSET($R$3,0,0,'Données projet'!$E$9+1,1))-AVERAGE(OFFSET($H$3,0,0,'Données projet'!$E$9+1,1))</f>
        <v>252.28378247570731</v>
      </c>
      <c r="T182" s="59">
        <f t="shared" si="142"/>
        <v>263.50418595307343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1.5353137951625091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1.5108691720463906E-21</v>
      </c>
      <c r="AC182" s="22">
        <f t="shared" si="163"/>
        <v>1.5353137951625091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-2.2737367544323206E-13</v>
      </c>
      <c r="AJ182" s="13">
        <f>AI182*VLOOKUP('Données projet'!$B$10,Paramètres!$A$1:$I$89,3,0)*VLOOKUP('Données projet'!$B$10,Paramètres!$A$1:$I$89,5,0)</f>
        <v>-1.915395841933787E-13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382.67703499770795</v>
      </c>
      <c r="AO182" s="59">
        <f t="shared" si="144"/>
        <v>237.98926636458219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100.11003953087427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100.11003953087427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4.5474735088646412E-13</v>
      </c>
      <c r="O183" s="13">
        <f>N183*VLOOKUP('Données projet'!$B$9,Paramètres!$A$1:$I$89,3,0)*VLOOKUP('Données projet'!$B$9,Paramètres!$A$1:$I$89,5,0)</f>
        <v>2.7193891583010558E-13</v>
      </c>
      <c r="P183" s="13">
        <f t="shared" si="141"/>
        <v>3.6362267729089988E-12</v>
      </c>
      <c r="Q183" s="20">
        <f t="shared" si="162"/>
        <v>6.8067219078872727E-12</v>
      </c>
      <c r="R183" s="59">
        <f t="shared" si="109"/>
        <v>293.33333333334014</v>
      </c>
      <c r="S183" s="59">
        <f ca="1">AVERAGE(OFFSET($R$3,0,0,'Données projet'!$E$9+1,1))-AVERAGE(OFFSET($H$3,0,0,'Données projet'!$E$9+1,1))</f>
        <v>252.28378247570731</v>
      </c>
      <c r="T183" s="59">
        <f t="shared" si="142"/>
        <v>263.50418595307343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1.5052072280883206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1.0683458370397073E-21</v>
      </c>
      <c r="AC183" s="22">
        <f t="shared" si="163"/>
        <v>1.5052072280883206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-2.2737367544323206E-13</v>
      </c>
      <c r="AJ183" s="13">
        <f>AI183*VLOOKUP('Données projet'!$B$10,Paramètres!$A$1:$I$89,3,0)*VLOOKUP('Données projet'!$B$10,Paramètres!$A$1:$I$89,5,0)</f>
        <v>-1.915395841933787E-13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382.67703499770795</v>
      </c>
      <c r="AO183" s="59">
        <f t="shared" si="144"/>
        <v>237.98926636458219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98.146942716768663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98.146942716768663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4.5474735088646412E-13</v>
      </c>
      <c r="O184" s="13">
        <f>N184*VLOOKUP('Données projet'!$B$9,Paramètres!$A$1:$I$89,3,0)*VLOOKUP('Données projet'!$B$9,Paramètres!$A$1:$I$89,5,0)</f>
        <v>2.7193891583010558E-13</v>
      </c>
      <c r="P184" s="13">
        <f t="shared" si="141"/>
        <v>3.6362267729089988E-12</v>
      </c>
      <c r="Q184" s="20">
        <f t="shared" si="162"/>
        <v>6.8067219078872727E-12</v>
      </c>
      <c r="R184" s="59">
        <f t="shared" si="109"/>
        <v>293.33333333334014</v>
      </c>
      <c r="S184" s="59">
        <f ca="1">AVERAGE(OFFSET($R$3,0,0,'Données projet'!$E$9+1,1))-AVERAGE(OFFSET($H$3,0,0,'Données projet'!$E$9+1,1))</f>
        <v>252.28378247570731</v>
      </c>
      <c r="T184" s="59">
        <f t="shared" si="142"/>
        <v>263.50418595307343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1.4756910324312644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7.5543458602319529E-22</v>
      </c>
      <c r="AC184" s="22">
        <f t="shared" si="163"/>
        <v>1.4756910324312644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-2.2737367544323206E-13</v>
      </c>
      <c r="AJ184" s="13">
        <f>AI184*VLOOKUP('Données projet'!$B$10,Paramètres!$A$1:$I$89,3,0)*VLOOKUP('Données projet'!$B$10,Paramètres!$A$1:$I$89,5,0)</f>
        <v>-1.915395841933787E-13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382.67703499770795</v>
      </c>
      <c r="AO184" s="59">
        <f t="shared" si="144"/>
        <v>237.98926636458219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96.222341033816832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96.222341033816832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4.5474735088646412E-13</v>
      </c>
      <c r="O185" s="13">
        <f>N185*VLOOKUP('Données projet'!$B$9,Paramètres!$A$1:$I$89,3,0)*VLOOKUP('Données projet'!$B$9,Paramètres!$A$1:$I$89,5,0)</f>
        <v>2.7193891583010558E-13</v>
      </c>
      <c r="P185" s="13">
        <f t="shared" si="141"/>
        <v>3.6362267729089988E-12</v>
      </c>
      <c r="Q185" s="20">
        <f t="shared" si="162"/>
        <v>6.8067219078872727E-12</v>
      </c>
      <c r="R185" s="59">
        <f t="shared" si="109"/>
        <v>293.33333333334014</v>
      </c>
      <c r="S185" s="59">
        <f ca="1">AVERAGE(OFFSET($R$3,0,0,'Données projet'!$E$9+1,1))-AVERAGE(OFFSET($H$3,0,0,'Données projet'!$E$9+1,1))</f>
        <v>252.28378247570731</v>
      </c>
      <c r="T185" s="59">
        <f t="shared" si="142"/>
        <v>263.50418595307343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1.4467536313679414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5.3417291851985366E-22</v>
      </c>
      <c r="AC185" s="22">
        <f t="shared" si="163"/>
        <v>1.4467536313679414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-2.2737367544323206E-13</v>
      </c>
      <c r="AJ185" s="13">
        <f>AI185*VLOOKUP('Données projet'!$B$10,Paramètres!$A$1:$I$89,3,0)*VLOOKUP('Données projet'!$B$10,Paramètres!$A$1:$I$89,5,0)</f>
        <v>-1.915395841933787E-13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382.67703499770795</v>
      </c>
      <c r="AO185" s="59">
        <f t="shared" si="144"/>
        <v>237.98926636458219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94.335479615976581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94.335479615976581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4.5474735088646412E-13</v>
      </c>
      <c r="O186" s="13">
        <f>N186*VLOOKUP('Données projet'!$B$9,Paramètres!$A$1:$I$89,3,0)*VLOOKUP('Données projet'!$B$9,Paramètres!$A$1:$I$89,5,0)</f>
        <v>2.7193891583010558E-13</v>
      </c>
      <c r="P186" s="13">
        <f t="shared" si="141"/>
        <v>3.6362267729089988E-12</v>
      </c>
      <c r="Q186" s="20">
        <f t="shared" si="162"/>
        <v>6.8067219078872727E-12</v>
      </c>
      <c r="R186" s="59">
        <f t="shared" si="109"/>
        <v>293.33333333334014</v>
      </c>
      <c r="S186" s="59">
        <f ca="1">AVERAGE(OFFSET($R$3,0,0,'Données projet'!$E$9+1,1))-AVERAGE(OFFSET($H$3,0,0,'Données projet'!$E$9+1,1))</f>
        <v>252.28378247570731</v>
      </c>
      <c r="T186" s="59">
        <f t="shared" si="142"/>
        <v>263.50418595307343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1.4183836750893983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3.7771729301159765E-22</v>
      </c>
      <c r="AC186" s="22">
        <f t="shared" si="163"/>
        <v>1.4183836750893983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-2.2737367544323206E-13</v>
      </c>
      <c r="AJ186" s="13">
        <f>AI186*VLOOKUP('Données projet'!$B$10,Paramètres!$A$1:$I$89,3,0)*VLOOKUP('Données projet'!$B$10,Paramètres!$A$1:$I$89,5,0)</f>
        <v>-1.915395841933787E-13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382.67703499770795</v>
      </c>
      <c r="AO186" s="59">
        <f t="shared" si="144"/>
        <v>237.98926636458219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92.48561839966834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92.48561839966834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4.5474735088646412E-13</v>
      </c>
      <c r="O187" s="13">
        <f>N187*VLOOKUP('Données projet'!$B$9,Paramètres!$A$1:$I$89,3,0)*VLOOKUP('Données projet'!$B$9,Paramètres!$A$1:$I$89,5,0)</f>
        <v>2.7193891583010558E-13</v>
      </c>
      <c r="P187" s="13">
        <f t="shared" si="141"/>
        <v>3.6362267729089988E-12</v>
      </c>
      <c r="Q187" s="20">
        <f t="shared" si="162"/>
        <v>6.8067219078872727E-12</v>
      </c>
      <c r="R187" s="59">
        <f t="shared" si="109"/>
        <v>293.33333333334014</v>
      </c>
      <c r="S187" s="59">
        <f ca="1">AVERAGE(OFFSET($R$3,0,0,'Données projet'!$E$9+1,1))-AVERAGE(OFFSET($H$3,0,0,'Données projet'!$E$9+1,1))</f>
        <v>252.28378247570731</v>
      </c>
      <c r="T187" s="59">
        <f t="shared" si="142"/>
        <v>263.50418595307343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1.3905700363495126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2.6708645925992683E-22</v>
      </c>
      <c r="AC187" s="22">
        <f t="shared" si="163"/>
        <v>1.3905700363495126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-2.2737367544323206E-13</v>
      </c>
      <c r="AJ187" s="13">
        <f>AI187*VLOOKUP('Données projet'!$B$10,Paramètres!$A$1:$I$89,3,0)*VLOOKUP('Données projet'!$B$10,Paramètres!$A$1:$I$89,5,0)</f>
        <v>-1.915395841933787E-13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382.67703499770795</v>
      </c>
      <c r="AO187" s="59">
        <f t="shared" si="144"/>
        <v>237.98926636458219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90.672031833507972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90.672031833507972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4.5474735088646412E-13</v>
      </c>
      <c r="O188" s="13">
        <f>N188*VLOOKUP('Données projet'!$B$9,Paramètres!$A$1:$I$89,3,0)*VLOOKUP('Données projet'!$B$9,Paramètres!$A$1:$I$89,5,0)</f>
        <v>2.7193891583010558E-13</v>
      </c>
      <c r="P188" s="13">
        <f t="shared" si="141"/>
        <v>3.6362267729089988E-12</v>
      </c>
      <c r="Q188" s="20">
        <f t="shared" si="162"/>
        <v>6.8067219078872727E-12</v>
      </c>
      <c r="R188" s="59">
        <f t="shared" si="109"/>
        <v>293.33333333334014</v>
      </c>
      <c r="S188" s="59">
        <f ca="1">AVERAGE(OFFSET($R$3,0,0,'Données projet'!$E$9+1,1))-AVERAGE(OFFSET($H$3,0,0,'Données projet'!$E$9+1,1))</f>
        <v>252.28378247570731</v>
      </c>
      <c r="T188" s="59">
        <f t="shared" si="142"/>
        <v>263.50418595307343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1.3633018061006716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1.8885864650579882E-22</v>
      </c>
      <c r="AC188" s="22">
        <f t="shared" si="163"/>
        <v>1.3633018061006716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-2.2737367544323206E-13</v>
      </c>
      <c r="AJ188" s="13">
        <f>AI188*VLOOKUP('Données projet'!$B$10,Paramètres!$A$1:$I$89,3,0)*VLOOKUP('Données projet'!$B$10,Paramètres!$A$1:$I$89,5,0)</f>
        <v>-1.915395841933787E-13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382.67703499770795</v>
      </c>
      <c r="AO188" s="59">
        <f t="shared" si="144"/>
        <v>237.98926636458219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88.894008593731442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88.894008593731442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4.5474735088646412E-13</v>
      </c>
      <c r="O189" s="13">
        <f>N189*VLOOKUP('Données projet'!$B$9,Paramètres!$A$1:$I$89,3,0)*VLOOKUP('Données projet'!$B$9,Paramètres!$A$1:$I$89,5,0)</f>
        <v>2.7193891583010558E-13</v>
      </c>
      <c r="P189" s="13">
        <f t="shared" si="141"/>
        <v>3.6362267729089988E-12</v>
      </c>
      <c r="Q189" s="20">
        <f t="shared" si="162"/>
        <v>6.8067219078872727E-12</v>
      </c>
      <c r="R189" s="59">
        <f t="shared" si="109"/>
        <v>293.33333333334014</v>
      </c>
      <c r="S189" s="59">
        <f ca="1">AVERAGE(OFFSET($R$3,0,0,'Données projet'!$E$9+1,1))-AVERAGE(OFFSET($H$3,0,0,'Données projet'!$E$9+1,1))</f>
        <v>252.28378247570731</v>
      </c>
      <c r="T189" s="59">
        <f t="shared" si="142"/>
        <v>263.50418595307343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1.3365682892150321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1.3354322962996341E-22</v>
      </c>
      <c r="AC189" s="22">
        <f t="shared" si="163"/>
        <v>1.3365682892150321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-2.2737367544323206E-13</v>
      </c>
      <c r="AJ189" s="13">
        <f>AI189*VLOOKUP('Données projet'!$B$10,Paramètres!$A$1:$I$89,3,0)*VLOOKUP('Données projet'!$B$10,Paramètres!$A$1:$I$89,5,0)</f>
        <v>-1.915395841933787E-13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382.67703499770795</v>
      </c>
      <c r="AO189" s="59">
        <f t="shared" si="144"/>
        <v>237.98926636458219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87.150851305199836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87.150851305199836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4.5474735088646412E-13</v>
      </c>
      <c r="O190" s="13">
        <f>N190*VLOOKUP('Données projet'!$B$9,Paramètres!$A$1:$I$89,3,0)*VLOOKUP('Données projet'!$B$9,Paramètres!$A$1:$I$89,5,0)</f>
        <v>2.7193891583010558E-13</v>
      </c>
      <c r="P190" s="13">
        <f t="shared" si="141"/>
        <v>3.6362267729089988E-12</v>
      </c>
      <c r="Q190" s="20">
        <f t="shared" si="162"/>
        <v>6.8067219078872727E-12</v>
      </c>
      <c r="R190" s="59">
        <f t="shared" si="109"/>
        <v>293.33333333334014</v>
      </c>
      <c r="S190" s="59">
        <f ca="1">AVERAGE(OFFSET($R$3,0,0,'Données projet'!$E$9+1,1))-AVERAGE(OFFSET($H$3,0,0,'Données projet'!$E$9+1,1))</f>
        <v>252.28378247570731</v>
      </c>
      <c r="T190" s="59">
        <f t="shared" si="142"/>
        <v>263.50418595307343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1.3103590002896848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9.4429323252899412E-23</v>
      </c>
      <c r="AC190" s="22">
        <f t="shared" si="163"/>
        <v>1.3103590002896848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-2.2737367544323206E-13</v>
      </c>
      <c r="AJ190" s="13">
        <f>AI190*VLOOKUP('Données projet'!$B$10,Paramètres!$A$1:$I$89,3,0)*VLOOKUP('Données projet'!$B$10,Paramètres!$A$1:$I$89,5,0)</f>
        <v>-1.915395841933787E-13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382.67703499770795</v>
      </c>
      <c r="AO190" s="59">
        <f t="shared" si="144"/>
        <v>237.98926636458219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85.441876267875372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85.441876267875372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4.5474735088646412E-13</v>
      </c>
      <c r="O191" s="13">
        <f>N191*VLOOKUP('Données projet'!$B$9,Paramètres!$A$1:$I$89,3,0)*VLOOKUP('Données projet'!$B$9,Paramètres!$A$1:$I$89,5,0)</f>
        <v>2.7193891583010558E-13</v>
      </c>
      <c r="P191" s="13">
        <f t="shared" si="141"/>
        <v>3.6362267729089988E-12</v>
      </c>
      <c r="Q191" s="20">
        <f t="shared" si="162"/>
        <v>6.8067219078872727E-12</v>
      </c>
      <c r="R191" s="59">
        <f t="shared" si="109"/>
        <v>293.33333333334014</v>
      </c>
      <c r="S191" s="59">
        <f ca="1">AVERAGE(OFFSET($R$3,0,0,'Données projet'!$E$9+1,1))-AVERAGE(OFFSET($H$3,0,0,'Données projet'!$E$9+1,1))</f>
        <v>252.28378247570731</v>
      </c>
      <c r="T191" s="59">
        <f t="shared" si="142"/>
        <v>263.50418595307343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1.2846636595340759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6.6771614814981707E-23</v>
      </c>
      <c r="AC191" s="22">
        <f t="shared" si="163"/>
        <v>1.2846636595340759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-2.2737367544323206E-13</v>
      </c>
      <c r="AJ191" s="13">
        <f>AI191*VLOOKUP('Données projet'!$B$10,Paramètres!$A$1:$I$89,3,0)*VLOOKUP('Données projet'!$B$10,Paramètres!$A$1:$I$89,5,0)</f>
        <v>-1.915395841933787E-13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382.67703499770795</v>
      </c>
      <c r="AO191" s="59">
        <f t="shared" si="144"/>
        <v>237.98926636458219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83.766413188660991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83.766413188660991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4.5474735088646412E-13</v>
      </c>
      <c r="O192" s="13">
        <f>N192*VLOOKUP('Données projet'!$B$9,Paramètres!$A$1:$I$89,3,0)*VLOOKUP('Données projet'!$B$9,Paramètres!$A$1:$I$89,5,0)</f>
        <v>2.7193891583010558E-13</v>
      </c>
      <c r="P192" s="13">
        <f t="shared" si="141"/>
        <v>3.6362267729089988E-12</v>
      </c>
      <c r="Q192" s="20">
        <f t="shared" si="162"/>
        <v>6.8067219078872727E-12</v>
      </c>
      <c r="R192" s="59">
        <f t="shared" si="109"/>
        <v>293.33333333334014</v>
      </c>
      <c r="S192" s="59">
        <f ca="1">AVERAGE(OFFSET($R$3,0,0,'Données projet'!$E$9+1,1))-AVERAGE(OFFSET($H$3,0,0,'Données projet'!$E$9+1,1))</f>
        <v>252.28378247570731</v>
      </c>
      <c r="T192" s="59">
        <f t="shared" si="142"/>
        <v>263.50418595307343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1.2594721887380742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4.7214661626449706E-23</v>
      </c>
      <c r="AC192" s="22">
        <f t="shared" si="163"/>
        <v>1.2594721887380742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-2.2737367544323206E-13</v>
      </c>
      <c r="AJ192" s="13">
        <f>AI192*VLOOKUP('Données projet'!$B$10,Paramètres!$A$1:$I$89,3,0)*VLOOKUP('Données projet'!$B$10,Paramètres!$A$1:$I$89,5,0)</f>
        <v>-1.915395841933787E-13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382.67703499770795</v>
      </c>
      <c r="AO192" s="59">
        <f t="shared" si="144"/>
        <v>237.98926636458219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82.123804918498436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82.123804918498436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4.5474735088646412E-13</v>
      </c>
      <c r="O193" s="13">
        <f>N193*VLOOKUP('Données projet'!$B$9,Paramètres!$A$1:$I$89,3,0)*VLOOKUP('Données projet'!$B$9,Paramètres!$A$1:$I$89,5,0)</f>
        <v>2.7193891583010558E-13</v>
      </c>
      <c r="P193" s="13">
        <f t="shared" si="141"/>
        <v>3.6362267729089988E-12</v>
      </c>
      <c r="Q193" s="20">
        <f t="shared" si="162"/>
        <v>6.8067219078872727E-12</v>
      </c>
      <c r="R193" s="59">
        <f t="shared" si="109"/>
        <v>293.33333333334014</v>
      </c>
      <c r="S193" s="59">
        <f ca="1">AVERAGE(OFFSET($R$3,0,0,'Données projet'!$E$9+1,1))-AVERAGE(OFFSET($H$3,0,0,'Données projet'!$E$9+1,1))</f>
        <v>252.28378247570731</v>
      </c>
      <c r="T193" s="59">
        <f t="shared" si="142"/>
        <v>263.50418595307343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1.234774707319102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3.3385807407490854E-23</v>
      </c>
      <c r="AC193" s="22">
        <f t="shared" si="163"/>
        <v>1.234774707319102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-2.2737367544323206E-13</v>
      </c>
      <c r="AJ193" s="13">
        <f>AI193*VLOOKUP('Données projet'!$B$10,Paramètres!$A$1:$I$89,3,0)*VLOOKUP('Données projet'!$B$10,Paramètres!$A$1:$I$89,5,0)</f>
        <v>-1.915395841933787E-13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382.67703499770795</v>
      </c>
      <c r="AO193" s="59">
        <f t="shared" si="144"/>
        <v>237.98926636458219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80.513407194621649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80.513407194621649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4.5474735088646412E-13</v>
      </c>
      <c r="O194" s="13">
        <f>N194*VLOOKUP('Données projet'!$B$9,Paramètres!$A$1:$I$89,3,0)*VLOOKUP('Données projet'!$B$9,Paramètres!$A$1:$I$89,5,0)</f>
        <v>2.7193891583010558E-13</v>
      </c>
      <c r="P194" s="13">
        <f t="shared" si="141"/>
        <v>3.6362267729089988E-12</v>
      </c>
      <c r="Q194" s="20">
        <f t="shared" si="162"/>
        <v>6.8067219078872727E-12</v>
      </c>
      <c r="R194" s="59">
        <f t="shared" si="109"/>
        <v>293.33333333334014</v>
      </c>
      <c r="S194" s="59">
        <f ca="1">AVERAGE(OFFSET($R$3,0,0,'Données projet'!$E$9+1,1))-AVERAGE(OFFSET($H$3,0,0,'Données projet'!$E$9+1,1))</f>
        <v>252.28378247570731</v>
      </c>
      <c r="T194" s="59">
        <f t="shared" si="142"/>
        <v>263.50418595307343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1.2105615284467797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2.3607330813224853E-23</v>
      </c>
      <c r="AC194" s="22">
        <f t="shared" si="163"/>
        <v>1.2105615284467797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-2.2737367544323206E-13</v>
      </c>
      <c r="AJ194" s="13">
        <f>AI194*VLOOKUP('Données projet'!$B$10,Paramètres!$A$1:$I$89,3,0)*VLOOKUP('Données projet'!$B$10,Paramètres!$A$1:$I$89,5,0)</f>
        <v>-1.915395841933787E-13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382.67703499770795</v>
      </c>
      <c r="AO194" s="59">
        <f t="shared" si="144"/>
        <v>237.98926636458219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78.934588387864466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78.934588387864466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4.5474735088646412E-13</v>
      </c>
      <c r="O195" s="13">
        <f>N195*VLOOKUP('Données projet'!$B$9,Paramètres!$A$1:$I$89,3,0)*VLOOKUP('Données projet'!$B$9,Paramètres!$A$1:$I$89,5,0)</f>
        <v>2.7193891583010558E-13</v>
      </c>
      <c r="P195" s="13">
        <f t="shared" si="141"/>
        <v>3.6362267729089988E-12</v>
      </c>
      <c r="Q195" s="20">
        <f t="shared" si="162"/>
        <v>6.8067219078872727E-12</v>
      </c>
      <c r="R195" s="59">
        <f t="shared" ref="R195:R203" si="191">Q195+(I195+J195)*44/12</f>
        <v>293.33333333334014</v>
      </c>
      <c r="S195" s="59">
        <f ca="1">AVERAGE(OFFSET($R$3,0,0,'Données projet'!$E$9+1,1))-AVERAGE(OFFSET($H$3,0,0,'Données projet'!$E$9+1,1))</f>
        <v>252.28378247570731</v>
      </c>
      <c r="T195" s="59">
        <f t="shared" si="142"/>
        <v>263.50418595307343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1.1868231552435626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1.6692903703745427E-23</v>
      </c>
      <c r="AC195" s="22">
        <f t="shared" si="163"/>
        <v>1.1868231552435626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-2.2737367544323206E-13</v>
      </c>
      <c r="AJ195" s="13">
        <f>AI195*VLOOKUP('Données projet'!$B$10,Paramètres!$A$1:$I$89,3,0)*VLOOKUP('Données projet'!$B$10,Paramètres!$A$1:$I$89,5,0)</f>
        <v>-1.915395841933787E-13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382.67703499770795</v>
      </c>
      <c r="AO195" s="59">
        <f t="shared" si="144"/>
        <v>237.98926636458219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77.386729254923395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77.386729254923395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4.5474735088646412E-13</v>
      </c>
      <c r="O196" s="13">
        <f>N196*VLOOKUP('Données projet'!$B$9,Paramètres!$A$1:$I$89,3,0)*VLOOKUP('Données projet'!$B$9,Paramètres!$A$1:$I$89,5,0)</f>
        <v>2.7193891583010558E-13</v>
      </c>
      <c r="P196" s="13">
        <f t="shared" si="141"/>
        <v>3.6362267729089988E-12</v>
      </c>
      <c r="Q196" s="20">
        <f t="shared" si="162"/>
        <v>6.8067219078872727E-12</v>
      </c>
      <c r="R196" s="59">
        <f t="shared" si="191"/>
        <v>293.33333333334014</v>
      </c>
      <c r="S196" s="59">
        <f ca="1">AVERAGE(OFFSET($R$3,0,0,'Données projet'!$E$9+1,1))-AVERAGE(OFFSET($H$3,0,0,'Données projet'!$E$9+1,1))</f>
        <v>252.28378247570731</v>
      </c>
      <c r="T196" s="59">
        <f t="shared" si="142"/>
        <v>263.50418595307343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1.1635502770598829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1.1803665406612426E-23</v>
      </c>
      <c r="AC196" s="22">
        <f t="shared" si="163"/>
        <v>1.1635502770598829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-2.2737367544323206E-13</v>
      </c>
      <c r="AJ196" s="13">
        <f>AI196*VLOOKUP('Données projet'!$B$10,Paramètres!$A$1:$I$89,3,0)*VLOOKUP('Données projet'!$B$10,Paramètres!$A$1:$I$89,5,0)</f>
        <v>-1.915395841933787E-13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382.67703499770795</v>
      </c>
      <c r="AO196" s="59">
        <f t="shared" si="144"/>
        <v>237.98926636458219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75.869222695478456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75.869222695478456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4.5474735088646412E-13</v>
      </c>
      <c r="O197" s="13">
        <f>N197*VLOOKUP('Données projet'!$B$9,Paramètres!$A$1:$I$89,3,0)*VLOOKUP('Données projet'!$B$9,Paramètres!$A$1:$I$89,5,0)</f>
        <v>2.7193891583010558E-13</v>
      </c>
      <c r="P197" s="13">
        <f t="shared" ref="P197:P203" si="203">EXP(-1.0587+0.8836*LN(O197)+0.284)</f>
        <v>3.6362267729089988E-12</v>
      </c>
      <c r="Q197" s="20">
        <f t="shared" si="162"/>
        <v>6.8067219078872727E-12</v>
      </c>
      <c r="R197" s="59">
        <f t="shared" si="191"/>
        <v>293.33333333334014</v>
      </c>
      <c r="S197" s="59">
        <f ca="1">AVERAGE(OFFSET($R$3,0,0,'Données projet'!$E$9+1,1))-AVERAGE(OFFSET($H$3,0,0,'Données projet'!$E$9+1,1))</f>
        <v>252.28378247570731</v>
      </c>
      <c r="T197" s="59">
        <f t="shared" ref="T197:T203" si="204">$T$3</f>
        <v>263.50418595307343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1.1407337658223309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8.3464518518727134E-24</v>
      </c>
      <c r="AC197" s="22">
        <f t="shared" si="163"/>
        <v>1.1407337658223309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-2.2737367544323206E-13</v>
      </c>
      <c r="AJ197" s="13">
        <f>AI197*VLOOKUP('Données projet'!$B$10,Paramètres!$A$1:$I$89,3,0)*VLOOKUP('Données projet'!$B$10,Paramètres!$A$1:$I$89,5,0)</f>
        <v>-1.915395841933787E-13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382.67703499770795</v>
      </c>
      <c r="AO197" s="59">
        <f t="shared" ref="AO197:AO203" si="205">$AO$3</f>
        <v>237.98926636458219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74.381473514076632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74.381473514076632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4.5474735088646412E-13</v>
      </c>
      <c r="O198" s="13">
        <f>N198*VLOOKUP('Données projet'!$B$9,Paramètres!$A$1:$I$89,3,0)*VLOOKUP('Données projet'!$B$9,Paramètres!$A$1:$I$89,5,0)</f>
        <v>2.7193891583010558E-13</v>
      </c>
      <c r="P198" s="13">
        <f t="shared" si="203"/>
        <v>3.6362267729089988E-12</v>
      </c>
      <c r="Q198" s="20">
        <f t="shared" si="162"/>
        <v>6.8067219078872727E-12</v>
      </c>
      <c r="R198" s="59">
        <f t="shared" si="191"/>
        <v>293.33333333334014</v>
      </c>
      <c r="S198" s="59">
        <f ca="1">AVERAGE(OFFSET($R$3,0,0,'Données projet'!$E$9+1,1))-AVERAGE(OFFSET($H$3,0,0,'Données projet'!$E$9+1,1))</f>
        <v>252.28378247570731</v>
      </c>
      <c r="T198" s="59">
        <f t="shared" si="204"/>
        <v>263.50418595307343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1.1183646724534497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5.9018327033062132E-24</v>
      </c>
      <c r="AC198" s="22">
        <f t="shared" si="163"/>
        <v>1.1183646724534497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-2.2737367544323206E-13</v>
      </c>
      <c r="AJ198" s="13">
        <f>AI198*VLOOKUP('Données projet'!$B$10,Paramètres!$A$1:$I$89,3,0)*VLOOKUP('Données projet'!$B$10,Paramètres!$A$1:$I$89,5,0)</f>
        <v>-1.915395841933787E-13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382.67703499770795</v>
      </c>
      <c r="AO198" s="59">
        <f t="shared" si="205"/>
        <v>237.98926636458219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72.922898186684691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72.922898186684691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4.5474735088646412E-13</v>
      </c>
      <c r="O199" s="13">
        <f>N199*VLOOKUP('Données projet'!$B$9,Paramètres!$A$1:$I$89,3,0)*VLOOKUP('Données projet'!$B$9,Paramètres!$A$1:$I$89,5,0)</f>
        <v>2.7193891583010558E-13</v>
      </c>
      <c r="P199" s="13">
        <f t="shared" si="203"/>
        <v>3.6362267729089988E-12</v>
      </c>
      <c r="Q199" s="20">
        <f t="shared" si="162"/>
        <v>6.8067219078872727E-12</v>
      </c>
      <c r="R199" s="59">
        <f t="shared" si="191"/>
        <v>293.33333333334014</v>
      </c>
      <c r="S199" s="59">
        <f ca="1">AVERAGE(OFFSET($R$3,0,0,'Données projet'!$E$9+1,1))-AVERAGE(OFFSET($H$3,0,0,'Données projet'!$E$9+1,1))</f>
        <v>252.28378247570731</v>
      </c>
      <c r="T199" s="59">
        <f t="shared" si="204"/>
        <v>263.50418595307343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1.0964342233617326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4.1732259259363567E-24</v>
      </c>
      <c r="AC199" s="22">
        <f t="shared" si="163"/>
        <v>1.0964342233617326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-2.2737367544323206E-13</v>
      </c>
      <c r="AJ199" s="13">
        <f>AI199*VLOOKUP('Données projet'!$B$10,Paramètres!$A$1:$I$89,3,0)*VLOOKUP('Données projet'!$B$10,Paramètres!$A$1:$I$89,5,0)</f>
        <v>-1.915395841933787E-13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382.67703499770795</v>
      </c>
      <c r="AO199" s="59">
        <f t="shared" si="205"/>
        <v>237.98926636458219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71.492924631819804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71.492924631819804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4.5474735088646412E-13</v>
      </c>
      <c r="O200" s="13">
        <f>N200*VLOOKUP('Données projet'!$B$9,Paramètres!$A$1:$I$89,3,0)*VLOOKUP('Données projet'!$B$9,Paramètres!$A$1:$I$89,5,0)</f>
        <v>2.7193891583010558E-13</v>
      </c>
      <c r="P200" s="13">
        <f t="shared" si="203"/>
        <v>3.6362267729089988E-12</v>
      </c>
      <c r="Q200" s="20">
        <f t="shared" si="162"/>
        <v>6.8067219078872727E-12</v>
      </c>
      <c r="R200" s="59">
        <f t="shared" si="191"/>
        <v>293.33333333334014</v>
      </c>
      <c r="S200" s="59">
        <f ca="1">AVERAGE(OFFSET($R$3,0,0,'Données projet'!$E$9+1,1))-AVERAGE(OFFSET($H$3,0,0,'Données projet'!$E$9+1,1))</f>
        <v>252.28378247570731</v>
      </c>
      <c r="T200" s="59">
        <f t="shared" si="204"/>
        <v>263.50418595307343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1.0749338170004508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2.9509163516531066E-24</v>
      </c>
      <c r="AC200" s="22">
        <f t="shared" si="163"/>
        <v>1.0749338170004508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-2.2737367544323206E-13</v>
      </c>
      <c r="AJ200" s="13">
        <f>AI200*VLOOKUP('Données projet'!$B$10,Paramètres!$A$1:$I$89,3,0)*VLOOKUP('Données projet'!$B$10,Paramètres!$A$1:$I$89,5,0)</f>
        <v>-1.915395841933787E-13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382.67703499770795</v>
      </c>
      <c r="AO200" s="59">
        <f t="shared" si="205"/>
        <v>237.98926636458219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70.090991986168078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70.090991986168078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4.5474735088646412E-13</v>
      </c>
      <c r="O201" s="13">
        <f>N201*VLOOKUP('Données projet'!$B$9,Paramètres!$A$1:$I$89,3,0)*VLOOKUP('Données projet'!$B$9,Paramètres!$A$1:$I$89,5,0)</f>
        <v>2.7193891583010558E-13</v>
      </c>
      <c r="P201" s="13">
        <f t="shared" si="203"/>
        <v>3.6362267729089988E-12</v>
      </c>
      <c r="Q201" s="20">
        <f t="shared" si="162"/>
        <v>6.8067219078872727E-12</v>
      </c>
      <c r="R201" s="59">
        <f t="shared" si="191"/>
        <v>293.33333333334014</v>
      </c>
      <c r="S201" s="59">
        <f ca="1">AVERAGE(OFFSET($R$3,0,0,'Données projet'!$E$9+1,1))-AVERAGE(OFFSET($H$3,0,0,'Données projet'!$E$9+1,1))</f>
        <v>252.28378247570731</v>
      </c>
      <c r="T201" s="59">
        <f t="shared" si="204"/>
        <v>263.50418595307343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1.0538550204939607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2.0866129629681784E-24</v>
      </c>
      <c r="AC201" s="22">
        <f t="shared" si="163"/>
        <v>1.0538550204939607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-2.2737367544323206E-13</v>
      </c>
      <c r="AJ201" s="13">
        <f>AI201*VLOOKUP('Données projet'!$B$10,Paramètres!$A$1:$I$89,3,0)*VLOOKUP('Données projet'!$B$10,Paramètres!$A$1:$I$89,5,0)</f>
        <v>-1.915395841933787E-13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382.67703499770795</v>
      </c>
      <c r="AO201" s="59">
        <f t="shared" si="205"/>
        <v>237.98926636458219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68.716550384603096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68.716550384603096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4.5474735088646412E-13</v>
      </c>
      <c r="O202" s="13">
        <f>N202*VLOOKUP('Données projet'!$B$9,Paramètres!$A$1:$I$89,3,0)*VLOOKUP('Données projet'!$B$9,Paramètres!$A$1:$I$89,5,0)</f>
        <v>2.7193891583010558E-13</v>
      </c>
      <c r="P202" s="13">
        <f t="shared" si="203"/>
        <v>3.6362267729089988E-12</v>
      </c>
      <c r="Q202" s="20">
        <f t="shared" si="162"/>
        <v>6.8067219078872727E-12</v>
      </c>
      <c r="R202" s="59">
        <f t="shared" si="191"/>
        <v>293.33333333334014</v>
      </c>
      <c r="S202" s="59">
        <f ca="1">AVERAGE(OFFSET($R$3,0,0,'Données projet'!$E$9+1,1))-AVERAGE(OFFSET($H$3,0,0,'Données projet'!$E$9+1,1))</f>
        <v>252.28378247570731</v>
      </c>
      <c r="T202" s="59">
        <f t="shared" si="204"/>
        <v>263.50418595307343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1.0331895663301667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1.4754581758265533E-24</v>
      </c>
      <c r="AC202" s="22">
        <f t="shared" si="163"/>
        <v>1.0331895663301667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-2.2737367544323206E-13</v>
      </c>
      <c r="AJ202" s="13">
        <f>AI202*VLOOKUP('Données projet'!$B$10,Paramètres!$A$1:$I$89,3,0)*VLOOKUP('Données projet'!$B$10,Paramètres!$A$1:$I$89,5,0)</f>
        <v>-1.915395841933787E-13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382.67703499770795</v>
      </c>
      <c r="AO202" s="59">
        <f t="shared" si="205"/>
        <v>237.98926636458219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67.369060744518208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67.369060744518208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4.5474735088646412E-13</v>
      </c>
      <c r="O203" s="13">
        <f>N203*VLOOKUP('Données projet'!$B$9,Paramètres!$A$1:$I$89,3,0)*VLOOKUP('Données projet'!$B$9,Paramètres!$A$1:$I$89,5,0)</f>
        <v>2.7193891583010558E-13</v>
      </c>
      <c r="P203" s="13">
        <f t="shared" si="203"/>
        <v>3.6362267729089988E-12</v>
      </c>
      <c r="Q203" s="20">
        <f t="shared" si="162"/>
        <v>6.8067219078872727E-12</v>
      </c>
      <c r="R203" s="59">
        <f t="shared" si="191"/>
        <v>293.33333333334014</v>
      </c>
      <c r="S203" s="59">
        <f ca="1">AVERAGE(OFFSET($R$3,0,0,'Données projet'!$E$9+1,1))-AVERAGE(OFFSET($H$3,0,0,'Données projet'!$E$9+1,1))</f>
        <v>252.28378247570731</v>
      </c>
      <c r="T203" s="59">
        <f t="shared" si="204"/>
        <v>263.50418595307343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1.0129293491178422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1.0433064814840892E-24</v>
      </c>
      <c r="AC203" s="22">
        <f t="shared" si="163"/>
        <v>1.0129293491178422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-2.2737367544323206E-13</v>
      </c>
      <c r="AJ203" s="13">
        <f>AI203*VLOOKUP('Données projet'!$B$10,Paramètres!$A$1:$I$89,3,0)*VLOOKUP('Données projet'!$B$10,Paramètres!$A$1:$I$89,5,0)</f>
        <v>-1.915395841933787E-13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382.67703499770795</v>
      </c>
      <c r="AO203" s="59">
        <f t="shared" si="205"/>
        <v>237.98926636458219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66.047994554387856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66.047994554387856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1.3763223570336161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1.2392705892426346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1:BJ357"/>
  <sheetViews>
    <sheetView tabSelected="1" topLeftCell="A32" zoomScale="90" zoomScaleNormal="90" workbookViewId="0">
      <selection activeCell="P52" sqref="P52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Pin maritime</v>
      </c>
      <c r="B6" s="146">
        <f>'Données projet'!D9</f>
        <v>2.0898499999999998</v>
      </c>
      <c r="C6" s="147">
        <f ca="1">IF(OR('Données projet'!B9="",'Données projet'!C9="",'Données projet'!C9=0%),0,Calculateur!S3)</f>
        <v>252.28378247570731</v>
      </c>
      <c r="D6" s="147">
        <f>IF(OR('Données projet'!B9="",'Données projet'!C9="",'Données projet'!C9=0%),0,Calculateur!T3)</f>
        <v>263.50418595307343</v>
      </c>
      <c r="E6" s="147">
        <f ca="1">MIN(C6,D6)</f>
        <v>252.28378247570731</v>
      </c>
      <c r="F6" s="147">
        <f ca="1">E6*B6</f>
        <v>527.23526280685689</v>
      </c>
      <c r="G6" s="147">
        <f ca="1">F6*(100%-'Données projet'!$C$24)*(100%-'Données projet'!$C$25)*(100%-'Données projet'!$C$26)*(100%-'Données projet'!$C$27)</f>
        <v>322.66798083779645</v>
      </c>
      <c r="H6" s="148">
        <f>IF(OR('Données projet'!B9="",'Données projet'!C9="",'Données projet'!C9=0%),0,AVERAGE(Calculateur!$AC$3:$AC$33)*B6)</f>
        <v>14.863477388950328</v>
      </c>
      <c r="I6" s="149">
        <f>H6*(100%-'Données projet'!$C$24)*(100%-'Données projet'!$C$25)*(100%-'Données projet'!$C$26)*(100%-'Données projet'!$C$27)</f>
        <v>9.0964481620375999</v>
      </c>
      <c r="J6" s="150">
        <f>IF(OR('Données projet'!B9="",'Données projet'!C9="",'Données projet'!C9=0%),0,SUM(Calculateur!$V$3:$V$33)*VLOOKUP('Données projet'!$B$9,Paramètres!$A$1:$I$89,9,0)*B6)</f>
        <v>176.32064449999996</v>
      </c>
      <c r="K6" s="151">
        <f>J6*(100%-'Données projet'!$C$24)*(100%-'Données projet'!$C$25)*(100%-'Données projet'!$C$26)*(100%-'Données projet'!$C$27)</f>
        <v>107.90823443399998</v>
      </c>
      <c r="L6" s="152">
        <f ca="1">G6+I6+K6</f>
        <v>439.67266343383403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Chêne pédonculé</v>
      </c>
      <c r="B7" s="154">
        <f>'Données projet'!D10</f>
        <v>0.89564999999999995</v>
      </c>
      <c r="C7" s="147">
        <f ca="1">IF(OR('Données projet'!B10="",'Données projet'!C10="",'Données projet'!C10=0%),0,Calculateur!AN3)</f>
        <v>382.67703499770795</v>
      </c>
      <c r="D7" s="147">
        <f>IF(OR('Données projet'!B10="",'Données projet'!C10="",'Données projet'!C10=0%),0,Calculateur!AO3)</f>
        <v>237.98926636458219</v>
      </c>
      <c r="E7" s="147">
        <f t="shared" ref="E7:E15" ca="1" si="0">MIN(C7,D7)</f>
        <v>237.98926636458219</v>
      </c>
      <c r="F7" s="147">
        <f t="shared" ref="F7:F15" ca="1" si="1">E7*B7</f>
        <v>213.15508641943802</v>
      </c>
      <c r="G7" s="147">
        <f ca="1">F7*(100%-'Données projet'!$C$24)*(100%-'Données projet'!$C$25)*(100%-'Données projet'!$C$26)*(100%-'Données projet'!$C$27)</f>
        <v>130.45091288869608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8.9565000000000001</v>
      </c>
      <c r="K7" s="151">
        <f>J7*(100%-'Données projet'!$C$24)*(100%-'Données projet'!$C$25)*(100%-'Données projet'!$C$26)*(100%-'Données projet'!$C$27)</f>
        <v>5.4813780000000003</v>
      </c>
      <c r="L7" s="152">
        <f t="shared" ref="L7:L15" ca="1" si="2">G7+I7+K7</f>
        <v>135.93229088869609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3">SUM(F6:F15)</f>
        <v>740.39034922629492</v>
      </c>
      <c r="G16" s="166">
        <f t="shared" ca="1" si="3"/>
        <v>453.1188937264925</v>
      </c>
      <c r="H16" s="167">
        <f t="shared" si="3"/>
        <v>14.863477388950328</v>
      </c>
      <c r="I16" s="167">
        <f t="shared" si="3"/>
        <v>9.0964481620375999</v>
      </c>
      <c r="J16" s="168">
        <f t="shared" si="3"/>
        <v>185.27714449999996</v>
      </c>
      <c r="K16" s="168">
        <f t="shared" si="3"/>
        <v>113.38961243399999</v>
      </c>
      <c r="L16" s="169">
        <f t="shared" ca="1" si="3"/>
        <v>575.60495432253015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>Chêne pédonculé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scale="2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80" zoomScaleNormal="80" workbookViewId="0">
      <selection activeCell="G26" sqref="G26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8">
        <f>'Données projet'!D9</f>
        <v>2.0898499999999998</v>
      </c>
      <c r="V10" s="177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Chêne pédonculé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0.89564999999999995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/>
      <c r="I20" s="191"/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12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/>
      <c r="I23" s="191"/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16</v>
      </c>
      <c r="B24" s="181">
        <f>'Données projet'!D37</f>
        <v>25</v>
      </c>
      <c r="C24" s="193"/>
      <c r="D24" s="182">
        <f t="shared" ref="D24:D42" si="2">B24*C24</f>
        <v>0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20</v>
      </c>
      <c r="B25" s="181">
        <f>'Données projet'!D38</f>
        <v>33.700000000000003</v>
      </c>
      <c r="C25" s="193"/>
      <c r="D25" s="182">
        <f t="shared" si="2"/>
        <v>0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0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24</v>
      </c>
      <c r="B26" s="181">
        <f>'Données projet'!D39</f>
        <v>42.9</v>
      </c>
      <c r="C26" s="193"/>
      <c r="D26" s="182">
        <f t="shared" si="2"/>
        <v>0</v>
      </c>
      <c r="E26" s="193"/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n'est pas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28</v>
      </c>
      <c r="B27" s="181">
        <f>'Données projet'!D40</f>
        <v>41.4</v>
      </c>
      <c r="C27" s="193"/>
      <c r="D27" s="182">
        <f t="shared" si="2"/>
        <v>0</v>
      </c>
      <c r="E27" s="193"/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34</v>
      </c>
      <c r="B28" s="181">
        <f>'Données projet'!D41</f>
        <v>59.9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40</v>
      </c>
      <c r="B29" s="181">
        <f>'Données projet'!D42</f>
        <v>34.1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46</v>
      </c>
      <c r="B30" s="181">
        <f>'Données projet'!D43</f>
        <v>21.3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54</v>
      </c>
      <c r="B31" s="181">
        <f>'Données projet'!D44</f>
        <v>17.399999999999999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62</v>
      </c>
      <c r="B32" s="181">
        <f>'Données projet'!D45</f>
        <v>410.00000000000006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4" t="str">
        <f>IF('Données projet'!$B$10="","",'Données projet'!$B$10)</f>
        <v>Chêne pédonculé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20</v>
      </c>
      <c r="B54" s="181">
        <f>'Données projet'!D62</f>
        <v>6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30</v>
      </c>
      <c r="B55" s="181">
        <f>'Données projet'!D63</f>
        <v>34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40</v>
      </c>
      <c r="B56" s="181">
        <f>'Données projet'!D64</f>
        <v>56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50</v>
      </c>
      <c r="B57" s="181">
        <f>'Données projet'!D65</f>
        <v>56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60</v>
      </c>
      <c r="B58" s="181">
        <f>'Données projet'!D66</f>
        <v>56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70</v>
      </c>
      <c r="B59" s="181">
        <f>'Données projet'!D67</f>
        <v>56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80</v>
      </c>
      <c r="B60" s="181">
        <f>'Données projet'!D68</f>
        <v>56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90</v>
      </c>
      <c r="B61" s="181">
        <f>'Données projet'!D69</f>
        <v>56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100</v>
      </c>
      <c r="B62" s="181">
        <f>'Données projet'!D70</f>
        <v>55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110</v>
      </c>
      <c r="B63" s="181">
        <f>'Données projet'!D71</f>
        <v>51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120</v>
      </c>
      <c r="B64" s="181">
        <f>'Données projet'!D72</f>
        <v>47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130</v>
      </c>
      <c r="B65" s="181">
        <f>'Données projet'!D73</f>
        <v>44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140</v>
      </c>
      <c r="B66" s="181">
        <f>'Données projet'!D74</f>
        <v>41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150</v>
      </c>
      <c r="B67" s="181">
        <f>'Données projet'!D75</f>
        <v>355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str">
        <f>IF(O95+1&lt;=MIN('Données projet'!$E$9:$E$18),O95+1,"STOP")</f>
        <v>STOP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Morgane PICHELIN</cp:lastModifiedBy>
  <cp:lastPrinted>2023-11-02T15:25:57Z</cp:lastPrinted>
  <dcterms:created xsi:type="dcterms:W3CDTF">2021-02-01T08:22:39Z</dcterms:created>
  <dcterms:modified xsi:type="dcterms:W3CDTF">2023-11-02T15:27:04Z</dcterms:modified>
</cp:coreProperties>
</file>