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3\Villossanges\"/>
    </mc:Choice>
  </mc:AlternateContent>
  <bookViews>
    <workbookView xWindow="0" yWindow="0" windowWidth="28800" windowHeight="118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7" i="1" l="1"/>
  <c r="B127" i="1"/>
  <c r="B126" i="1"/>
  <c r="D124" i="1"/>
  <c r="B124" i="1"/>
  <c r="D122" i="1"/>
  <c r="B122" i="1"/>
  <c r="D120" i="1"/>
  <c r="B120" i="1"/>
  <c r="D118" i="1"/>
  <c r="B118" i="1"/>
  <c r="D116" i="1"/>
  <c r="B116" i="1"/>
  <c r="B115" i="1"/>
  <c r="B101" i="1"/>
  <c r="D101" i="1" s="1"/>
  <c r="B100" i="1"/>
  <c r="B98" i="1"/>
  <c r="B96" i="1"/>
  <c r="B94" i="1"/>
  <c r="D98" i="1"/>
  <c r="D96" i="1"/>
  <c r="D94" i="1"/>
  <c r="D92" i="1"/>
  <c r="B92" i="1"/>
  <c r="D90" i="1"/>
  <c r="B90" i="1"/>
  <c r="B89" i="1"/>
  <c r="B80" i="1" l="1"/>
  <c r="D80" i="1" s="1"/>
  <c r="B79" i="1"/>
  <c r="D78" i="1"/>
  <c r="B78" i="1"/>
  <c r="B77" i="1"/>
  <c r="D76" i="1"/>
  <c r="B76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B64" i="1"/>
  <c r="B159" i="1"/>
  <c r="D158" i="1"/>
  <c r="B158" i="1"/>
  <c r="D157" i="1"/>
  <c r="B157" i="1"/>
  <c r="D156" i="1"/>
  <c r="B156" i="1"/>
  <c r="D155" i="1"/>
  <c r="B155" i="1"/>
  <c r="B154" i="1"/>
  <c r="B153" i="1"/>
  <c r="B152" i="1"/>
  <c r="D153" i="1"/>
  <c r="D151" i="1"/>
  <c r="B151" i="1"/>
  <c r="B150" i="1"/>
  <c r="B149" i="1"/>
  <c r="B148" i="1"/>
  <c r="B147" i="1"/>
  <c r="B146" i="1"/>
  <c r="D149" i="1"/>
  <c r="D147" i="1"/>
  <c r="D145" i="1"/>
  <c r="B145" i="1"/>
  <c r="B144" i="1"/>
  <c r="D143" i="1"/>
  <c r="B143" i="1"/>
  <c r="B142" i="1" l="1"/>
  <c r="D141" i="1"/>
  <c r="D159" i="1"/>
  <c r="B141" i="1"/>
  <c r="B140" i="1"/>
  <c r="D44" i="1" l="1"/>
  <c r="D43" i="1"/>
  <c r="D42" i="1"/>
  <c r="D41" i="1"/>
  <c r="D40" i="1"/>
  <c r="D38" i="1"/>
  <c r="D37" i="1"/>
  <c r="B46" i="1"/>
  <c r="D46" i="1" s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W113" i="2"/>
  <c r="EX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FS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X156" i="2"/>
  <c r="AB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FS161" i="2"/>
  <c r="EX161" i="2"/>
  <c r="EB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DI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Y163" i="2"/>
  <c r="EV164" i="2"/>
  <c r="EX164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X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DG167" i="2"/>
  <c r="EB167" i="2"/>
  <c r="EC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DG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Y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EW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W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V192" i="2"/>
  <c r="EW192" i="2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X193" i="2"/>
  <c r="EA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FQ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Y194" i="2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DI200" i="2"/>
  <c r="EB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R202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DN187" i="2" a="1"/>
  <c r="DN187" i="2" s="1"/>
  <c r="HJ202" i="2"/>
  <c r="EY202" i="2"/>
  <c r="AX200" i="2"/>
  <c r="FR203" i="2" l="1"/>
  <c r="FD82" i="2" a="1"/>
  <c r="FD82" i="2" s="1"/>
  <c r="FD21" i="2" a="1"/>
  <c r="FD21" i="2" s="1"/>
  <c r="FD194" i="2" a="1"/>
  <c r="FD194" i="2" s="1"/>
  <c r="FD160" i="2" a="1"/>
  <c r="FD160" i="2" s="1"/>
  <c r="FD137" i="2" a="1"/>
  <c r="FD137" i="2" s="1"/>
  <c r="FD107" i="2" a="1"/>
  <c r="FD107" i="2" s="1"/>
  <c r="FD189" i="2" a="1"/>
  <c r="FD189" i="2" s="1"/>
  <c r="FD14" i="2" a="1"/>
  <c r="FD14" i="2" s="1"/>
  <c r="FD44" i="2" a="1"/>
  <c r="FD44" i="2" s="1"/>
  <c r="FD159" i="2" a="1"/>
  <c r="FD159" i="2" s="1"/>
  <c r="FD48" i="2" a="1"/>
  <c r="FD48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43" i="2" a="1"/>
  <c r="FD43" i="2" s="1"/>
  <c r="FD59" i="2" a="1"/>
  <c r="FD59" i="2" s="1"/>
  <c r="FD19" i="2" a="1"/>
  <c r="FD19" i="2" s="1"/>
  <c r="FD64" i="2" a="1"/>
  <c r="FD64" i="2" s="1"/>
  <c r="FD144" i="2" a="1"/>
  <c r="FD144" i="2" s="1"/>
  <c r="CS56" i="2" a="1"/>
  <c r="CS56" i="2" s="1"/>
  <c r="CS72" i="2" a="1"/>
  <c r="CS72" i="2" s="1"/>
  <c r="CS134" i="2" a="1"/>
  <c r="CS134" i="2" s="1"/>
  <c r="CS38" i="2" a="1"/>
  <c r="CS38" i="2" s="1"/>
  <c r="CS114" i="2" a="1"/>
  <c r="CS114" i="2" s="1"/>
  <c r="CS77" i="2" a="1"/>
  <c r="CS77" i="2" s="1"/>
  <c r="CS185" i="2" a="1"/>
  <c r="CS185" i="2" s="1"/>
  <c r="CS120" i="2" a="1"/>
  <c r="CS120" i="2" s="1"/>
  <c r="CS24" i="2" a="1"/>
  <c r="CS24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129" i="2" a="1"/>
  <c r="CS129" i="2" s="1"/>
  <c r="CS161" i="2" a="1"/>
  <c r="CS161" i="2" s="1"/>
  <c r="BP203" i="2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3" i="2" l="1"/>
  <c r="DT73" i="2"/>
  <c r="DT158" i="2"/>
  <c r="DT186" i="2"/>
  <c r="DT105" i="2"/>
  <c r="DT178" i="2"/>
  <c r="DT27" i="2"/>
  <c r="DT146" i="2"/>
  <c r="DT86" i="2"/>
  <c r="DT81" i="2"/>
  <c r="DT29" i="2"/>
  <c r="DT40" i="2"/>
  <c r="DT62" i="2"/>
  <c r="DT131" i="2"/>
  <c r="DT68" i="2"/>
  <c r="DT28" i="2"/>
  <c r="DT51" i="2"/>
  <c r="DT179" i="2"/>
  <c r="DT41" i="2"/>
  <c r="DT110" i="2"/>
  <c r="DT153" i="2"/>
  <c r="DT132" i="2"/>
  <c r="DT164" i="2"/>
  <c r="DT4" i="2"/>
  <c r="DT140" i="2"/>
  <c r="DT21" i="2"/>
  <c r="DT92" i="2"/>
  <c r="DT65" i="2"/>
  <c r="DT79" i="2"/>
  <c r="DT82" i="2"/>
  <c r="DT31" i="2"/>
  <c r="DT148" i="2"/>
  <c r="DT200" i="2"/>
  <c r="DT120" i="2"/>
  <c r="DT48" i="2"/>
  <c r="DT11" i="2"/>
  <c r="DT160" i="2"/>
  <c r="DT63" i="2"/>
  <c r="DT154" i="2"/>
  <c r="DT142" i="2"/>
  <c r="DT33" i="2"/>
  <c r="DT22" i="2"/>
  <c r="DT37" i="2"/>
  <c r="DT43" i="2"/>
  <c r="DT10" i="2"/>
  <c r="DT42" i="2"/>
  <c r="DT102" i="2"/>
  <c r="DT15" i="2"/>
  <c r="DT147" i="2"/>
  <c r="DT78" i="2"/>
  <c r="DT133" i="2"/>
  <c r="DT119" i="2"/>
  <c r="DT106" i="2"/>
  <c r="DT176" i="2"/>
  <c r="DT53" i="2"/>
  <c r="DT185" i="2"/>
  <c r="DT103" i="2"/>
  <c r="DT56" i="2"/>
  <c r="DT162" i="2"/>
  <c r="DT18" i="2"/>
  <c r="DT7" i="2"/>
  <c r="DT71" i="2"/>
  <c r="DT123" i="2"/>
  <c r="DT97" i="2"/>
  <c r="DT134" i="2"/>
  <c r="DT84" i="2"/>
  <c r="DT55" i="2"/>
  <c r="DT5" i="2"/>
  <c r="DT89" i="2"/>
  <c r="DT173" i="2"/>
  <c r="DT202" i="2"/>
  <c r="DT174" i="2"/>
  <c r="DT3" i="2"/>
  <c r="C11" i="4" s="1"/>
  <c r="E11" i="4" s="1"/>
  <c r="F11" i="4" s="1"/>
  <c r="G11" i="4" s="1"/>
  <c r="L11" i="4" s="1"/>
  <c r="DT155" i="2"/>
  <c r="DT181" i="2"/>
  <c r="DT35" i="2"/>
  <c r="DT111" i="2"/>
  <c r="DT25" i="2"/>
  <c r="DT135" i="2"/>
  <c r="DT64" i="2"/>
  <c r="DT98" i="2"/>
  <c r="DT143" i="2"/>
  <c r="DT46" i="2"/>
  <c r="DT70" i="2"/>
  <c r="DT26" i="2"/>
  <c r="DT163" i="2"/>
  <c r="DT12" i="2"/>
  <c r="DT149" i="2"/>
  <c r="DT150" i="2"/>
  <c r="DT195" i="2"/>
  <c r="DT197" i="2"/>
  <c r="DT49" i="2"/>
  <c r="DT99" i="2"/>
  <c r="DT177" i="2"/>
  <c r="DT72" i="2"/>
  <c r="DT6" i="2"/>
  <c r="DT121" i="2"/>
  <c r="DT156" i="2"/>
  <c r="DT116" i="2"/>
  <c r="DT36" i="2"/>
  <c r="DT128" i="2"/>
  <c r="DT57" i="2"/>
  <c r="DT52" i="2"/>
  <c r="DT124" i="2"/>
  <c r="DT167" i="2"/>
  <c r="DT107" i="2"/>
  <c r="DT122" i="2"/>
  <c r="DT85" i="2"/>
  <c r="DT165" i="2"/>
  <c r="DT77" i="2"/>
  <c r="DT117" i="2"/>
  <c r="DT113" i="2"/>
  <c r="DT125" i="2"/>
  <c r="DT193" i="2"/>
  <c r="DT54" i="2"/>
  <c r="DT59" i="2"/>
  <c r="DT61" i="2"/>
  <c r="DT182" i="2"/>
  <c r="DT130" i="2"/>
  <c r="DT183" i="2"/>
  <c r="DT69" i="2"/>
  <c r="DT30" i="2"/>
  <c r="DT180" i="2"/>
  <c r="DT139" i="2"/>
  <c r="DT80" i="2"/>
  <c r="DT24" i="2"/>
  <c r="DT166" i="2"/>
  <c r="DT108" i="2"/>
  <c r="DT192" i="2"/>
  <c r="DT19" i="2"/>
  <c r="DT44" i="2"/>
  <c r="DT159" i="2"/>
  <c r="DT104" i="2"/>
  <c r="DT38" i="2"/>
  <c r="DT168" i="2"/>
  <c r="DT50" i="2"/>
  <c r="DT126" i="2"/>
  <c r="DT58" i="2"/>
  <c r="DT95" i="2"/>
  <c r="DT47" i="2"/>
  <c r="DT32" i="2"/>
  <c r="DT138" i="2"/>
  <c r="DT74" i="2"/>
  <c r="DT169" i="2"/>
  <c r="DT127" i="2"/>
  <c r="DT118" i="2"/>
  <c r="DT194" i="2"/>
  <c r="DT170" i="2"/>
  <c r="DT67" i="2"/>
  <c r="DT171" i="2"/>
  <c r="DT14" i="2"/>
  <c r="DT151" i="2"/>
  <c r="DT34" i="2"/>
  <c r="DT16" i="2"/>
  <c r="DT137" i="2"/>
  <c r="DT187" i="2"/>
  <c r="DT8" i="2"/>
  <c r="DT198" i="2"/>
  <c r="DT96" i="2"/>
  <c r="DT115" i="2"/>
  <c r="DT20" i="2"/>
  <c r="DT191" i="2"/>
  <c r="DT23" i="2"/>
  <c r="DT39" i="2"/>
  <c r="DT157" i="2"/>
  <c r="DT145" i="2"/>
  <c r="DT88" i="2"/>
  <c r="DT161" i="2"/>
  <c r="DT66" i="2"/>
  <c r="DT93" i="2"/>
  <c r="DT75" i="2"/>
  <c r="DT199" i="2"/>
  <c r="DT136" i="2"/>
  <c r="DT141" i="2"/>
  <c r="DT152" i="2"/>
  <c r="DT114" i="2"/>
  <c r="DT201" i="2"/>
  <c r="DT109" i="2"/>
  <c r="DT184" i="2"/>
  <c r="DT45" i="2"/>
  <c r="DT175" i="2"/>
  <c r="DT83" i="2"/>
  <c r="DT188" i="2"/>
  <c r="DT172" i="2"/>
  <c r="DT100" i="2"/>
  <c r="DT9" i="2"/>
  <c r="DT94" i="2"/>
  <c r="DT203" i="2"/>
  <c r="DT144" i="2"/>
  <c r="DT189" i="2"/>
  <c r="DT190" i="2"/>
  <c r="DT101" i="2"/>
  <c r="DT17" i="2"/>
  <c r="DT112" i="2"/>
  <c r="DT90" i="2"/>
  <c r="DT60" i="2"/>
  <c r="DT76" i="2"/>
  <c r="DT91" i="2"/>
  <c r="DT196" i="2"/>
  <c r="DT87" i="2"/>
  <c r="DT12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<sst xmlns="http://schemas.openxmlformats.org/spreadsheetml/2006/main" count="1174" uniqueCount="324">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</sst>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098928"/>
        <c:axId val="444097840"/>
      </c:scatterChart>
      <c:valAx>
        <c:axId val="444098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097840"/>
        <c:crosses val="autoZero"/>
        <c:crossBetween val="midCat"/>
      </c:valAx>
      <c:valAx>
        <c:axId val="44409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0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351952"/>
        <c:axId val="476353584"/>
      </c:scatterChart>
      <c:valAx>
        <c:axId val="476351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353584"/>
        <c:crosses val="autoZero"/>
        <c:crossBetween val="midCat"/>
      </c:valAx>
      <c:valAx>
        <c:axId val="47635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351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148.71585437138609</c:v>
                </c:pt>
                <c:pt idx="22">
                  <c:v>166.18689856434787</c:v>
                </c:pt>
                <c:pt idx="23">
                  <c:v>183.6145755041251</c:v>
                </c:pt>
                <c:pt idx="24">
                  <c:v>201.00358266422018</c:v>
                </c:pt>
                <c:pt idx="25">
                  <c:v>218.35773715529604</c:v>
                </c:pt>
                <c:pt idx="26">
                  <c:v>235.30394147234657</c:v>
                </c:pt>
                <c:pt idx="27">
                  <c:v>252.22230966781115</c:v>
                </c:pt>
                <c:pt idx="28">
                  <c:v>269.11497170292427</c:v>
                </c:pt>
                <c:pt idx="29">
                  <c:v>285.9837682029551</c:v>
                </c:pt>
                <c:pt idx="30">
                  <c:v>302.8303048722828</c:v>
                </c:pt>
                <c:pt idx="31">
                  <c:v>230.41133295181578</c:v>
                </c:pt>
                <c:pt idx="32">
                  <c:v>246.20993843849078</c:v>
                </c:pt>
                <c:pt idx="33">
                  <c:v>261.98552595095464</c:v>
                </c:pt>
                <c:pt idx="34">
                  <c:v>277.73967673325717</c:v>
                </c:pt>
                <c:pt idx="35">
                  <c:v>293.47377793906509</c:v>
                </c:pt>
                <c:pt idx="36">
                  <c:v>308.06713623755627</c:v>
                </c:pt>
                <c:pt idx="37">
                  <c:v>322.64514262468748</c:v>
                </c:pt>
                <c:pt idx="38">
                  <c:v>337.20858844808726</c:v>
                </c:pt>
                <c:pt idx="39">
                  <c:v>351.75819111537271</c:v>
                </c:pt>
                <c:pt idx="40">
                  <c:v>366.29460383970871</c:v>
                </c:pt>
                <c:pt idx="41">
                  <c:v>291.60168035874693</c:v>
                </c:pt>
                <c:pt idx="42">
                  <c:v>304.7008312271609</c:v>
                </c:pt>
                <c:pt idx="43">
                  <c:v>317.78746245668049</c:v>
                </c:pt>
                <c:pt idx="44">
                  <c:v>330.8621623472693</c:v>
                </c:pt>
                <c:pt idx="45">
                  <c:v>343.92546889640738</c:v>
                </c:pt>
                <c:pt idx="46">
                  <c:v>356.23230957994474</c:v>
                </c:pt>
                <c:pt idx="47">
                  <c:v>368.52984306951686</c:v>
                </c:pt>
                <c:pt idx="48">
                  <c:v>380.81842375712017</c:v>
                </c:pt>
                <c:pt idx="49">
                  <c:v>393.09838129270628</c:v>
                </c:pt>
                <c:pt idx="50">
                  <c:v>405.37002304691265</c:v>
                </c:pt>
                <c:pt idx="51">
                  <c:v>336.83534260693528</c:v>
                </c:pt>
                <c:pt idx="52">
                  <c:v>348.40178403373966</c:v>
                </c:pt>
                <c:pt idx="53">
                  <c:v>359.95980096859563</c:v>
                </c:pt>
                <c:pt idx="54">
                  <c:v>371.50970211515966</c:v>
                </c:pt>
                <c:pt idx="55">
                  <c:v>383.05177541071225</c:v>
                </c:pt>
                <c:pt idx="56">
                  <c:v>392.72638504489868</c:v>
                </c:pt>
                <c:pt idx="57">
                  <c:v>402.39582743654267</c:v>
                </c:pt>
                <c:pt idx="58">
                  <c:v>412.06024430985252</c:v>
                </c:pt>
                <c:pt idx="59">
                  <c:v>421.71977019610921</c:v>
                </c:pt>
                <c:pt idx="60">
                  <c:v>431.37453295867726</c:v>
                </c:pt>
                <c:pt idx="61">
                  <c:v>370.01983804377852</c:v>
                </c:pt>
                <c:pt idx="62">
                  <c:v>379.32936443758246</c:v>
                </c:pt>
                <c:pt idx="63">
                  <c:v>388.63392005694874</c:v>
                </c:pt>
                <c:pt idx="64">
                  <c:v>397.93364074958487</c:v>
                </c:pt>
                <c:pt idx="65">
                  <c:v>407.22865549260905</c:v>
                </c:pt>
                <c:pt idx="66">
                  <c:v>415.77601826307938</c:v>
                </c:pt>
                <c:pt idx="67">
                  <c:v>424.31959279145207</c:v>
                </c:pt>
                <c:pt idx="68">
                  <c:v>432.85946614650521</c:v>
                </c:pt>
                <c:pt idx="69">
                  <c:v>441.39572167958931</c:v>
                </c:pt>
                <c:pt idx="70">
                  <c:v>449.92843925372921</c:v>
                </c:pt>
                <c:pt idx="71">
                  <c:v>395.70214171866616</c:v>
                </c:pt>
                <c:pt idx="72">
                  <c:v>402.76762782233124</c:v>
                </c:pt>
                <c:pt idx="73">
                  <c:v>409.83043316117727</c:v>
                </c:pt>
                <c:pt idx="74">
                  <c:v>416.89061048442267</c:v>
                </c:pt>
                <c:pt idx="75">
                  <c:v>423.94821060760881</c:v>
                </c:pt>
                <c:pt idx="76">
                  <c:v>430.63202519963056</c:v>
                </c:pt>
                <c:pt idx="77">
                  <c:v>437.31361092515778</c:v>
                </c:pt>
                <c:pt idx="78">
                  <c:v>443.99300666555558</c:v>
                </c:pt>
                <c:pt idx="79">
                  <c:v>450.67025003611371</c:v>
                </c:pt>
                <c:pt idx="80">
                  <c:v>457.34537744583622</c:v>
                </c:pt>
                <c:pt idx="81">
                  <c:v>413.17505211911867</c:v>
                </c:pt>
                <c:pt idx="82">
                  <c:v>419.11960237942054</c:v>
                </c:pt>
                <c:pt idx="83">
                  <c:v>425.06233617824188</c:v>
                </c:pt>
                <c:pt idx="84">
                  <c:v>431.00328251520631</c:v>
                </c:pt>
                <c:pt idx="85">
                  <c:v>436.94246952460412</c:v>
                </c:pt>
                <c:pt idx="86">
                  <c:v>442.5088838133741</c:v>
                </c:pt>
                <c:pt idx="87">
                  <c:v>448.07379769140431</c:v>
                </c:pt>
                <c:pt idx="88">
                  <c:v>453.63723243721898</c:v>
                </c:pt>
                <c:pt idx="89">
                  <c:v>459.19920876443263</c:v>
                </c:pt>
                <c:pt idx="90">
                  <c:v>464.75974684355987</c:v>
                </c:pt>
                <c:pt idx="91">
                  <c:v>427.29039899318769</c:v>
                </c:pt>
                <c:pt idx="92">
                  <c:v>432.48824312398847</c:v>
                </c:pt>
                <c:pt idx="93">
                  <c:v>437.68474556682258</c:v>
                </c:pt>
                <c:pt idx="94">
                  <c:v>442.87992451288648</c:v>
                </c:pt>
                <c:pt idx="95">
                  <c:v>448.07379769140431</c:v>
                </c:pt>
                <c:pt idx="96">
                  <c:v>453.63723243721915</c:v>
                </c:pt>
                <c:pt idx="97">
                  <c:v>459.19920876443274</c:v>
                </c:pt>
                <c:pt idx="98">
                  <c:v>464.75974684355998</c:v>
                </c:pt>
                <c:pt idx="99">
                  <c:v>470.31886632272813</c:v>
                </c:pt>
                <c:pt idx="100">
                  <c:v>475.87658634735823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099472"/>
        <c:axId val="480598464"/>
      </c:scatterChart>
      <c:valAx>
        <c:axId val="444099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8464"/>
        <c:crosses val="autoZero"/>
        <c:crossBetween val="midCat"/>
      </c:valAx>
      <c:valAx>
        <c:axId val="48059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099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190.0317286861825</c:v>
                </c:pt>
                <c:pt idx="22">
                  <c:v>211.69888943572892</c:v>
                </c:pt>
                <c:pt idx="23">
                  <c:v>233.31492222388263</c:v>
                </c:pt>
                <c:pt idx="24">
                  <c:v>254.88522992676118</c:v>
                </c:pt>
                <c:pt idx="25">
                  <c:v>276.41422549651452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275.73136161299811</c:v>
                </c:pt>
                <c:pt idx="32">
                  <c:v>293.81473838056439</c:v>
                </c:pt>
                <c:pt idx="33">
                  <c:v>311.87328271105707</c:v>
                </c:pt>
                <c:pt idx="34">
                  <c:v>329.90863445331973</c:v>
                </c:pt>
                <c:pt idx="35">
                  <c:v>347.92223953697516</c:v>
                </c:pt>
                <c:pt idx="36">
                  <c:v>268.90061493982</c:v>
                </c:pt>
                <c:pt idx="37">
                  <c:v>285.28804634815089</c:v>
                </c:pt>
                <c:pt idx="38">
                  <c:v>301.65441391376027</c:v>
                </c:pt>
                <c:pt idx="39">
                  <c:v>318.00102122537891</c:v>
                </c:pt>
                <c:pt idx="40">
                  <c:v>334.32902690172887</c:v>
                </c:pt>
                <c:pt idx="41">
                  <c:v>348.26191838646179</c:v>
                </c:pt>
                <c:pt idx="42">
                  <c:v>362.18258071633892</c:v>
                </c:pt>
                <c:pt idx="43">
                  <c:v>376.09155014049134</c:v>
                </c:pt>
                <c:pt idx="44">
                  <c:v>389.98932000577884</c:v>
                </c:pt>
                <c:pt idx="45">
                  <c:v>403.87634562786849</c:v>
                </c:pt>
                <c:pt idx="46">
                  <c:v>330.92884034916176</c:v>
                </c:pt>
                <c:pt idx="47">
                  <c:v>342.82617852900427</c:v>
                </c:pt>
                <c:pt idx="48">
                  <c:v>354.71444390147059</c:v>
                </c:pt>
                <c:pt idx="49">
                  <c:v>366.59398347144833</c:v>
                </c:pt>
                <c:pt idx="50">
                  <c:v>378.46511991321842</c:v>
                </c:pt>
                <c:pt idx="51">
                  <c:v>389.311632836613</c:v>
                </c:pt>
                <c:pt idx="52">
                  <c:v>400.15158842600766</c:v>
                </c:pt>
                <c:pt idx="53">
                  <c:v>410.98518940455659</c:v>
                </c:pt>
                <c:pt idx="54">
                  <c:v>421.81262693312578</c:v>
                </c:pt>
                <c:pt idx="55">
                  <c:v>432.63408155595857</c:v>
                </c:pt>
                <c:pt idx="56">
                  <c:v>390.32815400232886</c:v>
                </c:pt>
                <c:pt idx="57">
                  <c:v>398.79694553728058</c:v>
                </c:pt>
                <c:pt idx="58">
                  <c:v>407.26184368889852</c:v>
                </c:pt>
                <c:pt idx="59">
                  <c:v>415.72294083711444</c:v>
                </c:pt>
                <c:pt idx="60">
                  <c:v>424.18032529272597</c:v>
                </c:pt>
                <c:pt idx="61">
                  <c:v>431.61981966331064</c:v>
                </c:pt>
                <c:pt idx="62">
                  <c:v>439.05655970073695</c:v>
                </c:pt>
                <c:pt idx="63">
                  <c:v>446.49059866524129</c:v>
                </c:pt>
                <c:pt idx="64">
                  <c:v>453.92198789781901</c:v>
                </c:pt>
                <c:pt idx="65">
                  <c:v>461.35077692036231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460.33791158124308</c:v>
                </c:pt>
                <c:pt idx="72">
                  <c:v>466.0768562264268</c:v>
                </c:pt>
                <c:pt idx="73">
                  <c:v>471.81429448695877</c:v>
                </c:pt>
                <c:pt idx="74">
                  <c:v>477.5502472780363</c:v>
                </c:pt>
                <c:pt idx="75">
                  <c:v>483.28473497109445</c:v>
                </c:pt>
                <c:pt idx="76">
                  <c:v>488.34337621130203</c:v>
                </c:pt>
                <c:pt idx="77">
                  <c:v>493.40090557274067</c:v>
                </c:pt>
                <c:pt idx="78">
                  <c:v>498.45733606858835</c:v>
                </c:pt>
                <c:pt idx="79">
                  <c:v>503.512680426288</c:v>
                </c:pt>
                <c:pt idx="80">
                  <c:v>508.5669510966888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595744"/>
        <c:axId val="480599008"/>
      </c:scatterChart>
      <c:valAx>
        <c:axId val="480595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9008"/>
        <c:crosses val="autoZero"/>
        <c:crossBetween val="midCat"/>
      </c:valAx>
      <c:valAx>
        <c:axId val="48059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5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175.48763589154603</c:v>
                </c:pt>
                <c:pt idx="22">
                  <c:v>195.49245385292795</c:v>
                </c:pt>
                <c:pt idx="23">
                  <c:v>215.44970378753956</c:v>
                </c:pt>
                <c:pt idx="24">
                  <c:v>235.36441238036505</c:v>
                </c:pt>
                <c:pt idx="25">
                  <c:v>255.24068531878723</c:v>
                </c:pt>
                <c:pt idx="26">
                  <c:v>161.80307694345501</c:v>
                </c:pt>
                <c:pt idx="27">
                  <c:v>180.89077768928109</c:v>
                </c:pt>
                <c:pt idx="28">
                  <c:v>199.93131520555607</c:v>
                </c:pt>
                <c:pt idx="29">
                  <c:v>218.92981441202699</c:v>
                </c:pt>
                <c:pt idx="30">
                  <c:v>237.89043696225227</c:v>
                </c:pt>
                <c:pt idx="31">
                  <c:v>254.61024730171837</c:v>
                </c:pt>
                <c:pt idx="32">
                  <c:v>271.30521008186082</c:v>
                </c:pt>
                <c:pt idx="33">
                  <c:v>287.9770694563656</c:v>
                </c:pt>
                <c:pt idx="34">
                  <c:v>304.62735109477939</c:v>
                </c:pt>
                <c:pt idx="35">
                  <c:v>321.25740024962437</c:v>
                </c:pt>
                <c:pt idx="36">
                  <c:v>248.30390605743375</c:v>
                </c:pt>
                <c:pt idx="37">
                  <c:v>263.43320731240277</c:v>
                </c:pt>
                <c:pt idx="38">
                  <c:v>278.54291135662521</c:v>
                </c:pt>
                <c:pt idx="39">
                  <c:v>293.63423101263379</c:v>
                </c:pt>
                <c:pt idx="40">
                  <c:v>308.70824422691629</c:v>
                </c:pt>
                <c:pt idx="41">
                  <c:v>321.57098823009062</c:v>
                </c:pt>
                <c:pt idx="42">
                  <c:v>334.42235456926829</c:v>
                </c:pt>
                <c:pt idx="43">
                  <c:v>347.26284215565829</c:v>
                </c:pt>
                <c:pt idx="44">
                  <c:v>360.09290998539467</c:v>
                </c:pt>
                <c:pt idx="45">
                  <c:v>372.91298167145288</c:v>
                </c:pt>
                <c:pt idx="46">
                  <c:v>305.56920296431076</c:v>
                </c:pt>
                <c:pt idx="47">
                  <c:v>316.55276342878943</c:v>
                </c:pt>
                <c:pt idx="48">
                  <c:v>327.52788280677856</c:v>
                </c:pt>
                <c:pt idx="49">
                  <c:v>338.49488394193003</c:v>
                </c:pt>
                <c:pt idx="50">
                  <c:v>349.4540670413798</c:v>
                </c:pt>
                <c:pt idx="51">
                  <c:v>359.46728823872076</c:v>
                </c:pt>
                <c:pt idx="52">
                  <c:v>369.47440867571908</c:v>
                </c:pt>
                <c:pt idx="53">
                  <c:v>379.47561696033398</c:v>
                </c:pt>
                <c:pt idx="54">
                  <c:v>389.4710909432938</c:v>
                </c:pt>
                <c:pt idx="55">
                  <c:v>399.46099859791838</c:v>
                </c:pt>
                <c:pt idx="56">
                  <c:v>360.40571193829373</c:v>
                </c:pt>
                <c:pt idx="57">
                  <c:v>368.22384570264677</c:v>
                </c:pt>
                <c:pt idx="58">
                  <c:v>376.03835717192686</c:v>
                </c:pt>
                <c:pt idx="59">
                  <c:v>383.8493322938412</c:v>
                </c:pt>
                <c:pt idx="60">
                  <c:v>391.65685323028885</c:v>
                </c:pt>
                <c:pt idx="61">
                  <c:v>398.52467686288384</c:v>
                </c:pt>
                <c:pt idx="62">
                  <c:v>405.389937940864</c:v>
                </c:pt>
                <c:pt idx="63">
                  <c:v>412.2526860160653</c:v>
                </c:pt>
                <c:pt idx="64">
                  <c:v>419.11296885471529</c:v>
                </c:pt>
                <c:pt idx="65">
                  <c:v>425.9708325305989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425.03581010994776</c:v>
                </c:pt>
                <c:pt idx="72">
                  <c:v>430.33368844373439</c:v>
                </c:pt>
                <c:pt idx="73">
                  <c:v>435.63016527932933</c:v>
                </c:pt>
                <c:pt idx="74">
                  <c:v>440.92526007564749</c:v>
                </c:pt>
                <c:pt idx="75">
                  <c:v>446.21899178570339</c:v>
                </c:pt>
                <c:pt idx="76">
                  <c:v>450.88881430011548</c:v>
                </c:pt>
                <c:pt idx="77">
                  <c:v>455.55760235358645</c:v>
                </c:pt>
                <c:pt idx="78">
                  <c:v>460.22536805321442</c:v>
                </c:pt>
                <c:pt idx="79">
                  <c:v>464.89212324025556</c:v>
                </c:pt>
                <c:pt idx="80">
                  <c:v>469.5578794986327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596832"/>
        <c:axId val="480597376"/>
      </c:scatterChart>
      <c:valAx>
        <c:axId val="480596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7376"/>
        <c:crosses val="autoZero"/>
        <c:crossBetween val="midCat"/>
      </c:valAx>
      <c:valAx>
        <c:axId val="48059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6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3.3772547136744788</c:v>
                </c:pt>
                <c:pt idx="2">
                  <c:v>4.2967678594880176</c:v>
                </c:pt>
                <c:pt idx="3">
                  <c:v>5.4676067846813901</c:v>
                </c:pt>
                <c:pt idx="4">
                  <c:v>6.9587152757032529</c:v>
                </c:pt>
                <c:pt idx="5">
                  <c:v>8.8580138850107826</c:v>
                </c:pt>
                <c:pt idx="6">
                  <c:v>11.277639634244201</c:v>
                </c:pt>
                <c:pt idx="7">
                  <c:v>14.360636618031165</c:v>
                </c:pt>
                <c:pt idx="8">
                  <c:v>18.289500324456991</c:v>
                </c:pt>
                <c:pt idx="9">
                  <c:v>23.297090589245332</c:v>
                </c:pt>
                <c:pt idx="10">
                  <c:v>29.68057146585582</c:v>
                </c:pt>
                <c:pt idx="11">
                  <c:v>37.81921965926626</c:v>
                </c:pt>
                <c:pt idx="12">
                  <c:v>48.19717771885275</c:v>
                </c:pt>
                <c:pt idx="13">
                  <c:v>61.432528228223397</c:v>
                </c:pt>
                <c:pt idx="14">
                  <c:v>78.314449088901185</c:v>
                </c:pt>
                <c:pt idx="15">
                  <c:v>99.850701125907918</c:v>
                </c:pt>
                <c:pt idx="16">
                  <c:v>116.89897174448413</c:v>
                </c:pt>
                <c:pt idx="17">
                  <c:v>133.88642258251903</c:v>
                </c:pt>
                <c:pt idx="18">
                  <c:v>150.82187042131599</c:v>
                </c:pt>
                <c:pt idx="19">
                  <c:v>167.71198305973982</c:v>
                </c:pt>
                <c:pt idx="20">
                  <c:v>184.5619720949239</c:v>
                </c:pt>
                <c:pt idx="21">
                  <c:v>174.1078359548145</c:v>
                </c:pt>
                <c:pt idx="22">
                  <c:v>192.6833587340993</c:v>
                </c:pt>
                <c:pt idx="23">
                  <c:v>211.21721472573688</c:v>
                </c:pt>
                <c:pt idx="24">
                  <c:v>229.71357517594777</c:v>
                </c:pt>
                <c:pt idx="25">
                  <c:v>248.1758840777369</c:v>
                </c:pt>
                <c:pt idx="26">
                  <c:v>266.89478382272023</c:v>
                </c:pt>
                <c:pt idx="27">
                  <c:v>285.58411013783433</c:v>
                </c:pt>
                <c:pt idx="28">
                  <c:v>304.2460702284032</c:v>
                </c:pt>
                <c:pt idx="29">
                  <c:v>322.88257839605905</c:v>
                </c:pt>
                <c:pt idx="30">
                  <c:v>341.49530992621681</c:v>
                </c:pt>
                <c:pt idx="31">
                  <c:v>309.98300923549448</c:v>
                </c:pt>
                <c:pt idx="32">
                  <c:v>328.61203297364347</c:v>
                </c:pt>
                <c:pt idx="33">
                  <c:v>347.21775415165695</c:v>
                </c:pt>
                <c:pt idx="34">
                  <c:v>365.80159667179151</c:v>
                </c:pt>
                <c:pt idx="35">
                  <c:v>384.36482798638843</c:v>
                </c:pt>
                <c:pt idx="36">
                  <c:v>401.76797181151136</c:v>
                </c:pt>
                <c:pt idx="37">
                  <c:v>419.15481104959866</c:v>
                </c:pt>
                <c:pt idx="38">
                  <c:v>436.52611695280945</c:v>
                </c:pt>
                <c:pt idx="39">
                  <c:v>453.882594406436</c:v>
                </c:pt>
                <c:pt idx="40">
                  <c:v>471.22489001161836</c:v>
                </c:pt>
                <c:pt idx="41">
                  <c:v>426.84562257899694</c:v>
                </c:pt>
                <c:pt idx="42">
                  <c:v>443.64118268121075</c:v>
                </c:pt>
                <c:pt idx="43">
                  <c:v>460.42312514382979</c:v>
                </c:pt>
                <c:pt idx="44">
                  <c:v>477.19201598429891</c:v>
                </c:pt>
                <c:pt idx="45">
                  <c:v>493.94837821219221</c:v>
                </c:pt>
                <c:pt idx="46">
                  <c:v>510.12528475995458</c:v>
                </c:pt>
                <c:pt idx="47">
                  <c:v>526.29135672631048</c:v>
                </c:pt>
                <c:pt idx="48">
                  <c:v>542.44697361896976</c:v>
                </c:pt>
                <c:pt idx="49">
                  <c:v>558.59249050833625</c:v>
                </c:pt>
                <c:pt idx="50">
                  <c:v>574.72824027648051</c:v>
                </c:pt>
                <c:pt idx="51">
                  <c:v>525.72430526117284</c:v>
                </c:pt>
                <c:pt idx="52">
                  <c:v>540.4635014450364</c:v>
                </c:pt>
                <c:pt idx="53">
                  <c:v>555.19425684011514</c:v>
                </c:pt>
                <c:pt idx="54">
                  <c:v>569.9168268534562</c:v>
                </c:pt>
                <c:pt idx="55">
                  <c:v>584.63145262638295</c:v>
                </c:pt>
                <c:pt idx="56">
                  <c:v>598.77285184523532</c:v>
                </c:pt>
                <c:pt idx="57">
                  <c:v>612.90730919838427</c:v>
                </c:pt>
                <c:pt idx="58">
                  <c:v>627.0350072500172</c:v>
                </c:pt>
                <c:pt idx="59">
                  <c:v>641.15611967114455</c:v>
                </c:pt>
                <c:pt idx="60">
                  <c:v>655.27081186319685</c:v>
                </c:pt>
                <c:pt idx="61">
                  <c:v>603.57933688097762</c:v>
                </c:pt>
                <c:pt idx="62">
                  <c:v>616.8637383622148</c:v>
                </c:pt>
                <c:pt idx="63">
                  <c:v>630.14221113425515</c:v>
                </c:pt>
                <c:pt idx="64">
                  <c:v>643.41489767433734</c:v>
                </c:pt>
                <c:pt idx="65">
                  <c:v>656.68193410508013</c:v>
                </c:pt>
                <c:pt idx="66">
                  <c:v>669.09713331979674</c:v>
                </c:pt>
                <c:pt idx="67">
                  <c:v>681.50759720748795</c:v>
                </c:pt>
                <c:pt idx="68">
                  <c:v>693.9134241101043</c:v>
                </c:pt>
                <c:pt idx="69">
                  <c:v>706.31470856837097</c:v>
                </c:pt>
                <c:pt idx="70">
                  <c:v>718.71154153427142</c:v>
                </c:pt>
                <c:pt idx="71">
                  <c:v>666.84017953064927</c:v>
                </c:pt>
                <c:pt idx="72">
                  <c:v>678.40541972773406</c:v>
                </c:pt>
                <c:pt idx="73">
                  <c:v>689.96661270613185</c:v>
                </c:pt>
                <c:pt idx="74">
                  <c:v>701.52383580999742</c:v>
                </c:pt>
                <c:pt idx="75">
                  <c:v>713.07716362846907</c:v>
                </c:pt>
                <c:pt idx="76">
                  <c:v>724.0633653183146</c:v>
                </c:pt>
                <c:pt idx="77">
                  <c:v>735.04616748819899</c:v>
                </c:pt>
                <c:pt idx="78">
                  <c:v>746.02562806754156</c:v>
                </c:pt>
                <c:pt idx="79">
                  <c:v>757.00180314246427</c:v>
                </c:pt>
                <c:pt idx="80">
                  <c:v>767.97474704088302</c:v>
                </c:pt>
                <c:pt idx="81">
                  <c:v>717.86644252238546</c:v>
                </c:pt>
                <c:pt idx="82">
                  <c:v>728.28791910331404</c:v>
                </c:pt>
                <c:pt idx="83">
                  <c:v>738.70635616237803</c:v>
                </c:pt>
                <c:pt idx="84">
                  <c:v>749.12180259138086</c:v>
                </c:pt>
                <c:pt idx="85">
                  <c:v>759.53430581236807</c:v>
                </c:pt>
                <c:pt idx="86">
                  <c:v>769.38130375816024</c:v>
                </c:pt>
                <c:pt idx="87">
                  <c:v>779.22574710902393</c:v>
                </c:pt>
                <c:pt idx="88">
                  <c:v>789.06767267264502</c:v>
                </c:pt>
                <c:pt idx="89">
                  <c:v>798.90711626410837</c:v>
                </c:pt>
                <c:pt idx="90">
                  <c:v>808.74411274481815</c:v>
                </c:pt>
                <c:pt idx="91">
                  <c:v>760.09706088223095</c:v>
                </c:pt>
                <c:pt idx="92">
                  <c:v>769.09999658881623</c:v>
                </c:pt>
                <c:pt idx="93">
                  <c:v>778.10079598278446</c:v>
                </c:pt>
                <c:pt idx="94">
                  <c:v>787.09948724980256</c:v>
                </c:pt>
                <c:pt idx="95">
                  <c:v>796.09609787878674</c:v>
                </c:pt>
                <c:pt idx="96">
                  <c:v>805.09065468697361</c:v>
                </c:pt>
                <c:pt idx="97">
                  <c:v>814.08318384381209</c:v>
                </c:pt>
                <c:pt idx="98">
                  <c:v>823.07371089374408</c:v>
                </c:pt>
                <c:pt idx="99">
                  <c:v>832.06226077794065</c:v>
                </c:pt>
                <c:pt idx="100">
                  <c:v>841.04885785504882</c:v>
                </c:pt>
                <c:pt idx="101">
                  <c:v>795.81498502259194</c:v>
                </c:pt>
                <c:pt idx="102">
                  <c:v>803.96644650371218</c:v>
                </c:pt>
                <c:pt idx="103">
                  <c:v>812.11624004649639</c:v>
                </c:pt>
                <c:pt idx="104">
                  <c:v>820.26438474191684</c:v>
                </c:pt>
                <c:pt idx="105">
                  <c:v>828.41089927090161</c:v>
                </c:pt>
                <c:pt idx="106">
                  <c:v>836.55580191717229</c:v>
                </c:pt>
                <c:pt idx="107">
                  <c:v>844.69911057955676</c:v>
                </c:pt>
                <c:pt idx="108">
                  <c:v>852.84084278380351</c:v>
                </c:pt>
                <c:pt idx="109">
                  <c:v>860.98101569391963</c:v>
                </c:pt>
                <c:pt idx="110">
                  <c:v>869.11964612306019</c:v>
                </c:pt>
                <c:pt idx="111">
                  <c:v>826.02329556609175</c:v>
                </c:pt>
                <c:pt idx="112">
                  <c:v>833.46654468526685</c:v>
                </c:pt>
                <c:pt idx="113">
                  <c:v>840.90845717188552</c:v>
                </c:pt>
                <c:pt idx="114">
                  <c:v>848.34904651767317</c:v>
                </c:pt>
                <c:pt idx="115">
                  <c:v>855.78832595849883</c:v>
                </c:pt>
                <c:pt idx="116">
                  <c:v>863.22630848145536</c:v>
                </c:pt>
                <c:pt idx="117">
                  <c:v>870.66300683168481</c:v>
                </c:pt>
                <c:pt idx="118">
                  <c:v>878.09843351895722</c:v>
                </c:pt>
                <c:pt idx="119">
                  <c:v>885.53260082401755</c:v>
                </c:pt>
                <c:pt idx="120">
                  <c:v>892.96552080470462</c:v>
                </c:pt>
                <c:pt idx="121">
                  <c:v>853.40228388530807</c:v>
                </c:pt>
                <c:pt idx="122">
                  <c:v>860.13900065517464</c:v>
                </c:pt>
                <c:pt idx="123">
                  <c:v>866.87465980730406</c:v>
                </c:pt>
                <c:pt idx="124">
                  <c:v>873.60927071459162</c:v>
                </c:pt>
                <c:pt idx="125">
                  <c:v>880.34284259370236</c:v>
                </c:pt>
                <c:pt idx="126">
                  <c:v>887.07538450887421</c:v>
                </c:pt>
                <c:pt idx="127">
                  <c:v>893.80690537560247</c:v>
                </c:pt>
                <c:pt idx="128">
                  <c:v>900.53741396420571</c:v>
                </c:pt>
                <c:pt idx="129">
                  <c:v>907.26691890328073</c:v>
                </c:pt>
                <c:pt idx="130">
                  <c:v>913.99542868304843</c:v>
                </c:pt>
                <c:pt idx="131">
                  <c:v>1.4881570057821194E-11</c:v>
                </c:pt>
                <c:pt idx="132">
                  <c:v>1.4881570057821194E-11</c:v>
                </c:pt>
                <c:pt idx="133">
                  <c:v>1.4881570057821194E-11</c:v>
                </c:pt>
                <c:pt idx="134">
                  <c:v>1.4881570057821194E-11</c:v>
                </c:pt>
                <c:pt idx="135">
                  <c:v>1.4881570057821194E-11</c:v>
                </c:pt>
                <c:pt idx="136">
                  <c:v>1.4881570057821194E-11</c:v>
                </c:pt>
                <c:pt idx="137">
                  <c:v>1.4881570057821194E-11</c:v>
                </c:pt>
                <c:pt idx="138">
                  <c:v>1.4881570057821194E-11</c:v>
                </c:pt>
                <c:pt idx="139">
                  <c:v>1.4881570057821194E-11</c:v>
                </c:pt>
                <c:pt idx="140">
                  <c:v>1.4881570057821194E-11</c:v>
                </c:pt>
                <c:pt idx="141">
                  <c:v>1.4881570057821194E-11</c:v>
                </c:pt>
                <c:pt idx="142">
                  <c:v>1.4881570057821194E-11</c:v>
                </c:pt>
                <c:pt idx="143">
                  <c:v>1.4881570057821194E-11</c:v>
                </c:pt>
                <c:pt idx="144">
                  <c:v>1.4881570057821194E-11</c:v>
                </c:pt>
                <c:pt idx="145">
                  <c:v>1.4881570057821194E-11</c:v>
                </c:pt>
                <c:pt idx="146">
                  <c:v>1.4881570057821194E-11</c:v>
                </c:pt>
                <c:pt idx="147">
                  <c:v>1.4881570057821194E-11</c:v>
                </c:pt>
                <c:pt idx="148">
                  <c:v>1.4881570057821194E-11</c:v>
                </c:pt>
                <c:pt idx="149">
                  <c:v>1.4881570057821194E-11</c:v>
                </c:pt>
                <c:pt idx="150">
                  <c:v>1.4881570057821194E-11</c:v>
                </c:pt>
                <c:pt idx="151">
                  <c:v>1.4881570057821194E-11</c:v>
                </c:pt>
                <c:pt idx="152">
                  <c:v>1.4881570057821194E-11</c:v>
                </c:pt>
                <c:pt idx="153">
                  <c:v>1.4881570057821194E-11</c:v>
                </c:pt>
                <c:pt idx="154">
                  <c:v>1.4881570057821194E-11</c:v>
                </c:pt>
                <c:pt idx="155">
                  <c:v>1.4881570057821194E-11</c:v>
                </c:pt>
                <c:pt idx="156">
                  <c:v>1.4881570057821194E-11</c:v>
                </c:pt>
                <c:pt idx="157">
                  <c:v>1.4881570057821194E-11</c:v>
                </c:pt>
                <c:pt idx="158">
                  <c:v>1.4881570057821194E-11</c:v>
                </c:pt>
                <c:pt idx="159">
                  <c:v>1.4881570057821194E-11</c:v>
                </c:pt>
                <c:pt idx="160">
                  <c:v>1.4881570057821194E-11</c:v>
                </c:pt>
                <c:pt idx="161">
                  <c:v>1.4881570057821194E-11</c:v>
                </c:pt>
                <c:pt idx="162">
                  <c:v>1.4881570057821194E-11</c:v>
                </c:pt>
                <c:pt idx="163">
                  <c:v>1.4881570057821194E-11</c:v>
                </c:pt>
                <c:pt idx="164">
                  <c:v>1.4881570057821194E-11</c:v>
                </c:pt>
                <c:pt idx="165">
                  <c:v>1.4881570057821194E-11</c:v>
                </c:pt>
                <c:pt idx="166">
                  <c:v>1.4881570057821194E-11</c:v>
                </c:pt>
                <c:pt idx="167">
                  <c:v>1.4881570057821194E-11</c:v>
                </c:pt>
                <c:pt idx="168">
                  <c:v>1.4881570057821194E-11</c:v>
                </c:pt>
                <c:pt idx="169">
                  <c:v>1.4881570057821194E-11</c:v>
                </c:pt>
                <c:pt idx="170">
                  <c:v>1.4881570057821194E-11</c:v>
                </c:pt>
                <c:pt idx="171">
                  <c:v>1.4881570057821194E-11</c:v>
                </c:pt>
                <c:pt idx="172">
                  <c:v>1.4881570057821194E-11</c:v>
                </c:pt>
                <c:pt idx="173">
                  <c:v>1.4881570057821194E-11</c:v>
                </c:pt>
                <c:pt idx="174">
                  <c:v>1.4881570057821194E-11</c:v>
                </c:pt>
                <c:pt idx="175">
                  <c:v>1.4881570057821194E-11</c:v>
                </c:pt>
                <c:pt idx="176">
                  <c:v>1.4881570057821194E-11</c:v>
                </c:pt>
                <c:pt idx="177">
                  <c:v>1.4881570057821194E-11</c:v>
                </c:pt>
                <c:pt idx="178">
                  <c:v>1.4881570057821194E-11</c:v>
                </c:pt>
                <c:pt idx="179">
                  <c:v>1.4881570057821194E-11</c:v>
                </c:pt>
                <c:pt idx="180">
                  <c:v>1.4881570057821194E-11</c:v>
                </c:pt>
                <c:pt idx="181">
                  <c:v>1.4881570057821194E-11</c:v>
                </c:pt>
                <c:pt idx="182">
                  <c:v>1.4881570057821194E-11</c:v>
                </c:pt>
                <c:pt idx="183">
                  <c:v>1.4881570057821194E-11</c:v>
                </c:pt>
                <c:pt idx="184">
                  <c:v>1.4881570057821194E-11</c:v>
                </c:pt>
                <c:pt idx="185">
                  <c:v>1.4881570057821194E-11</c:v>
                </c:pt>
                <c:pt idx="186">
                  <c:v>1.4881570057821194E-11</c:v>
                </c:pt>
                <c:pt idx="187">
                  <c:v>1.4881570057821194E-11</c:v>
                </c:pt>
                <c:pt idx="188">
                  <c:v>1.4881570057821194E-11</c:v>
                </c:pt>
                <c:pt idx="189">
                  <c:v>1.4881570057821194E-11</c:v>
                </c:pt>
                <c:pt idx="190">
                  <c:v>1.4881570057821194E-11</c:v>
                </c:pt>
                <c:pt idx="191">
                  <c:v>1.4881570057821194E-11</c:v>
                </c:pt>
                <c:pt idx="192">
                  <c:v>1.4881570057821194E-11</c:v>
                </c:pt>
                <c:pt idx="193">
                  <c:v>1.4881570057821194E-11</c:v>
                </c:pt>
                <c:pt idx="194">
                  <c:v>1.4881570057821194E-11</c:v>
                </c:pt>
                <c:pt idx="195">
                  <c:v>1.4881570057821194E-11</c:v>
                </c:pt>
                <c:pt idx="196">
                  <c:v>1.4881570057821194E-11</c:v>
                </c:pt>
                <c:pt idx="197">
                  <c:v>1.4881570057821194E-11</c:v>
                </c:pt>
                <c:pt idx="198">
                  <c:v>1.4881570057821194E-11</c:v>
                </c:pt>
                <c:pt idx="199">
                  <c:v>1.4881570057821194E-11</c:v>
                </c:pt>
                <c:pt idx="200">
                  <c:v>1.4881570057821194E-11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596288"/>
        <c:axId val="480597920"/>
      </c:scatterChart>
      <c:valAx>
        <c:axId val="480596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7920"/>
        <c:crosses val="autoZero"/>
        <c:crossBetween val="midCat"/>
      </c:valAx>
      <c:valAx>
        <c:axId val="48059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059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24400"/>
        <c:axId val="478924944"/>
      </c:scatterChart>
      <c:valAx>
        <c:axId val="478924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4944"/>
        <c:crosses val="autoZero"/>
        <c:crossBetween val="midCat"/>
      </c:valAx>
      <c:valAx>
        <c:axId val="47892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4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25488"/>
        <c:axId val="478927120"/>
      </c:scatterChart>
      <c:valAx>
        <c:axId val="47892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7120"/>
        <c:crosses val="autoZero"/>
        <c:crossBetween val="midCat"/>
      </c:valAx>
      <c:valAx>
        <c:axId val="47892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26032"/>
        <c:axId val="478927664"/>
      </c:scatterChart>
      <c:valAx>
        <c:axId val="478926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7664"/>
        <c:crosses val="autoZero"/>
        <c:crossBetween val="midCat"/>
      </c:valAx>
      <c:valAx>
        <c:axId val="47892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6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26576"/>
        <c:axId val="476355216"/>
      </c:scatterChart>
      <c:valAx>
        <c:axId val="478926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355216"/>
        <c:crosses val="autoZero"/>
        <c:crossBetween val="midCat"/>
      </c:valAx>
      <c:valAx>
        <c:axId val="4763552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92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D25" sqref="D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0.48699999999999999</v>
      </c>
      <c r="D9" s="36">
        <f t="shared" ref="D9:D18" si="0">C9*$C$5</f>
        <v>0.80354999999999999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0.26169999999999999</v>
      </c>
      <c r="D10" s="36">
        <f t="shared" si="0"/>
        <v>0.43180499999999994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22</v>
      </c>
      <c r="C11" s="35">
        <v>9.6000000000000002E-2</v>
      </c>
      <c r="D11" s="36">
        <f t="shared" si="0"/>
        <v>0.15839999999999999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7.7399999999999997E-2</v>
      </c>
      <c r="D12" s="36">
        <f t="shared" si="0"/>
        <v>0.12770999999999999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9</v>
      </c>
      <c r="C13" s="35">
        <v>6.2199999999999998E-2</v>
      </c>
      <c r="D13" s="36">
        <f t="shared" si="0"/>
        <v>0.10262999999999999</v>
      </c>
      <c r="E13" s="37">
        <v>130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0.98429999999999995</v>
      </c>
      <c r="D19" s="41">
        <f>SUM(D9:D18)</f>
        <v>1.6240950000000001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f>192.63/1.3</f>
        <v>148.17692307692306</v>
      </c>
      <c r="C36" s="63"/>
      <c r="D36" s="63"/>
      <c r="E36" s="54"/>
      <c r="F36" s="54"/>
      <c r="G36" s="54"/>
      <c r="H36" s="54"/>
      <c r="I36" s="52">
        <f>IFERROR(B36/A36,"")</f>
        <v>7.7987854251012134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f>234.08/1.3</f>
        <v>180.06153846153848</v>
      </c>
      <c r="C37" s="63">
        <v>1</v>
      </c>
      <c r="D37" s="63">
        <f>79.52/1.3</f>
        <v>61.169230769230765</v>
      </c>
      <c r="E37" s="54"/>
      <c r="F37" s="54">
        <v>0.2</v>
      </c>
      <c r="G37" s="54">
        <v>0.4</v>
      </c>
      <c r="H37" s="54">
        <v>0.4</v>
      </c>
      <c r="I37" s="56">
        <f t="shared" ref="I37:I55" si="1">IF(A37&lt;&gt;0,(B37-(B36-D36))/(A37-A36),"")</f>
        <v>15.942307692307708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f>306.42/1.3</f>
        <v>235.7076923076923</v>
      </c>
      <c r="C38" s="63">
        <v>2</v>
      </c>
      <c r="D38" s="63">
        <f>73.99/1.3</f>
        <v>56.91538461538461</v>
      </c>
      <c r="E38" s="54">
        <v>0.2</v>
      </c>
      <c r="F38" s="54">
        <v>0.2</v>
      </c>
      <c r="G38" s="54">
        <v>0.3</v>
      </c>
      <c r="H38" s="54">
        <v>0.3</v>
      </c>
      <c r="I38" s="56">
        <f t="shared" si="1"/>
        <v>16.687912087912085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279.49/1.3</f>
        <v>214.99230769230769</v>
      </c>
      <c r="C39" s="63"/>
      <c r="D39" s="63"/>
      <c r="E39" s="54"/>
      <c r="F39" s="54"/>
      <c r="G39" s="54"/>
      <c r="H39" s="54"/>
      <c r="I39" s="52">
        <f t="shared" si="1"/>
        <v>18.099999999999994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397.14/1.3</f>
        <v>305.49230769230769</v>
      </c>
      <c r="C40" s="63">
        <v>3</v>
      </c>
      <c r="D40" s="63">
        <f>91.65/1.3</f>
        <v>70.5</v>
      </c>
      <c r="E40" s="54"/>
      <c r="F40" s="54"/>
      <c r="G40" s="54"/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63">
        <f>471.38/1.3</f>
        <v>362.59999999999997</v>
      </c>
      <c r="C41" s="63">
        <v>4</v>
      </c>
      <c r="D41" s="63">
        <f>104.87/1.3</f>
        <v>80.669230769230765</v>
      </c>
      <c r="E41" s="54"/>
      <c r="F41" s="54"/>
      <c r="G41" s="54"/>
      <c r="H41" s="54"/>
      <c r="I41" s="56">
        <f t="shared" si="1"/>
        <v>18.229670329670324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49</v>
      </c>
      <c r="B42" s="63">
        <f>525.94/1.3</f>
        <v>404.56923076923078</v>
      </c>
      <c r="C42" s="63">
        <v>5</v>
      </c>
      <c r="D42" s="63">
        <f>117.59/1.3</f>
        <v>90.453846153846158</v>
      </c>
      <c r="E42" s="54"/>
      <c r="F42" s="54"/>
      <c r="G42" s="54"/>
      <c r="H42" s="54"/>
      <c r="I42" s="56">
        <f t="shared" si="1"/>
        <v>17.519780219780223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56</v>
      </c>
      <c r="B43" s="63">
        <f>556.02/1.3</f>
        <v>427.7076923076923</v>
      </c>
      <c r="C43" s="63">
        <v>6</v>
      </c>
      <c r="D43" s="63">
        <f>98.63/1.3</f>
        <v>75.869230769230768</v>
      </c>
      <c r="E43" s="54"/>
      <c r="F43" s="54"/>
      <c r="G43" s="54"/>
      <c r="H43" s="54"/>
      <c r="I43" s="52">
        <f t="shared" si="1"/>
        <v>16.227472527472521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f>592.43/1.3</f>
        <v>455.71538461538455</v>
      </c>
      <c r="C44" s="63">
        <v>7</v>
      </c>
      <c r="D44" s="63">
        <f>103.64/1.3</f>
        <v>79.723076923076917</v>
      </c>
      <c r="E44" s="54"/>
      <c r="F44" s="54"/>
      <c r="G44" s="54"/>
      <c r="H44" s="54"/>
      <c r="I44" s="52">
        <f t="shared" si="1"/>
        <v>14.839560439560435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69</v>
      </c>
      <c r="B45" s="63">
        <f>593.1/1.3</f>
        <v>456.23076923076923</v>
      </c>
      <c r="C45" s="63"/>
      <c r="D45" s="63"/>
      <c r="E45" s="54"/>
      <c r="F45" s="54"/>
      <c r="G45" s="54"/>
      <c r="H45" s="54"/>
      <c r="I45" s="52">
        <f t="shared" si="1"/>
        <v>13.373076923076932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609.79/1.3</f>
        <v>469.06923076923073</v>
      </c>
      <c r="C46" s="63">
        <v>8</v>
      </c>
      <c r="D46" s="63">
        <f>B46</f>
        <v>469.06923076923073</v>
      </c>
      <c r="E46" s="54"/>
      <c r="F46" s="54"/>
      <c r="G46" s="54"/>
      <c r="H46" s="54"/>
      <c r="I46" s="52">
        <f t="shared" si="1"/>
        <v>12.838461538461502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23</v>
      </c>
      <c r="C62" s="63"/>
      <c r="D62" s="63"/>
      <c r="E62" s="54"/>
      <c r="F62" s="54"/>
      <c r="G62" s="54"/>
      <c r="H62" s="54"/>
      <c r="I62" s="56">
        <f>IFERROR(B62/A62,"")</f>
        <v>2.2999999999999998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60</v>
      </c>
      <c r="C63" s="63"/>
      <c r="D63" s="63"/>
      <c r="E63" s="54"/>
      <c r="F63" s="54"/>
      <c r="G63" s="54"/>
      <c r="H63" s="54"/>
      <c r="I63" s="52">
        <f>IF(A63&lt;&gt;0,(B63-(B62-D62))/(A63-A62),"")</f>
        <v>7.4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f>67+41</f>
        <v>108</v>
      </c>
      <c r="C64" s="63">
        <v>1</v>
      </c>
      <c r="D64" s="63">
        <v>41</v>
      </c>
      <c r="E64" s="54"/>
      <c r="F64" s="54"/>
      <c r="G64" s="54"/>
      <c r="H64" s="54">
        <v>1</v>
      </c>
      <c r="I64" s="52">
        <f>IF(A64&lt;&gt;0,(B64-(B63-D63))/(A64-A63),"")</f>
        <v>9.6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f>90+23</f>
        <v>113</v>
      </c>
      <c r="C65" s="63"/>
      <c r="D65" s="63"/>
      <c r="E65" s="54"/>
      <c r="F65" s="54"/>
      <c r="G65" s="54"/>
      <c r="H65" s="54"/>
      <c r="I65" s="52">
        <f>IF(A65&lt;&gt;0,(B65-(B64-D64))/(A65-A64),"")</f>
        <v>9.1999999999999993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f>111+23+24</f>
        <v>158</v>
      </c>
      <c r="C66" s="63">
        <v>2</v>
      </c>
      <c r="D66" s="63">
        <f>23+24</f>
        <v>47</v>
      </c>
      <c r="E66" s="54"/>
      <c r="F66" s="54"/>
      <c r="G66" s="54"/>
      <c r="H66" s="54">
        <v>1</v>
      </c>
      <c r="I66" s="52">
        <f t="shared" ref="I66:I81" si="2">IF(A66&lt;&gt;0,(B66-(B65-D65))/(A66-A65),"")</f>
        <v>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f>129+24</f>
        <v>153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f>145+24+23</f>
        <v>192</v>
      </c>
      <c r="C68" s="63">
        <v>3</v>
      </c>
      <c r="D68" s="63">
        <f>24+23</f>
        <v>47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f>158+22</f>
        <v>180</v>
      </c>
      <c r="C69" s="53"/>
      <c r="D69" s="53"/>
      <c r="E69" s="54"/>
      <c r="F69" s="54"/>
      <c r="G69" s="54"/>
      <c r="H69" s="54"/>
      <c r="I69" s="52">
        <f t="shared" si="2"/>
        <v>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f>170+22+21</f>
        <v>213</v>
      </c>
      <c r="C70" s="53">
        <v>4</v>
      </c>
      <c r="D70" s="53">
        <f>22+21</f>
        <v>43</v>
      </c>
      <c r="E70" s="54"/>
      <c r="F70" s="54"/>
      <c r="G70" s="54"/>
      <c r="H70" s="54"/>
      <c r="I70" s="52">
        <f t="shared" si="2"/>
        <v>6.6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f>181+20</f>
        <v>201</v>
      </c>
      <c r="C71" s="53"/>
      <c r="D71" s="53"/>
      <c r="E71" s="54"/>
      <c r="F71" s="54"/>
      <c r="G71" s="54"/>
      <c r="H71" s="54"/>
      <c r="I71" s="52">
        <f t="shared" si="2"/>
        <v>6.2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f>189+20+18</f>
        <v>227</v>
      </c>
      <c r="C72" s="53">
        <v>5</v>
      </c>
      <c r="D72" s="53">
        <f>20+18</f>
        <v>38</v>
      </c>
      <c r="E72" s="54"/>
      <c r="F72" s="54"/>
      <c r="G72" s="54"/>
      <c r="H72" s="54"/>
      <c r="I72" s="52">
        <f t="shared" si="2"/>
        <v>5.2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f>197+17</f>
        <v>214</v>
      </c>
      <c r="C73" s="53"/>
      <c r="D73" s="53"/>
      <c r="E73" s="54"/>
      <c r="F73" s="54"/>
      <c r="G73" s="54"/>
      <c r="H73" s="54"/>
      <c r="I73" s="52">
        <f t="shared" si="2"/>
        <v>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f>204+17+16</f>
        <v>237</v>
      </c>
      <c r="C74" s="53">
        <v>6</v>
      </c>
      <c r="D74" s="53">
        <f>17+16</f>
        <v>33</v>
      </c>
      <c r="E74" s="54"/>
      <c r="F74" s="54"/>
      <c r="G74" s="54"/>
      <c r="H74" s="54"/>
      <c r="I74" s="52">
        <f t="shared" si="2"/>
        <v>4.5999999999999996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f>209+14</f>
        <v>223</v>
      </c>
      <c r="C75" s="53"/>
      <c r="D75" s="53"/>
      <c r="E75" s="54"/>
      <c r="F75" s="54"/>
      <c r="G75" s="54"/>
      <c r="H75" s="54"/>
      <c r="I75" s="52">
        <f t="shared" si="2"/>
        <v>3.8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f>214+14+13</f>
        <v>241</v>
      </c>
      <c r="C76" s="53">
        <v>7</v>
      </c>
      <c r="D76" s="53">
        <f>14+13</f>
        <v>27</v>
      </c>
      <c r="E76" s="54"/>
      <c r="F76" s="54"/>
      <c r="G76" s="54"/>
      <c r="H76" s="54"/>
      <c r="I76" s="52">
        <f t="shared" si="2"/>
        <v>3.6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85</v>
      </c>
      <c r="B77" s="53">
        <f>218+12</f>
        <v>230</v>
      </c>
      <c r="C77" s="53"/>
      <c r="D77" s="53"/>
      <c r="E77" s="54"/>
      <c r="F77" s="54"/>
      <c r="G77" s="54"/>
      <c r="H77" s="54"/>
      <c r="I77" s="52">
        <f t="shared" si="2"/>
        <v>3.2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90</v>
      </c>
      <c r="B78" s="53">
        <f>222+12+11</f>
        <v>245</v>
      </c>
      <c r="C78" s="53">
        <v>8</v>
      </c>
      <c r="D78" s="53">
        <f>12+11</f>
        <v>23</v>
      </c>
      <c r="E78" s="54"/>
      <c r="F78" s="54"/>
      <c r="G78" s="54"/>
      <c r="H78" s="54"/>
      <c r="I78" s="52">
        <f t="shared" si="2"/>
        <v>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f>225+11</f>
        <v>236</v>
      </c>
      <c r="C79" s="53"/>
      <c r="D79" s="53"/>
      <c r="E79" s="54"/>
      <c r="F79" s="54"/>
      <c r="G79" s="54"/>
      <c r="H79" s="54"/>
      <c r="I79" s="52">
        <f t="shared" si="2"/>
        <v>2.8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100</v>
      </c>
      <c r="B80" s="53">
        <f>228+11+12</f>
        <v>251</v>
      </c>
      <c r="C80" s="53">
        <v>9</v>
      </c>
      <c r="D80" s="53">
        <f>B80</f>
        <v>251</v>
      </c>
      <c r="E80" s="54"/>
      <c r="F80" s="54"/>
      <c r="G80" s="54"/>
      <c r="H80" s="54"/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plane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37</v>
      </c>
      <c r="C88" s="63"/>
      <c r="D88" s="63"/>
      <c r="E88" s="54"/>
      <c r="F88" s="54"/>
      <c r="G88" s="54"/>
      <c r="H88" s="93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80+15</f>
        <v>95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115+15+28</f>
        <v>158</v>
      </c>
      <c r="C90" s="63">
        <v>1</v>
      </c>
      <c r="D90" s="63">
        <f>15+28+28</f>
        <v>71</v>
      </c>
      <c r="E90" s="93"/>
      <c r="F90" s="93"/>
      <c r="G90" s="93"/>
      <c r="H90" s="93">
        <v>1</v>
      </c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147</v>
      </c>
      <c r="C91" s="63"/>
      <c r="D91" s="63"/>
      <c r="E91" s="93"/>
      <c r="F91" s="93"/>
      <c r="G91" s="93"/>
      <c r="H91" s="93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f>172+28</f>
        <v>200</v>
      </c>
      <c r="C92" s="63">
        <v>2</v>
      </c>
      <c r="D92" s="63">
        <f>28+28</f>
        <v>56</v>
      </c>
      <c r="E92" s="93"/>
      <c r="F92" s="93"/>
      <c r="G92" s="93"/>
      <c r="H92" s="93"/>
      <c r="I92" s="56">
        <f t="shared" si="3"/>
        <v>10.6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192</v>
      </c>
      <c r="C93" s="63"/>
      <c r="D93" s="63"/>
      <c r="E93" s="93"/>
      <c r="F93" s="93"/>
      <c r="G93" s="93"/>
      <c r="H93" s="93"/>
      <c r="I93" s="56">
        <f t="shared" si="3"/>
        <v>9.6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f>205+28</f>
        <v>233</v>
      </c>
      <c r="C94" s="63">
        <v>3</v>
      </c>
      <c r="D94" s="63">
        <f>28+22</f>
        <v>50</v>
      </c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218</v>
      </c>
      <c r="C95" s="63"/>
      <c r="D95" s="63"/>
      <c r="E95" s="93"/>
      <c r="F95" s="93"/>
      <c r="G95" s="93"/>
      <c r="H95" s="93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f>233+17</f>
        <v>250</v>
      </c>
      <c r="C96" s="63">
        <v>4</v>
      </c>
      <c r="D96" s="63">
        <f>17+13</f>
        <v>30</v>
      </c>
      <c r="E96" s="93"/>
      <c r="F96" s="93"/>
      <c r="G96" s="93"/>
      <c r="H96" s="93"/>
      <c r="I96" s="56">
        <f t="shared" si="3"/>
        <v>6.4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245</v>
      </c>
      <c r="C97" s="63"/>
      <c r="D97" s="63"/>
      <c r="E97" s="93"/>
      <c r="F97" s="93"/>
      <c r="G97" s="93"/>
      <c r="H97" s="93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f>255+12</f>
        <v>267</v>
      </c>
      <c r="C98" s="63">
        <v>5</v>
      </c>
      <c r="D98" s="63">
        <f>12+11</f>
        <v>23</v>
      </c>
      <c r="E98" s="93"/>
      <c r="F98" s="93"/>
      <c r="G98" s="93"/>
      <c r="H98" s="93"/>
      <c r="I98" s="56">
        <f t="shared" si="3"/>
        <v>4.4000000000000004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263</v>
      </c>
      <c r="C99" s="63"/>
      <c r="D99" s="63"/>
      <c r="E99" s="93"/>
      <c r="F99" s="93"/>
      <c r="G99" s="93"/>
      <c r="H99" s="93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f>270+10</f>
        <v>280</v>
      </c>
      <c r="C100" s="63"/>
      <c r="D100" s="63"/>
      <c r="E100" s="68"/>
      <c r="F100" s="68"/>
      <c r="G100" s="68"/>
      <c r="H100" s="68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f>276+10+9</f>
        <v>295</v>
      </c>
      <c r="C101" s="63">
        <v>6</v>
      </c>
      <c r="D101" s="63">
        <f>B101</f>
        <v>295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37</v>
      </c>
      <c r="C114" s="63"/>
      <c r="D114" s="63"/>
      <c r="E114" s="54"/>
      <c r="F114" s="54"/>
      <c r="G114" s="54"/>
      <c r="H114" s="93"/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80+15</f>
        <v>95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115+15+28</f>
        <v>158</v>
      </c>
      <c r="C116" s="63">
        <v>1</v>
      </c>
      <c r="D116" s="63">
        <f>15+28+28</f>
        <v>71</v>
      </c>
      <c r="E116" s="93"/>
      <c r="F116" s="93"/>
      <c r="G116" s="93"/>
      <c r="H116" s="93">
        <v>1</v>
      </c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147</v>
      </c>
      <c r="C117" s="63"/>
      <c r="D117" s="63"/>
      <c r="E117" s="93"/>
      <c r="F117" s="93"/>
      <c r="G117" s="93"/>
      <c r="H117" s="93"/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172+28</f>
        <v>200</v>
      </c>
      <c r="C118" s="63">
        <v>2</v>
      </c>
      <c r="D118" s="63">
        <f>28+28</f>
        <v>56</v>
      </c>
      <c r="E118" s="93"/>
      <c r="F118" s="93"/>
      <c r="G118" s="93"/>
      <c r="H118" s="93"/>
      <c r="I118" s="56">
        <f t="shared" si="4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192</v>
      </c>
      <c r="C119" s="63"/>
      <c r="D119" s="63"/>
      <c r="E119" s="93"/>
      <c r="F119" s="93"/>
      <c r="G119" s="93"/>
      <c r="H119" s="93"/>
      <c r="I119" s="56">
        <f t="shared" si="4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f>205+28</f>
        <v>233</v>
      </c>
      <c r="C120" s="63">
        <v>3</v>
      </c>
      <c r="D120" s="63">
        <f>28+22</f>
        <v>50</v>
      </c>
      <c r="E120" s="93"/>
      <c r="F120" s="93"/>
      <c r="G120" s="93"/>
      <c r="H120" s="9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218</v>
      </c>
      <c r="C121" s="63"/>
      <c r="D121" s="63"/>
      <c r="E121" s="93"/>
      <c r="F121" s="93"/>
      <c r="G121" s="93"/>
      <c r="H121" s="93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233+17</f>
        <v>250</v>
      </c>
      <c r="C122" s="63">
        <v>4</v>
      </c>
      <c r="D122" s="63">
        <f>17+13</f>
        <v>30</v>
      </c>
      <c r="E122" s="93"/>
      <c r="F122" s="93"/>
      <c r="G122" s="93"/>
      <c r="H122" s="93"/>
      <c r="I122" s="56">
        <f t="shared" si="4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245</v>
      </c>
      <c r="C123" s="63"/>
      <c r="D123" s="63"/>
      <c r="E123" s="93"/>
      <c r="F123" s="93"/>
      <c r="G123" s="93"/>
      <c r="H123" s="93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255+12</f>
        <v>267</v>
      </c>
      <c r="C124" s="63">
        <v>5</v>
      </c>
      <c r="D124" s="63">
        <f>12+11</f>
        <v>23</v>
      </c>
      <c r="E124" s="93"/>
      <c r="F124" s="93"/>
      <c r="G124" s="93"/>
      <c r="H124" s="93"/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263</v>
      </c>
      <c r="C125" s="63"/>
      <c r="D125" s="63"/>
      <c r="E125" s="93"/>
      <c r="F125" s="93"/>
      <c r="G125" s="93"/>
      <c r="H125" s="93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270+10</f>
        <v>280</v>
      </c>
      <c r="C126" s="63"/>
      <c r="D126" s="63"/>
      <c r="E126" s="68"/>
      <c r="F126" s="68"/>
      <c r="G126" s="68"/>
      <c r="H126" s="68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276+10+9</f>
        <v>295</v>
      </c>
      <c r="C127" s="63">
        <v>6</v>
      </c>
      <c r="D127" s="63">
        <f>B127</f>
        <v>295</v>
      </c>
      <c r="E127" s="68"/>
      <c r="F127" s="68"/>
      <c r="G127" s="68"/>
      <c r="H127" s="68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chevelu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66/1.56</f>
        <v>42.307692307692307</v>
      </c>
      <c r="C140" s="53"/>
      <c r="D140" s="63"/>
      <c r="E140" s="54"/>
      <c r="F140" s="54"/>
      <c r="G140" s="54"/>
      <c r="H140" s="54"/>
      <c r="I140" s="60">
        <f>IFERROR(B140/A140,"")</f>
        <v>2.8205128205128203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(116+8)/1.56</f>
        <v>79.487179487179489</v>
      </c>
      <c r="C141" s="53">
        <v>1</v>
      </c>
      <c r="D141" s="63">
        <f>(8+12)/1.56</f>
        <v>12.820512820512819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7.4358974358974361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168/1.56</f>
        <v>107.69230769230769</v>
      </c>
      <c r="C142" s="53"/>
      <c r="D142" s="63"/>
      <c r="E142" s="54"/>
      <c r="F142" s="54"/>
      <c r="G142" s="54"/>
      <c r="H142" s="54"/>
      <c r="I142" s="60">
        <f t="shared" si="5"/>
        <v>8.2051282051282044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(217+16)/1.56</f>
        <v>149.35897435897436</v>
      </c>
      <c r="C143" s="53">
        <v>2</v>
      </c>
      <c r="D143" s="63">
        <f>(16+19)/1.56</f>
        <v>22.435897435897434</v>
      </c>
      <c r="E143" s="54"/>
      <c r="F143" s="54"/>
      <c r="G143" s="54"/>
      <c r="H143" s="54">
        <v>1</v>
      </c>
      <c r="I143" s="60">
        <f t="shared" si="5"/>
        <v>8.3333333333333339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263/1.56</f>
        <v>168.58974358974359</v>
      </c>
      <c r="C144" s="53"/>
      <c r="D144" s="63"/>
      <c r="E144" s="54"/>
      <c r="F144" s="54"/>
      <c r="G144" s="54"/>
      <c r="H144" s="54"/>
      <c r="I144" s="60">
        <f t="shared" si="5"/>
        <v>8.3333333333333321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(303+21)/1.56</f>
        <v>207.69230769230768</v>
      </c>
      <c r="C145" s="53">
        <v>3</v>
      </c>
      <c r="D145" s="63">
        <f>(21+22)/1.56</f>
        <v>27.564102564102562</v>
      </c>
      <c r="E145" s="54"/>
      <c r="F145" s="54"/>
      <c r="G145" s="54"/>
      <c r="H145" s="54"/>
      <c r="I145" s="60">
        <f t="shared" si="5"/>
        <v>7.8205128205128176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340/1.56</f>
        <v>217.94871794871793</v>
      </c>
      <c r="C146" s="53"/>
      <c r="D146" s="63"/>
      <c r="E146" s="54"/>
      <c r="F146" s="54"/>
      <c r="G146" s="54"/>
      <c r="H146" s="54"/>
      <c r="I146" s="60">
        <f t="shared" si="5"/>
        <v>7.5641025641025639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(374+23)/1.56</f>
        <v>254.48717948717947</v>
      </c>
      <c r="C147" s="53">
        <v>4</v>
      </c>
      <c r="D147" s="63">
        <f>(23+22)/1.56</f>
        <v>28.846153846153847</v>
      </c>
      <c r="E147" s="54"/>
      <c r="F147" s="54"/>
      <c r="G147" s="54"/>
      <c r="H147" s="54"/>
      <c r="I147" s="60">
        <f>IF(A147&lt;&gt;0,(B147-(B146-D146))/(A147-A146),"")</f>
        <v>7.3076923076923093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404/1.56</f>
        <v>258.97435897435895</v>
      </c>
      <c r="C148" s="53"/>
      <c r="D148" s="63"/>
      <c r="E148" s="54"/>
      <c r="F148" s="54"/>
      <c r="G148" s="54"/>
      <c r="H148" s="54"/>
      <c r="I148" s="60">
        <f t="shared" si="5"/>
        <v>6.6666666666666625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(431+23)/1.56</f>
        <v>291.02564102564099</v>
      </c>
      <c r="C149" s="53">
        <v>5</v>
      </c>
      <c r="D149" s="63">
        <f>(23+23)/1.56</f>
        <v>29.487179487179485</v>
      </c>
      <c r="E149" s="54"/>
      <c r="F149" s="54"/>
      <c r="G149" s="54"/>
      <c r="H149" s="54"/>
      <c r="I149" s="60">
        <f t="shared" si="5"/>
        <v>6.4102564102564088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455/1.56</f>
        <v>291.66666666666663</v>
      </c>
      <c r="C150" s="53"/>
      <c r="D150" s="63"/>
      <c r="E150" s="54"/>
      <c r="F150" s="54"/>
      <c r="G150" s="54"/>
      <c r="H150" s="54"/>
      <c r="I150" s="60">
        <f t="shared" si="5"/>
        <v>6.0256410256410273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(476+23)/1.56</f>
        <v>319.87179487179486</v>
      </c>
      <c r="C151" s="53">
        <v>6</v>
      </c>
      <c r="D151" s="63">
        <f>(23+22)/1.56</f>
        <v>28.846153846153847</v>
      </c>
      <c r="E151" s="54"/>
      <c r="F151" s="54"/>
      <c r="G151" s="54"/>
      <c r="H151" s="54"/>
      <c r="I151" s="60">
        <f t="shared" si="5"/>
        <v>5.6410256410256467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495/1.56</f>
        <v>317.30769230769232</v>
      </c>
      <c r="C152" s="53"/>
      <c r="D152" s="63"/>
      <c r="E152" s="57"/>
      <c r="F152" s="57"/>
      <c r="G152" s="57"/>
      <c r="H152" s="57"/>
      <c r="I152" s="60">
        <f t="shared" si="5"/>
        <v>5.2564102564102653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(512+22)/1.56</f>
        <v>342.30769230769232</v>
      </c>
      <c r="C153" s="53">
        <v>7</v>
      </c>
      <c r="D153" s="63">
        <f>(22+21)/1.56</f>
        <v>27.564102564102562</v>
      </c>
      <c r="E153" s="57"/>
      <c r="F153" s="57"/>
      <c r="G153" s="57"/>
      <c r="H153" s="57"/>
      <c r="I153" s="60">
        <f t="shared" si="5"/>
        <v>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f>528/1.56</f>
        <v>338.46153846153845</v>
      </c>
      <c r="C154" s="53"/>
      <c r="D154" s="53"/>
      <c r="E154" s="57"/>
      <c r="F154" s="57"/>
      <c r="G154" s="57"/>
      <c r="H154" s="57"/>
      <c r="I154" s="60">
        <f t="shared" si="5"/>
        <v>4.7435897435897347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f>(542+21)/1.56</f>
        <v>360.89743589743591</v>
      </c>
      <c r="C155" s="53">
        <v>8</v>
      </c>
      <c r="D155" s="53">
        <f>(21+20)/1.56</f>
        <v>26.282051282051281</v>
      </c>
      <c r="E155" s="57"/>
      <c r="F155" s="57"/>
      <c r="G155" s="57"/>
      <c r="H155" s="57"/>
      <c r="I155" s="60">
        <f t="shared" si="5"/>
        <v>4.4871794871794917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f>(567+19)/1.56</f>
        <v>375.64102564102564</v>
      </c>
      <c r="C156" s="53">
        <v>9</v>
      </c>
      <c r="D156" s="53">
        <f>(19+19)/1.56</f>
        <v>24.358974358974358</v>
      </c>
      <c r="E156" s="57"/>
      <c r="F156" s="57"/>
      <c r="G156" s="57"/>
      <c r="H156" s="57"/>
      <c r="I156" s="60">
        <f t="shared" si="5"/>
        <v>4.1025641025640995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f>(588+18)/1.56</f>
        <v>388.46153846153845</v>
      </c>
      <c r="C157" s="53">
        <v>10</v>
      </c>
      <c r="D157" s="53">
        <f>(18+18)/1.56</f>
        <v>23.076923076923077</v>
      </c>
      <c r="E157" s="57"/>
      <c r="F157" s="57"/>
      <c r="G157" s="57"/>
      <c r="H157" s="57"/>
      <c r="I157" s="60">
        <f t="shared" si="5"/>
        <v>3.7179487179487181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120</v>
      </c>
      <c r="B158" s="59">
        <f>(606+17)/1.56</f>
        <v>399.35897435897436</v>
      </c>
      <c r="C158" s="53">
        <v>11</v>
      </c>
      <c r="D158" s="53">
        <f>(17+16)/1.56</f>
        <v>21.153846153846153</v>
      </c>
      <c r="E158" s="57"/>
      <c r="F158" s="57"/>
      <c r="G158" s="57"/>
      <c r="H158" s="57"/>
      <c r="I158" s="60">
        <f t="shared" si="5"/>
        <v>3.3974358974359005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130</v>
      </c>
      <c r="B159" s="59">
        <f>(622+16)/1.56</f>
        <v>408.97435897435895</v>
      </c>
      <c r="C159" s="53">
        <v>12</v>
      </c>
      <c r="D159" s="61">
        <f>B159</f>
        <v>408.97435897435895</v>
      </c>
      <c r="E159" s="57"/>
      <c r="F159" s="57"/>
      <c r="G159" s="57"/>
      <c r="H159" s="57"/>
      <c r="I159" s="60">
        <f t="shared" si="5"/>
        <v>3.0769230769230718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63"/>
      <c r="C173" s="63"/>
      <c r="D173" s="6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plane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chevelu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256.47911362806866</v>
      </c>
      <c r="T3" s="62">
        <f>IF('Données projet'!E9&gt;30,$R$33-$H$33,LOOKUP('Données projet'!$E$9,$A$3:$A$203,R3:R203)-LOOKUP('Données projet'!$E$9,$A$3:$A$203,$H$3:$H$203))</f>
        <v>230.93438491511529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255.68195973350799</v>
      </c>
      <c r="AO3" s="62">
        <f>IF('Données projet'!E10&gt;30,$AM$33-$H$33,LOOKUP('Données projet'!$E$10,$A$3:$A$203,AM3:AM203)-LOOKUP('Données projet'!$E$10,$A$3:$A$203,$H$3:$H$203))</f>
        <v>269.20928353552461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243.51680047412441</v>
      </c>
      <c r="BJ3" s="62">
        <f>IF('Données projet'!E11&gt;30,$BH$33-$H$33,LOOKUP('Données projet'!$E$11,$A$3:$A$203,BH3:BH203)-LOOKUP('Données projet'!$E$11,$A$3:$A$203,$H$3:$H$203))</f>
        <v>224.00025638752402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221.4629402571224</v>
      </c>
      <c r="CE3" s="62">
        <f>IF('Données projet'!E12&gt;30,$CC$33-$H$33,LOOKUP('Données projet'!$E$12,$A$3:$A$203,CC3:CC203)-LOOKUP('Données projet'!$E$12,$A$3:$A$203,$H$3:$H$203))</f>
        <v>204.26941562549416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492.66134897013183</v>
      </c>
      <c r="CZ3" s="62">
        <f>IF('Données projet'!E13&gt;30,$CX$33-$H$33,LOOKUP('Données projet'!$E$13,$A$3:$A$203,CX3:CX203)-LOOKUP('Données projet'!$E$13,$A$3:$A$203,$H$3:$H$203))</f>
        <v>307.87428858945862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7.7987854251012134</v>
      </c>
      <c r="N4" s="14">
        <f>IF('Données projet'!$A$36&gt;35,N3+M4-V3,IF(A4&lt;'Données projet'!$A$36,$K$205^A4,IF(A4='Données projet'!$A$36,'Données projet'!$B$36,N3+M4-V3)))</f>
        <v>1.3009230512021859</v>
      </c>
      <c r="O4" s="14">
        <f>N4*VLOOKUP('Données projet'!$B$9,Paramètres!$A$1:$I$89,3,0)*VLOOKUP('Données projet'!$B$9,Paramètres!$A$1:$I$89,5,0)</f>
        <v>0.72721598562202194</v>
      </c>
      <c r="P4" s="14">
        <f>EXP(-1.0587+0.8836*LN(O4)+0.284)</f>
        <v>0.3477906162348457</v>
      </c>
      <c r="Q4" s="22">
        <f t="shared" ref="Q4:Q34" si="2">(O4+P4)*0.475*44/12</f>
        <v>1.8723031649007107</v>
      </c>
      <c r="R4" s="62">
        <f t="shared" si="0"/>
        <v>295.20563649823401</v>
      </c>
      <c r="S4" s="62">
        <f ca="1">AVERAGE(OFFSET($R$3,0,0,'Données projet'!$E$9+1,1))-AVERAGE(OFFSET($H$3,0,0,'Données projet'!$E$9+1,1))</f>
        <v>256.47911362806866</v>
      </c>
      <c r="T4" s="62">
        <f>$T$3</f>
        <v>230.93438491511529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2.2999999999999998</v>
      </c>
      <c r="AI4" s="14">
        <f>IF('Données projet'!$A$62&gt;35,AI3+AH4-AQ3,IF(A4&lt;'Données projet'!$A$62,$AF$205^A4,IF(A4='Données projet'!$A$62,'Données projet'!$B$62,AI3+AH4-AQ3)))</f>
        <v>1.3682730833261529</v>
      </c>
      <c r="AJ4" s="14">
        <f>AI4*VLOOKUP('Données projet'!$B$10,Paramètres!$A$1:$I$89,3,0)*VLOOKUP('Données projet'!$B$10,Paramètres!$A$1:$I$89,5,0)</f>
        <v>1.1953233655937274</v>
      </c>
      <c r="AK4" s="14">
        <f>EXP(-1.0587+0.8836*LN(AJ4)+0.284)</f>
        <v>0.53953319778599107</v>
      </c>
      <c r="AL4" s="22">
        <f t="shared" ref="AL4:AL67" si="4">(AJ4+AK4)*0.475*44/12</f>
        <v>3.0215418478863434</v>
      </c>
      <c r="AM4" s="62">
        <f t="shared" ref="AM4:AM67" si="5">AL4+(AD4+AE4)*44/12</f>
        <v>296.35487518121965</v>
      </c>
      <c r="AN4" s="62">
        <f ca="1">AVERAGE(OFFSET($AM$3,0,0,'Données projet'!$E$10+1,1))-AVERAGE(OFFSET($H$3,0,0,'Données projet'!$E$10+1,1))</f>
        <v>255.68195973350799</v>
      </c>
      <c r="AO4" s="62">
        <f>$AO$3</f>
        <v>269.20928353552461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295.90738624248479</v>
      </c>
      <c r="BI4" s="62">
        <f ca="1">AVERAGE(OFFSET($BH$3,0,0,'Données projet'!$E$11+1,1))-AVERAGE(OFFSET($H$3,0,0,'Données projet'!$E$11+1,1))</f>
        <v>243.51680047412441</v>
      </c>
      <c r="BJ4" s="62">
        <f>$BJ$3</f>
        <v>224.00025638752402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0.9327585484198414</v>
      </c>
      <c r="CA4" s="14">
        <f>EXP(-1.0587+0.8836*LN(BZ4)+0.284)</f>
        <v>0.43335135961225768</v>
      </c>
      <c r="CB4" s="22">
        <f t="shared" ref="CB4:CB67" si="10">(BZ4+CA4)*0.475*44/12</f>
        <v>2.3793080898225729</v>
      </c>
      <c r="CC4" s="62">
        <f t="shared" ref="CC4:CC67" si="11">CB4+(BT4+BU4)*44/12</f>
        <v>295.7126414231559</v>
      </c>
      <c r="CD4" s="62">
        <f ca="1">AVERAGE(OFFSET($CC$3,0,0,'Données projet'!$E$12+1,1))-AVERAGE(OFFSET($H$3,0,0,'Données projet'!$E$12+1,1))</f>
        <v>221.4629402571224</v>
      </c>
      <c r="CE4" s="62">
        <f>$CE$3</f>
        <v>204.26941562549416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2.8205128205128203</v>
      </c>
      <c r="CT4" s="13">
        <f>IF('Données projet'!$A$140&gt;35,CT3+CS4-DB3,IF(A4&lt;'Données projet'!$A$140,$CQ$205^A4,IF(A4='Données projet'!$A$140,'Données projet'!$B$140,CT3+CS4-DB3)))</f>
        <v>1.2835948199965717</v>
      </c>
      <c r="CU4" s="18">
        <f>CT4*VLOOKUP('Données projet'!$B$13,Paramètres!$A$1:$I$89,3,0)*VLOOKUP('Données projet'!$B$13,Paramètres!$A$1:$I$89,5,0)</f>
        <v>1.3416133058604169</v>
      </c>
      <c r="CV4" s="14">
        <f>EXP(-1.0587+0.8836*LN(CU4)+0.284)</f>
        <v>0.59748030964646115</v>
      </c>
      <c r="CW4" s="22">
        <f t="shared" ref="CW4:CW67" si="13">(CU4+CV4)*0.475*44/12</f>
        <v>3.3772547136744788</v>
      </c>
      <c r="CX4" s="62">
        <f t="shared" ref="CX4:CX67" si="14">CW4+(CO4+CP4)*44/12</f>
        <v>296.71058804700778</v>
      </c>
      <c r="CY4" s="62">
        <f ca="1">AVERAGE(OFFSET($CX$3,0,0,'Données projet'!$E$13+1,1))-AVERAGE(OFFSET($H$3,0,0,'Données projet'!$E$13+1,1))</f>
        <v>492.66134897013183</v>
      </c>
      <c r="CZ4" s="62">
        <f>$CZ$3</f>
        <v>307.87428858945862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7.7987854251012134</v>
      </c>
      <c r="N5" s="14">
        <f>IF('Données projet'!$A$36&gt;35,N4+M5-V4,IF(A5&lt;'Données projet'!$A$36,$K$205^A5,IF(A5='Données projet'!$A$36,'Données projet'!$B$36,N4+M5-V4)))</f>
        <v>1.6924007851492051</v>
      </c>
      <c r="O5" s="14">
        <f>N5*VLOOKUP('Données projet'!$B$9,Paramètres!$A$1:$I$89,3,0)*VLOOKUP('Données projet'!$B$9,Paramètres!$A$1:$I$89,5,0)</f>
        <v>0.94605203889840572</v>
      </c>
      <c r="P5" s="14">
        <f t="shared" ref="P5:P68" si="33">EXP(-1.0587+0.8836*LN(O5)+0.284)</f>
        <v>0.43880400409515918</v>
      </c>
      <c r="Q5" s="22">
        <f t="shared" si="2"/>
        <v>2.4119576082137919</v>
      </c>
      <c r="R5" s="62">
        <f t="shared" si="0"/>
        <v>295.74529094154713</v>
      </c>
      <c r="S5" s="62">
        <f ca="1">AVERAGE(OFFSET($R$3,0,0,'Données projet'!$E$9+1,1))-AVERAGE(OFFSET($H$3,0,0,'Données projet'!$E$9+1,1))</f>
        <v>256.47911362806866</v>
      </c>
      <c r="T5" s="62">
        <f t="shared" ref="T5:T68" si="34">$T$3</f>
        <v>230.93438491511529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2.2999999999999998</v>
      </c>
      <c r="AI5" s="14">
        <f>IF('Données projet'!$A$62&gt;35,AI4+AH5-AQ4,IF(A5&lt;'Données projet'!$A$62,$AF$205^A5,IF(A5='Données projet'!$A$62,'Données projet'!$B$62,AI4+AH5-AQ4)))</f>
        <v>1.8721712305548575</v>
      </c>
      <c r="AJ5" s="14">
        <f>AI5*VLOOKUP('Données projet'!$B$10,Paramètres!$A$1:$I$89,3,0)*VLOOKUP('Données projet'!$B$10,Paramètres!$A$1:$I$89,5,0)</f>
        <v>1.6355287870127238</v>
      </c>
      <c r="AK5" s="14">
        <f t="shared" ref="AK5:AK68" si="35">EXP(-1.0587+0.8836*LN(AJ5)+0.284)</f>
        <v>0.71177125311828726</v>
      </c>
      <c r="AL5" s="22">
        <f t="shared" si="4"/>
        <v>4.0882142365615106</v>
      </c>
      <c r="AM5" s="62">
        <f t="shared" si="5"/>
        <v>297.42154756989481</v>
      </c>
      <c r="AN5" s="62">
        <f ca="1">AVERAGE(OFFSET($AM$3,0,0,'Données projet'!$E$10+1,1))-AVERAGE(OFFSET($H$3,0,0,'Données projet'!$E$10+1,1))</f>
        <v>255.68195973350799</v>
      </c>
      <c r="AO5" s="62">
        <f t="shared" ref="AO5:AO68" si="36">$AO$3</f>
        <v>269.20928353552461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296.57946149872157</v>
      </c>
      <c r="BI5" s="62">
        <f ca="1">AVERAGE(OFFSET($BH$3,0,0,'Données projet'!$E$11+1,1))-AVERAGE(OFFSET($H$3,0,0,'Données projet'!$E$11+1,1))</f>
        <v>243.51680047412441</v>
      </c>
      <c r="BJ5" s="62">
        <f t="shared" ref="BJ5:BJ68" si="38">$BJ$3</f>
        <v>224.00025638752402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1.1866319007778094</v>
      </c>
      <c r="CA5" s="14">
        <f t="shared" ref="CA5:CA68" si="39">EXP(-1.0587+0.8836*LN(BZ5)+0.284)</f>
        <v>0.53606530474621483</v>
      </c>
      <c r="CB5" s="22">
        <f t="shared" si="10"/>
        <v>3.0003642996210083</v>
      </c>
      <c r="CC5" s="62">
        <f t="shared" si="11"/>
        <v>296.33369763295434</v>
      </c>
      <c r="CD5" s="62">
        <f ca="1">AVERAGE(OFFSET($CC$3,0,0,'Données projet'!$E$12+1,1))-AVERAGE(OFFSET($H$3,0,0,'Données projet'!$E$12+1,1))</f>
        <v>221.4629402571224</v>
      </c>
      <c r="CE5" s="62">
        <f t="shared" ref="CE5:CE68" si="40">$CE$3</f>
        <v>204.26941562549416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2.8205128205128203</v>
      </c>
      <c r="CT5" s="13">
        <f>IF('Données projet'!$A$140&gt;35,CT4+CS5-DB4,IF(A5&lt;'Données projet'!$A$140,$CQ$205^A5,IF(A5='Données projet'!$A$140,'Données projet'!$B$140,CT4+CS5-DB4)))</f>
        <v>1.6476156619220312</v>
      </c>
      <c r="CU5" s="18">
        <f>CT5*VLOOKUP('Données projet'!$B$13,Paramètres!$A$1:$I$89,3,0)*VLOOKUP('Données projet'!$B$13,Paramètres!$A$1:$I$89,5,0)</f>
        <v>1.7220878898409073</v>
      </c>
      <c r="CV5" s="14">
        <f t="shared" ref="CV5:CV68" si="41">EXP(-1.0587+0.8836*LN(CU5)+0.284)</f>
        <v>0.74495585723355318</v>
      </c>
      <c r="CW5" s="22">
        <f t="shared" si="13"/>
        <v>4.2967678594880176</v>
      </c>
      <c r="CX5" s="62">
        <f t="shared" si="14"/>
        <v>297.63010119282131</v>
      </c>
      <c r="CY5" s="62">
        <f ca="1">AVERAGE(OFFSET($CX$3,0,0,'Données projet'!$E$13+1,1))-AVERAGE(OFFSET($H$3,0,0,'Données projet'!$E$13+1,1))</f>
        <v>492.66134897013183</v>
      </c>
      <c r="CZ5" s="62">
        <f t="shared" ref="CZ5:CZ68" si="42">$CZ$3</f>
        <v>307.87428858945862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7.7987854251012134</v>
      </c>
      <c r="N6" s="14">
        <f>IF('Données projet'!$A$36&gt;35,N5+M6-V5,IF(A6&lt;'Données projet'!$A$36,$K$205^A6,IF(A6='Données projet'!$A$36,'Données projet'!$B$36,N5+M6-V5)))</f>
        <v>2.2016831932732788</v>
      </c>
      <c r="O6" s="14">
        <f>N6*VLOOKUP('Données projet'!$B$9,Paramètres!$A$1:$I$89,3,0)*VLOOKUP('Données projet'!$B$9,Paramètres!$A$1:$I$89,5,0)</f>
        <v>1.2307409050397629</v>
      </c>
      <c r="P6" s="14">
        <f t="shared" si="33"/>
        <v>0.55363470151801264</v>
      </c>
      <c r="Q6" s="22">
        <f t="shared" si="2"/>
        <v>3.1077875147547922</v>
      </c>
      <c r="R6" s="62">
        <f t="shared" si="0"/>
        <v>296.44112084808813</v>
      </c>
      <c r="S6" s="62">
        <f ca="1">AVERAGE(OFFSET($R$3,0,0,'Données projet'!$E$9+1,1))-AVERAGE(OFFSET($H$3,0,0,'Données projet'!$E$9+1,1))</f>
        <v>256.47911362806866</v>
      </c>
      <c r="T6" s="62">
        <f t="shared" si="34"/>
        <v>230.93438491511529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2.2999999999999998</v>
      </c>
      <c r="AI6" s="14">
        <f>IF('Données projet'!$A$62&gt;35,AI5+AH6-AQ5,IF(A6&lt;'Données projet'!$A$62,$AF$205^A6,IF(A6='Données projet'!$A$62,'Données projet'!$B$62,AI5+AH6-AQ5)))</f>
        <v>2.5616415021458128</v>
      </c>
      <c r="AJ6" s="14">
        <f>AI6*VLOOKUP('Données projet'!$B$10,Paramètres!$A$1:$I$89,3,0)*VLOOKUP('Données projet'!$B$10,Paramètres!$A$1:$I$89,5,0)</f>
        <v>2.237850016274582</v>
      </c>
      <c r="AK6" s="14">
        <f t="shared" si="35"/>
        <v>0.93899377989068589</v>
      </c>
      <c r="AL6" s="22">
        <f t="shared" si="4"/>
        <v>5.5330029449878415</v>
      </c>
      <c r="AM6" s="62">
        <f t="shared" si="5"/>
        <v>298.86633627832117</v>
      </c>
      <c r="AN6" s="62">
        <f ca="1">AVERAGE(OFFSET($AM$3,0,0,'Données projet'!$E$10+1,1))-AVERAGE(OFFSET($H$3,0,0,'Données projet'!$E$10+1,1))</f>
        <v>255.68195973350799</v>
      </c>
      <c r="AO6" s="62">
        <f t="shared" si="36"/>
        <v>269.20928353552461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297.4276995177708</v>
      </c>
      <c r="BI6" s="62">
        <f ca="1">AVERAGE(OFFSET($BH$3,0,0,'Données projet'!$E$11+1,1))-AVERAGE(OFFSET($H$3,0,0,'Données projet'!$E$11+1,1))</f>
        <v>243.51680047412441</v>
      </c>
      <c r="BJ6" s="62">
        <f t="shared" si="38"/>
        <v>224.00025638752402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1.5096031768660487</v>
      </c>
      <c r="CA6" s="14">
        <f t="shared" si="39"/>
        <v>0.66312474757151718</v>
      </c>
      <c r="CB6" s="22">
        <f t="shared" si="10"/>
        <v>3.7841678017287599</v>
      </c>
      <c r="CC6" s="62">
        <f t="shared" si="11"/>
        <v>297.11750113506207</v>
      </c>
      <c r="CD6" s="62">
        <f ca="1">AVERAGE(OFFSET($CC$3,0,0,'Données projet'!$E$12+1,1))-AVERAGE(OFFSET($H$3,0,0,'Données projet'!$E$12+1,1))</f>
        <v>221.4629402571224</v>
      </c>
      <c r="CE6" s="62">
        <f t="shared" si="40"/>
        <v>204.26941562549416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2.8205128205128203</v>
      </c>
      <c r="CT6" s="13">
        <f>IF('Données projet'!$A$140&gt;35,CT5+CS6-DB5,IF(A6&lt;'Données projet'!$A$140,$CQ$205^A6,IF(A6='Données projet'!$A$140,'Données projet'!$B$140,CT5+CS6-DB5)))</f>
        <v>2.1148709289883421</v>
      </c>
      <c r="CU6" s="18">
        <f>CT6*VLOOKUP('Données projet'!$B$13,Paramètres!$A$1:$I$89,3,0)*VLOOKUP('Données projet'!$B$13,Paramètres!$A$1:$I$89,5,0)</f>
        <v>2.2104630949786155</v>
      </c>
      <c r="CV6" s="14">
        <f t="shared" si="41"/>
        <v>0.92883266656093877</v>
      </c>
      <c r="CW6" s="22">
        <f t="shared" si="13"/>
        <v>5.4676067846813901</v>
      </c>
      <c r="CX6" s="62">
        <f t="shared" si="14"/>
        <v>298.80094011801469</v>
      </c>
      <c r="CY6" s="62">
        <f ca="1">AVERAGE(OFFSET($CX$3,0,0,'Données projet'!$E$13+1,1))-AVERAGE(OFFSET($H$3,0,0,'Données projet'!$E$13+1,1))</f>
        <v>492.66134897013183</v>
      </c>
      <c r="CZ6" s="62">
        <f t="shared" si="42"/>
        <v>307.87428858945862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7.7987854251012134</v>
      </c>
      <c r="N7" s="14">
        <f>IF('Données projet'!$A$36&gt;35,N6+M7-V6,IF(A7&lt;'Données projet'!$A$36,$K$205^A7,IF(A7='Données projet'!$A$36,'Données projet'!$B$36,N6+M7-V6)))</f>
        <v>2.8642204175736459</v>
      </c>
      <c r="O7" s="14">
        <f>N7*VLOOKUP('Données projet'!$B$9,Paramètres!$A$1:$I$89,3,0)*VLOOKUP('Données projet'!$B$9,Paramètres!$A$1:$I$89,5,0)</f>
        <v>1.6010992134236679</v>
      </c>
      <c r="P7" s="14">
        <f t="shared" si="33"/>
        <v>0.69851546445430523</v>
      </c>
      <c r="Q7" s="22">
        <f t="shared" si="2"/>
        <v>4.0051622306374703</v>
      </c>
      <c r="R7" s="62">
        <f t="shared" si="0"/>
        <v>297.33849556397081</v>
      </c>
      <c r="S7" s="62">
        <f ca="1">AVERAGE(OFFSET($R$3,0,0,'Données projet'!$E$9+1,1))-AVERAGE(OFFSET($H$3,0,0,'Données projet'!$E$9+1,1))</f>
        <v>256.47911362806866</v>
      </c>
      <c r="T7" s="62">
        <f t="shared" si="34"/>
        <v>230.93438491511529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2.2999999999999998</v>
      </c>
      <c r="AI7" s="14">
        <f>IF('Données projet'!$A$62&gt;35,AI6+AH7-AQ6,IF(A7&lt;'Données projet'!$A$62,$AF$205^A7,IF(A7='Données projet'!$A$62,'Données projet'!$B$62,AI6+AH7-AQ6)))</f>
        <v>3.5050251165172894</v>
      </c>
      <c r="AJ7" s="14">
        <f>AI7*VLOOKUP('Données projet'!$B$10,Paramètres!$A$1:$I$89,3,0)*VLOOKUP('Données projet'!$B$10,Paramètres!$A$1:$I$89,5,0)</f>
        <v>3.0619899417895042</v>
      </c>
      <c r="AK7" s="14">
        <f t="shared" si="35"/>
        <v>1.2387537636714157</v>
      </c>
      <c r="AL7" s="22">
        <f t="shared" si="4"/>
        <v>7.4904619536777686</v>
      </c>
      <c r="AM7" s="62">
        <f t="shared" si="5"/>
        <v>300.82379528701108</v>
      </c>
      <c r="AN7" s="62">
        <f ca="1">AVERAGE(OFFSET($AM$3,0,0,'Données projet'!$E$10+1,1))-AVERAGE(OFFSET($H$3,0,0,'Données projet'!$E$10+1,1))</f>
        <v>255.68195973350799</v>
      </c>
      <c r="AO7" s="62">
        <f t="shared" si="36"/>
        <v>269.20928353552461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298.49844528615546</v>
      </c>
      <c r="BI7" s="62">
        <f ca="1">AVERAGE(OFFSET($BH$3,0,0,'Données projet'!$E$11+1,1))-AVERAGE(OFFSET($H$3,0,0,'Données projet'!$E$11+1,1))</f>
        <v>243.51680047412441</v>
      </c>
      <c r="BJ7" s="62">
        <f t="shared" si="38"/>
        <v>224.00025638752402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1.9204790888482772</v>
      </c>
      <c r="CA7" s="14">
        <f t="shared" si="39"/>
        <v>0.82030011446080875</v>
      </c>
      <c r="CB7" s="22">
        <f t="shared" si="10"/>
        <v>4.7735237790966574</v>
      </c>
      <c r="CC7" s="62">
        <f t="shared" si="11"/>
        <v>298.10685711242996</v>
      </c>
      <c r="CD7" s="62">
        <f ca="1">AVERAGE(OFFSET($CC$3,0,0,'Données projet'!$E$12+1,1))-AVERAGE(OFFSET($H$3,0,0,'Données projet'!$E$12+1,1))</f>
        <v>221.4629402571224</v>
      </c>
      <c r="CE7" s="62">
        <f t="shared" si="40"/>
        <v>204.26941562549416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2.8205128205128203</v>
      </c>
      <c r="CT7" s="13">
        <f>IF('Données projet'!$A$140&gt;35,CT6+CS7-DB6,IF(A7&lt;'Données projet'!$A$140,$CQ$205^A7,IF(A7='Données projet'!$A$140,'Données projet'!$B$140,CT6+CS7-DB6)))</f>
        <v>2.7146373694107733</v>
      </c>
      <c r="CU7" s="18">
        <f>CT7*VLOOKUP('Données projet'!$B$13,Paramètres!$A$1:$I$89,3,0)*VLOOKUP('Données projet'!$B$13,Paramètres!$A$1:$I$89,5,0)</f>
        <v>2.8373389785081402</v>
      </c>
      <c r="CV7" s="14">
        <f t="shared" si="41"/>
        <v>1.1580956295511442</v>
      </c>
      <c r="CW7" s="22">
        <f t="shared" si="13"/>
        <v>6.9587152757032529</v>
      </c>
      <c r="CX7" s="62">
        <f t="shared" si="14"/>
        <v>300.29204860903656</v>
      </c>
      <c r="CY7" s="62">
        <f ca="1">AVERAGE(OFFSET($CX$3,0,0,'Données projet'!$E$13+1,1))-AVERAGE(OFFSET($H$3,0,0,'Données projet'!$E$13+1,1))</f>
        <v>492.66134897013183</v>
      </c>
      <c r="CZ7" s="62">
        <f t="shared" si="42"/>
        <v>307.87428858945862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7.7987854251012134</v>
      </c>
      <c r="N8" s="14">
        <f>IF('Données projet'!$A$36&gt;35,N7+M8-V7,IF(A8&lt;'Données projet'!$A$36,$K$205^A8,IF(A8='Données projet'!$A$36,'Données projet'!$B$36,N7+M8-V7)))</f>
        <v>3.7261303649455062</v>
      </c>
      <c r="O8" s="14">
        <f>N8*VLOOKUP('Données projet'!$B$9,Paramètres!$A$1:$I$89,3,0)*VLOOKUP('Données projet'!$B$9,Paramètres!$A$1:$I$89,5,0)</f>
        <v>2.082906874004538</v>
      </c>
      <c r="P8" s="14">
        <f t="shared" si="33"/>
        <v>0.88131009986182929</v>
      </c>
      <c r="Q8" s="22">
        <f t="shared" si="2"/>
        <v>5.1626778961505897</v>
      </c>
      <c r="R8" s="62">
        <f t="shared" si="0"/>
        <v>298.49601122948388</v>
      </c>
      <c r="S8" s="62">
        <f ca="1">AVERAGE(OFFSET($R$3,0,0,'Données projet'!$E$9+1,1))-AVERAGE(OFFSET($H$3,0,0,'Données projet'!$E$9+1,1))</f>
        <v>256.47911362806866</v>
      </c>
      <c r="T8" s="62">
        <f t="shared" si="34"/>
        <v>230.93438491511529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2.2999999999999998</v>
      </c>
      <c r="AI8" s="14">
        <f>IF('Données projet'!$A$62&gt;35,AI7+AH8-AQ7,IF(A8&lt;'Données projet'!$A$62,$AF$205^A8,IF(A8='Données projet'!$A$62,'Données projet'!$B$62,AI7+AH8-AQ7)))</f>
        <v>4.79583152331272</v>
      </c>
      <c r="AJ8" s="14">
        <f>AI8*VLOOKUP('Données projet'!$B$10,Paramètres!$A$1:$I$89,3,0)*VLOOKUP('Données projet'!$B$10,Paramètres!$A$1:$I$89,5,0)</f>
        <v>4.189638418765993</v>
      </c>
      <c r="AK8" s="14">
        <f t="shared" si="35"/>
        <v>1.6342077230679199</v>
      </c>
      <c r="AL8" s="22">
        <f t="shared" si="4"/>
        <v>10.143198697027399</v>
      </c>
      <c r="AM8" s="62">
        <f t="shared" si="5"/>
        <v>303.47653203036072</v>
      </c>
      <c r="AN8" s="62">
        <f ca="1">AVERAGE(OFFSET($AM$3,0,0,'Données projet'!$E$10+1,1))-AVERAGE(OFFSET($H$3,0,0,'Données projet'!$E$10+1,1))</f>
        <v>255.68195973350799</v>
      </c>
      <c r="AO8" s="62">
        <f t="shared" si="36"/>
        <v>269.20928353552461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299.85027799944623</v>
      </c>
      <c r="BI8" s="62">
        <f ca="1">AVERAGE(OFFSET($BH$3,0,0,'Données projet'!$E$11+1,1))-AVERAGE(OFFSET($H$3,0,0,'Données projet'!$E$11+1,1))</f>
        <v>243.51680047412441</v>
      </c>
      <c r="BJ8" s="62">
        <f t="shared" si="38"/>
        <v>224.00025638752402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2.4431850616268127</v>
      </c>
      <c r="CA8" s="14">
        <f t="shared" si="39"/>
        <v>1.0147295516396715</v>
      </c>
      <c r="CB8" s="22">
        <f t="shared" si="10"/>
        <v>6.0225346181057935</v>
      </c>
      <c r="CC8" s="62">
        <f t="shared" si="11"/>
        <v>299.35586795143911</v>
      </c>
      <c r="CD8" s="62">
        <f ca="1">AVERAGE(OFFSET($CC$3,0,0,'Données projet'!$E$12+1,1))-AVERAGE(OFFSET($H$3,0,0,'Données projet'!$E$12+1,1))</f>
        <v>221.4629402571224</v>
      </c>
      <c r="CE8" s="62">
        <f t="shared" si="40"/>
        <v>204.26941562549416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2.8205128205128203</v>
      </c>
      <c r="CT8" s="13">
        <f>IF('Données projet'!$A$140&gt;35,CT7+CS8-DB7,IF(A8&lt;'Données projet'!$A$140,$CQ$205^A8,IF(A8='Données projet'!$A$140,'Données projet'!$B$140,CT7+CS8-DB7)))</f>
        <v>3.4844944655447883</v>
      </c>
      <c r="CU8" s="18">
        <f>CT8*VLOOKUP('Données projet'!$B$13,Paramètres!$A$1:$I$89,3,0)*VLOOKUP('Données projet'!$B$13,Paramètres!$A$1:$I$89,5,0)</f>
        <v>3.6419936153874133</v>
      </c>
      <c r="CV8" s="14">
        <f t="shared" si="41"/>
        <v>1.4439473712216484</v>
      </c>
      <c r="CW8" s="22">
        <f t="shared" si="13"/>
        <v>8.8580138850107826</v>
      </c>
      <c r="CX8" s="62">
        <f t="shared" si="14"/>
        <v>302.19134721834411</v>
      </c>
      <c r="CY8" s="62">
        <f ca="1">AVERAGE(OFFSET($CX$3,0,0,'Données projet'!$E$13+1,1))-AVERAGE(OFFSET($H$3,0,0,'Données projet'!$E$13+1,1))</f>
        <v>492.66134897013183</v>
      </c>
      <c r="CZ8" s="62">
        <f t="shared" si="42"/>
        <v>307.87428858945862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7.7987854251012134</v>
      </c>
      <c r="N9" s="14">
        <f>IF('Données projet'!$A$36&gt;35,N8+M9-V8,IF(A9&lt;'Données projet'!$A$36,$K$205^A9,IF(A9='Données projet'!$A$36,'Données projet'!$B$36,N8+M9-V8)))</f>
        <v>4.8474088835420224</v>
      </c>
      <c r="O9" s="14">
        <f>N9*VLOOKUP('Données projet'!$B$9,Paramètres!$A$1:$I$89,3,0)*VLOOKUP('Données projet'!$B$9,Paramètres!$A$1:$I$89,5,0)</f>
        <v>2.7097015658999908</v>
      </c>
      <c r="P9" s="14">
        <f t="shared" si="33"/>
        <v>1.1119402957316735</v>
      </c>
      <c r="Q9" s="22">
        <f t="shared" si="2"/>
        <v>6.6560262423418139</v>
      </c>
      <c r="R9" s="62">
        <f t="shared" si="0"/>
        <v>299.98935957567511</v>
      </c>
      <c r="S9" s="62">
        <f ca="1">AVERAGE(OFFSET($R$3,0,0,'Données projet'!$E$9+1,1))-AVERAGE(OFFSET($H$3,0,0,'Données projet'!$E$9+1,1))</f>
        <v>256.47911362806866</v>
      </c>
      <c r="T9" s="62">
        <f t="shared" si="34"/>
        <v>230.93438491511529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2.2999999999999998</v>
      </c>
      <c r="AI9" s="14">
        <f>IF('Données projet'!$A$62&gt;35,AI8+AH9-AQ8,IF(A9&lt;'Données projet'!$A$62,$AF$205^A9,IF(A9='Données projet'!$A$62,'Données projet'!$B$62,AI8+AH9-AQ8)))</f>
        <v>6.5620071855158564</v>
      </c>
      <c r="AJ9" s="14">
        <f>AI9*VLOOKUP('Données projet'!$B$10,Paramètres!$A$1:$I$89,3,0)*VLOOKUP('Données projet'!$B$10,Paramètres!$A$1:$I$89,5,0)</f>
        <v>5.7325694772666536</v>
      </c>
      <c r="AK9" s="14">
        <f t="shared" si="35"/>
        <v>2.1559045554135094</v>
      </c>
      <c r="AL9" s="22">
        <f t="shared" si="4"/>
        <v>13.739092273584617</v>
      </c>
      <c r="AM9" s="62">
        <f t="shared" si="5"/>
        <v>307.07242560691793</v>
      </c>
      <c r="AN9" s="62">
        <f ca="1">AVERAGE(OFFSET($AM$3,0,0,'Données projet'!$E$10+1,1))-AVERAGE(OFFSET($H$3,0,0,'Données projet'!$E$10+1,1))</f>
        <v>255.68195973350799</v>
      </c>
      <c r="AO9" s="62">
        <f t="shared" si="36"/>
        <v>269.20928353552461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301.55725090153209</v>
      </c>
      <c r="BI9" s="62">
        <f ca="1">AVERAGE(OFFSET($BH$3,0,0,'Données projet'!$E$11+1,1))-AVERAGE(OFFSET($H$3,0,0,'Données projet'!$E$11+1,1))</f>
        <v>243.51680047412441</v>
      </c>
      <c r="BJ9" s="62">
        <f t="shared" si="38"/>
        <v>224.00025638752402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3.1081584173541552</v>
      </c>
      <c r="CA9" s="14">
        <f t="shared" si="39"/>
        <v>1.2552431053208675</v>
      </c>
      <c r="CB9" s="22">
        <f t="shared" si="10"/>
        <v>7.5995909853256647</v>
      </c>
      <c r="CC9" s="62">
        <f t="shared" si="11"/>
        <v>300.93292431865899</v>
      </c>
      <c r="CD9" s="62">
        <f ca="1">AVERAGE(OFFSET($CC$3,0,0,'Données projet'!$E$12+1,1))-AVERAGE(OFFSET($H$3,0,0,'Données projet'!$E$12+1,1))</f>
        <v>221.4629402571224</v>
      </c>
      <c r="CE9" s="62">
        <f t="shared" si="40"/>
        <v>204.26941562549416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2.8205128205128203</v>
      </c>
      <c r="CT9" s="13">
        <f>IF('Données projet'!$A$140&gt;35,CT8+CS9-DB8,IF(A9&lt;'Données projet'!$A$140,$CQ$205^A9,IF(A9='Données projet'!$A$140,'Données projet'!$B$140,CT8+CS9-DB8)))</f>
        <v>4.472679046280013</v>
      </c>
      <c r="CU9" s="18">
        <f>CT9*VLOOKUP('Données projet'!$B$13,Paramètres!$A$1:$I$89,3,0)*VLOOKUP('Données projet'!$B$13,Paramètres!$A$1:$I$89,5,0)</f>
        <v>4.6748441391718698</v>
      </c>
      <c r="CV9" s="14">
        <f t="shared" si="41"/>
        <v>1.8003556508248011</v>
      </c>
      <c r="CW9" s="22">
        <f t="shared" si="13"/>
        <v>11.277639634244201</v>
      </c>
      <c r="CX9" s="62">
        <f t="shared" si="14"/>
        <v>304.61097296757754</v>
      </c>
      <c r="CY9" s="62">
        <f ca="1">AVERAGE(OFFSET($CX$3,0,0,'Données projet'!$E$13+1,1))-AVERAGE(OFFSET($H$3,0,0,'Données projet'!$E$13+1,1))</f>
        <v>492.66134897013183</v>
      </c>
      <c r="CZ9" s="62">
        <f t="shared" si="42"/>
        <v>307.87428858945862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7.7987854251012134</v>
      </c>
      <c r="N10" s="14">
        <f>IF('Données projet'!$A$36&gt;35,N9+M10-V9,IF(A10&lt;'Données projet'!$A$36,$K$205^A10,IF(A10='Données projet'!$A$36,'Données projet'!$B$36,N9+M10-V9)))</f>
        <v>6.3061059552020682</v>
      </c>
      <c r="O10" s="14">
        <f>N10*VLOOKUP('Données projet'!$B$9,Paramètres!$A$1:$I$89,3,0)*VLOOKUP('Données projet'!$B$9,Paramètres!$A$1:$I$89,5,0)</f>
        <v>3.5251132289579559</v>
      </c>
      <c r="P10" s="14">
        <f t="shared" si="33"/>
        <v>1.4029241483397099</v>
      </c>
      <c r="Q10" s="22">
        <f t="shared" si="2"/>
        <v>8.5829984321267663</v>
      </c>
      <c r="R10" s="62">
        <f t="shared" si="0"/>
        <v>301.91633176546009</v>
      </c>
      <c r="S10" s="62">
        <f ca="1">AVERAGE(OFFSET($R$3,0,0,'Données projet'!$E$9+1,1))-AVERAGE(OFFSET($H$3,0,0,'Données projet'!$E$9+1,1))</f>
        <v>256.47911362806866</v>
      </c>
      <c r="T10" s="62">
        <f t="shared" si="34"/>
        <v>230.93438491511529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2.2999999999999998</v>
      </c>
      <c r="AI10" s="14">
        <f>IF('Données projet'!$A$62&gt;35,AI9+AH10-AQ9,IF(A10&lt;'Données projet'!$A$62,$AF$205^A10,IF(A10='Données projet'!$A$62,'Données projet'!$B$62,AI9+AH10-AQ9)))</f>
        <v>8.9786178045341511</v>
      </c>
      <c r="AJ10" s="14">
        <f>AI10*VLOOKUP('Données projet'!$B$10,Paramètres!$A$1:$I$89,3,0)*VLOOKUP('Données projet'!$B$10,Paramètres!$A$1:$I$89,5,0)</f>
        <v>7.8437205140410358</v>
      </c>
      <c r="AK10" s="14">
        <f t="shared" si="35"/>
        <v>2.8441454451868036</v>
      </c>
      <c r="AL10" s="22">
        <f t="shared" si="4"/>
        <v>18.614699878988485</v>
      </c>
      <c r="AM10" s="62">
        <f t="shared" si="5"/>
        <v>311.94803321232177</v>
      </c>
      <c r="AN10" s="62">
        <f ca="1">AVERAGE(OFFSET($AM$3,0,0,'Données projet'!$E$10+1,1))-AVERAGE(OFFSET($H$3,0,0,'Données projet'!$E$10+1,1))</f>
        <v>255.68195973350799</v>
      </c>
      <c r="AO10" s="62">
        <f t="shared" si="36"/>
        <v>269.20928353552461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303.71299159350212</v>
      </c>
      <c r="BI10" s="62">
        <f ca="1">AVERAGE(OFFSET($BH$3,0,0,'Données projet'!$E$11+1,1))-AVERAGE(OFFSET($H$3,0,0,'Données projet'!$E$11+1,1))</f>
        <v>243.51680047412441</v>
      </c>
      <c r="BJ10" s="62">
        <f t="shared" si="38"/>
        <v>224.00025638752402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3.9541207496319881</v>
      </c>
      <c r="CA10" s="14">
        <f t="shared" si="39"/>
        <v>1.5527637397664751</v>
      </c>
      <c r="CB10" s="22">
        <f t="shared" si="10"/>
        <v>9.5911571523689911</v>
      </c>
      <c r="CC10" s="62">
        <f t="shared" si="11"/>
        <v>302.92449048570228</v>
      </c>
      <c r="CD10" s="62">
        <f ca="1">AVERAGE(OFFSET($CC$3,0,0,'Données projet'!$E$12+1,1))-AVERAGE(OFFSET($H$3,0,0,'Données projet'!$E$12+1,1))</f>
        <v>221.4629402571224</v>
      </c>
      <c r="CE10" s="62">
        <f t="shared" si="40"/>
        <v>204.26941562549416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2.8205128205128203</v>
      </c>
      <c r="CT10" s="13">
        <f>IF('Données projet'!$A$140&gt;35,CT9+CS10-DB9,IF(A10&lt;'Données projet'!$A$140,$CQ$205^A10,IF(A10='Données projet'!$A$140,'Données projet'!$B$140,CT9+CS10-DB9)))</f>
        <v>5.7411076553122316</v>
      </c>
      <c r="CU10" s="18">
        <f>CT10*VLOOKUP('Données projet'!$B$13,Paramètres!$A$1:$I$89,3,0)*VLOOKUP('Données projet'!$B$13,Paramètres!$A$1:$I$89,5,0)</f>
        <v>6.0006057213323452</v>
      </c>
      <c r="CV10" s="14">
        <f t="shared" si="41"/>
        <v>2.2447358775372241</v>
      </c>
      <c r="CW10" s="22">
        <f t="shared" si="13"/>
        <v>14.360636618031165</v>
      </c>
      <c r="CX10" s="62">
        <f t="shared" si="14"/>
        <v>307.69396995136447</v>
      </c>
      <c r="CY10" s="62">
        <f ca="1">AVERAGE(OFFSET($CX$3,0,0,'Données projet'!$E$13+1,1))-AVERAGE(OFFSET($H$3,0,0,'Données projet'!$E$13+1,1))</f>
        <v>492.66134897013183</v>
      </c>
      <c r="CZ10" s="62">
        <f t="shared" si="42"/>
        <v>307.87428858945862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7.7987854251012134</v>
      </c>
      <c r="N11" s="14">
        <f>IF('Données projet'!$A$36&gt;35,N10+M11-V10,IF(A11&lt;'Données projet'!$A$36,$K$205^A11,IF(A11='Données projet'!$A$36,'Données projet'!$B$36,N10+M11-V10)))</f>
        <v>8.2037586004457506</v>
      </c>
      <c r="O11" s="14">
        <f>N11*VLOOKUP('Données projet'!$B$9,Paramètres!$A$1:$I$89,3,0)*VLOOKUP('Données projet'!$B$9,Paramètres!$A$1:$I$89,5,0)</f>
        <v>4.5859010576491741</v>
      </c>
      <c r="P11" s="14">
        <f t="shared" si="33"/>
        <v>1.770055616789747</v>
      </c>
      <c r="Q11" s="22">
        <f t="shared" si="2"/>
        <v>11.069957874647789</v>
      </c>
      <c r="R11" s="62">
        <f t="shared" si="0"/>
        <v>304.40329120798111</v>
      </c>
      <c r="S11" s="62">
        <f ca="1">AVERAGE(OFFSET($R$3,0,0,'Données projet'!$E$9+1,1))-AVERAGE(OFFSET($H$3,0,0,'Données projet'!$E$9+1,1))</f>
        <v>256.47911362806866</v>
      </c>
      <c r="T11" s="62">
        <f t="shared" si="34"/>
        <v>230.93438491511529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2.2999999999999998</v>
      </c>
      <c r="AI11" s="14">
        <f>IF('Données projet'!$A$62&gt;35,AI10+AH11-AQ10,IF(A11&lt;'Données projet'!$A$62,$AF$205^A11,IF(A11='Données projet'!$A$62,'Données projet'!$B$62,AI10+AH11-AQ10)))</f>
        <v>12.285201067417038</v>
      </c>
      <c r="AJ11" s="14">
        <f>AI11*VLOOKUP('Données projet'!$B$10,Paramètres!$A$1:$I$89,3,0)*VLOOKUP('Données projet'!$B$10,Paramètres!$A$1:$I$89,5,0)</f>
        <v>10.732351652495526</v>
      </c>
      <c r="AK11" s="14">
        <f t="shared" si="35"/>
        <v>3.7520971385606225</v>
      </c>
      <c r="AL11" s="22">
        <f t="shared" si="4"/>
        <v>25.227081644422793</v>
      </c>
      <c r="AM11" s="62">
        <f t="shared" si="5"/>
        <v>318.56041497775612</v>
      </c>
      <c r="AN11" s="62">
        <f ca="1">AVERAGE(OFFSET($AM$3,0,0,'Données projet'!$E$10+1,1))-AVERAGE(OFFSET($H$3,0,0,'Données projet'!$E$10+1,1))</f>
        <v>255.68195973350799</v>
      </c>
      <c r="AO11" s="62">
        <f t="shared" si="36"/>
        <v>269.20928353552461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306.43589195388444</v>
      </c>
      <c r="BI11" s="62">
        <f ca="1">AVERAGE(OFFSET($BH$3,0,0,'Données projet'!$E$11+1,1))-AVERAGE(OFFSET($H$3,0,0,'Données projet'!$E$11+1,1))</f>
        <v>243.51680047412441</v>
      </c>
      <c r="BJ11" s="62">
        <f t="shared" si="38"/>
        <v>224.00025638752402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5.0303326932671979</v>
      </c>
      <c r="CA11" s="14">
        <f t="shared" si="39"/>
        <v>1.9208034055819379</v>
      </c>
      <c r="CB11" s="22">
        <f t="shared" si="10"/>
        <v>12.106562038828912</v>
      </c>
      <c r="CC11" s="62">
        <f t="shared" si="11"/>
        <v>305.43989537216225</v>
      </c>
      <c r="CD11" s="62">
        <f ca="1">AVERAGE(OFFSET($CC$3,0,0,'Données projet'!$E$12+1,1))-AVERAGE(OFFSET($H$3,0,0,'Données projet'!$E$12+1,1))</f>
        <v>221.4629402571224</v>
      </c>
      <c r="CE11" s="62">
        <f t="shared" si="40"/>
        <v>204.26941562549416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2.8205128205128203</v>
      </c>
      <c r="CT11" s="13">
        <f>IF('Données projet'!$A$140&gt;35,CT10+CS11-DB10,IF(A11&lt;'Données projet'!$A$140,$CQ$205^A11,IF(A11='Données projet'!$A$140,'Données projet'!$B$140,CT10+CS11-DB10)))</f>
        <v>7.3692560474014428</v>
      </c>
      <c r="CU11" s="18">
        <f>CT11*VLOOKUP('Données projet'!$B$13,Paramètres!$A$1:$I$89,3,0)*VLOOKUP('Données projet'!$B$13,Paramètres!$A$1:$I$89,5,0)</f>
        <v>7.7023464207439885</v>
      </c>
      <c r="CV11" s="14">
        <f t="shared" si="41"/>
        <v>2.7988020909059581</v>
      </c>
      <c r="CW11" s="22">
        <f t="shared" si="13"/>
        <v>18.289500324456991</v>
      </c>
      <c r="CX11" s="62">
        <f t="shared" si="14"/>
        <v>311.6228336577903</v>
      </c>
      <c r="CY11" s="62">
        <f ca="1">AVERAGE(OFFSET($CX$3,0,0,'Données projet'!$E$13+1,1))-AVERAGE(OFFSET($H$3,0,0,'Données projet'!$E$13+1,1))</f>
        <v>492.66134897013183</v>
      </c>
      <c r="CZ11" s="62">
        <f t="shared" si="42"/>
        <v>307.87428858945862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7.7987854251012134</v>
      </c>
      <c r="N12" s="14">
        <f>IF('Données projet'!$A$36&gt;35,N11+M12-V11,IF(A12&lt;'Données projet'!$A$36,$K$205^A12,IF(A12='Données projet'!$A$36,'Données projet'!$B$36,N11+M12-V11)))</f>
        <v>10.672458669818059</v>
      </c>
      <c r="O12" s="14">
        <f>N12*VLOOKUP('Données projet'!$B$9,Paramètres!$A$1:$I$89,3,0)*VLOOKUP('Données projet'!$B$9,Paramètres!$A$1:$I$89,5,0)</f>
        <v>5.9659043964282947</v>
      </c>
      <c r="P12" s="14">
        <f t="shared" si="33"/>
        <v>2.2332617841362223</v>
      </c>
      <c r="Q12" s="22">
        <f t="shared" si="2"/>
        <v>14.280214431149867</v>
      </c>
      <c r="R12" s="62">
        <f t="shared" si="0"/>
        <v>307.6135477644832</v>
      </c>
      <c r="S12" s="62">
        <f ca="1">AVERAGE(OFFSET($R$3,0,0,'Données projet'!$E$9+1,1))-AVERAGE(OFFSET($H$3,0,0,'Données projet'!$E$9+1,1))</f>
        <v>256.47911362806866</v>
      </c>
      <c r="T12" s="62">
        <f t="shared" si="34"/>
        <v>230.93438491511529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2.2999999999999998</v>
      </c>
      <c r="AI12" s="14">
        <f>IF('Données projet'!$A$62&gt;35,AI11+AH12-AQ11,IF(A12&lt;'Données projet'!$A$62,$AF$205^A12,IF(A12='Données projet'!$A$62,'Données projet'!$B$62,AI11+AH12-AQ11)))</f>
        <v>16.809509943796456</v>
      </c>
      <c r="AJ12" s="14">
        <f>AI12*VLOOKUP('Données projet'!$B$10,Paramètres!$A$1:$I$89,3,0)*VLOOKUP('Données projet'!$B$10,Paramètres!$A$1:$I$89,5,0)</f>
        <v>14.684787886900585</v>
      </c>
      <c r="AK12" s="14">
        <f t="shared" si="35"/>
        <v>4.9498990851609408</v>
      </c>
      <c r="AL12" s="22">
        <f t="shared" si="4"/>
        <v>34.197079809673824</v>
      </c>
      <c r="AM12" s="62">
        <f t="shared" si="5"/>
        <v>327.53041314300714</v>
      </c>
      <c r="AN12" s="62">
        <f ca="1">AVERAGE(OFFSET($AM$3,0,0,'Données projet'!$E$10+1,1))-AVERAGE(OFFSET($H$3,0,0,'Données projet'!$E$10+1,1))</f>
        <v>255.68195973350799</v>
      </c>
      <c r="AO12" s="62">
        <f t="shared" si="36"/>
        <v>269.20928353552461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309.87567798011776</v>
      </c>
      <c r="BI12" s="62">
        <f ca="1">AVERAGE(OFFSET($BH$3,0,0,'Données projet'!$E$11+1,1))-AVERAGE(OFFSET($H$3,0,0,'Données projet'!$E$11+1,1))</f>
        <v>243.51680047412441</v>
      </c>
      <c r="BJ12" s="62">
        <f t="shared" si="38"/>
        <v>224.00025638752402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6.399462385489338</v>
      </c>
      <c r="CA12" s="14">
        <f t="shared" si="39"/>
        <v>2.3760766872686268</v>
      </c>
      <c r="CB12" s="22">
        <f t="shared" si="10"/>
        <v>15.284063885053456</v>
      </c>
      <c r="CC12" s="62">
        <f t="shared" si="11"/>
        <v>308.61739721838677</v>
      </c>
      <c r="CD12" s="62">
        <f ca="1">AVERAGE(OFFSET($CC$3,0,0,'Données projet'!$E$12+1,1))-AVERAGE(OFFSET($H$3,0,0,'Données projet'!$E$12+1,1))</f>
        <v>221.4629402571224</v>
      </c>
      <c r="CE12" s="62">
        <f t="shared" si="40"/>
        <v>204.26941562549416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2.8205128205128203</v>
      </c>
      <c r="CT12" s="13">
        <f>IF('Données projet'!$A$140&gt;35,CT11+CS12-DB11,IF(A12&lt;'Données projet'!$A$140,$CQ$205^A12,IF(A12='Données projet'!$A$140,'Données projet'!$B$140,CT11+CS12-DB11)))</f>
        <v>9.4591388896729018</v>
      </c>
      <c r="CU12" s="18">
        <f>CT12*VLOOKUP('Données projet'!$B$13,Paramètres!$A$1:$I$89,3,0)*VLOOKUP('Données projet'!$B$13,Paramètres!$A$1:$I$89,5,0)</f>
        <v>9.8866919674861187</v>
      </c>
      <c r="CV12" s="14">
        <f t="shared" si="41"/>
        <v>3.4896279880614438</v>
      </c>
      <c r="CW12" s="22">
        <f t="shared" si="13"/>
        <v>23.297090589245332</v>
      </c>
      <c r="CX12" s="62">
        <f t="shared" si="14"/>
        <v>316.63042392257864</v>
      </c>
      <c r="CY12" s="62">
        <f ca="1">AVERAGE(OFFSET($CX$3,0,0,'Données projet'!$E$13+1,1))-AVERAGE(OFFSET($H$3,0,0,'Données projet'!$E$13+1,1))</f>
        <v>492.66134897013183</v>
      </c>
      <c r="CZ12" s="62">
        <f t="shared" si="42"/>
        <v>307.87428858945862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7.7987854251012134</v>
      </c>
      <c r="N13" s="14">
        <f>IF('Données projet'!$A$36&gt;35,N12+M13-V12,IF(A13&lt;'Données projet'!$A$36,$K$205^A13,IF(A13='Données projet'!$A$36,'Données projet'!$B$36,N12+M13-V12)))</f>
        <v>13.884047496568932</v>
      </c>
      <c r="O13" s="14">
        <f>N13*VLOOKUP('Données projet'!$B$9,Paramètres!$A$1:$I$89,3,0)*VLOOKUP('Données projet'!$B$9,Paramètres!$A$1:$I$89,5,0)</f>
        <v>7.7611825505820331</v>
      </c>
      <c r="P13" s="14">
        <f t="shared" si="33"/>
        <v>2.8176844553216833</v>
      </c>
      <c r="Q13" s="22">
        <f t="shared" si="2"/>
        <v>18.424860035282308</v>
      </c>
      <c r="R13" s="62">
        <f t="shared" si="0"/>
        <v>311.75819336861559</v>
      </c>
      <c r="S13" s="62">
        <f ca="1">AVERAGE(OFFSET($R$3,0,0,'Données projet'!$E$9+1,1))-AVERAGE(OFFSET($H$3,0,0,'Données projet'!$E$9+1,1))</f>
        <v>256.47911362806866</v>
      </c>
      <c r="T13" s="62">
        <f t="shared" si="34"/>
        <v>230.93438491511529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23</v>
      </c>
      <c r="AG13" s="13">
        <f>VLOOKUP(A13,'Données projet'!$A$61:$I$81,9,0)</f>
        <v>2.2999999999999998</v>
      </c>
      <c r="AH13" s="13">
        <f t="array" ref="AH13">INDEX(AG:AG,MIN(IF(ISNUMBER(AG13:AG209),ROW(AG13:AG209),"")))</f>
        <v>2.2999999999999998</v>
      </c>
      <c r="AI13" s="14">
        <f>IF('Données projet'!$A$62&gt;35,AI12+AH13-AQ12,IF(A13&lt;'Données projet'!$A$62,$AF$205^A13,IF(A13='Données projet'!$A$62,'Données projet'!$B$62,AI12+AH13-AQ12)))</f>
        <v>23</v>
      </c>
      <c r="AJ13" s="14">
        <f>AI13*VLOOKUP('Données projet'!$B$10,Paramètres!$A$1:$I$89,3,0)*VLOOKUP('Données projet'!$B$10,Paramètres!$A$1:$I$89,5,0)</f>
        <v>20.0928</v>
      </c>
      <c r="AK13" s="14">
        <f t="shared" si="35"/>
        <v>6.5300817245569407</v>
      </c>
      <c r="AL13" s="22">
        <f t="shared" si="4"/>
        <v>46.368185670270002</v>
      </c>
      <c r="AM13" s="62">
        <f t="shared" si="5"/>
        <v>339.70151900360332</v>
      </c>
      <c r="AN13" s="62">
        <f ca="1">AVERAGE(OFFSET($AM$3,0,0,'Données projet'!$E$10+1,1))-AVERAGE(OFFSET($H$3,0,0,'Données projet'!$E$10+1,1))</f>
        <v>255.68195973350799</v>
      </c>
      <c r="AO13" s="62">
        <f t="shared" si="36"/>
        <v>269.20928353552461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314.22172739361849</v>
      </c>
      <c r="BI13" s="62">
        <f ca="1">AVERAGE(OFFSET($BH$3,0,0,'Données projet'!$E$11+1,1))-AVERAGE(OFFSET($H$3,0,0,'Données projet'!$E$11+1,1))</f>
        <v>243.51680047412441</v>
      </c>
      <c r="BJ13" s="62">
        <f t="shared" si="38"/>
        <v>224.00025638752402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8.1412346499678296</v>
      </c>
      <c r="CA13" s="14">
        <f t="shared" si="39"/>
        <v>2.9392598989436851</v>
      </c>
      <c r="CB13" s="22">
        <f t="shared" si="10"/>
        <v>19.298528006020888</v>
      </c>
      <c r="CC13" s="62">
        <f t="shared" si="11"/>
        <v>312.6318613393542</v>
      </c>
      <c r="CD13" s="62">
        <f ca="1">AVERAGE(OFFSET($CC$3,0,0,'Données projet'!$E$12+1,1))-AVERAGE(OFFSET($H$3,0,0,'Données projet'!$E$12+1,1))</f>
        <v>221.4629402571224</v>
      </c>
      <c r="CE13" s="62">
        <f t="shared" si="40"/>
        <v>204.26941562549416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2.8205128205128203</v>
      </c>
      <c r="CT13" s="13">
        <f>IF('Données projet'!$A$140&gt;35,CT12+CS13-DB12,IF(A13&lt;'Données projet'!$A$140,$CQ$205^A13,IF(A13='Données projet'!$A$140,'Données projet'!$B$140,CT12+CS13-DB12)))</f>
        <v>12.141701680412259</v>
      </c>
      <c r="CU13" s="18">
        <f>CT13*VLOOKUP('Données projet'!$B$13,Paramètres!$A$1:$I$89,3,0)*VLOOKUP('Données projet'!$B$13,Paramètres!$A$1:$I$89,5,0)</f>
        <v>12.690506596366895</v>
      </c>
      <c r="CV13" s="14">
        <f t="shared" si="41"/>
        <v>4.3509698433589348</v>
      </c>
      <c r="CW13" s="22">
        <f t="shared" si="13"/>
        <v>29.68057146585582</v>
      </c>
      <c r="CX13" s="62">
        <f t="shared" si="14"/>
        <v>323.01390479918916</v>
      </c>
      <c r="CY13" s="62">
        <f ca="1">AVERAGE(OFFSET($CX$3,0,0,'Données projet'!$E$13+1,1))-AVERAGE(OFFSET($H$3,0,0,'Données projet'!$E$13+1,1))</f>
        <v>492.66134897013183</v>
      </c>
      <c r="CZ13" s="62">
        <f t="shared" si="42"/>
        <v>307.87428858945862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7.7987854251012134</v>
      </c>
      <c r="N14" s="14">
        <f>IF('Données projet'!$A$36&gt;35,N13+M14-V13,IF(A14&lt;'Données projet'!$A$36,$K$205^A14,IF(A14='Données projet'!$A$36,'Données projet'!$B$36,N13+M14-V13)))</f>
        <v>18.062077432272524</v>
      </c>
      <c r="O14" s="14">
        <f>N14*VLOOKUP('Données projet'!$B$9,Paramètres!$A$1:$I$89,3,0)*VLOOKUP('Données projet'!$B$9,Paramètres!$A$1:$I$89,5,0)</f>
        <v>10.096701284640341</v>
      </c>
      <c r="P14" s="14">
        <f t="shared" si="33"/>
        <v>3.5550447986697691</v>
      </c>
      <c r="Q14" s="22">
        <f t="shared" si="2"/>
        <v>23.776791095098442</v>
      </c>
      <c r="R14" s="62">
        <f t="shared" si="0"/>
        <v>317.11012442843173</v>
      </c>
      <c r="S14" s="62">
        <f ca="1">AVERAGE(OFFSET($R$3,0,0,'Données projet'!$E$9+1,1))-AVERAGE(OFFSET($H$3,0,0,'Données projet'!$E$9+1,1))</f>
        <v>256.47911362806866</v>
      </c>
      <c r="T14" s="62">
        <f t="shared" si="34"/>
        <v>230.93438491511529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7.4</v>
      </c>
      <c r="AI14" s="14">
        <f>IF('Données projet'!$A$62&gt;35,AI13+AH14-AQ13,IF(A14&lt;'Données projet'!$A$62,$AF$205^A14,IF(A14='Données projet'!$A$62,'Données projet'!$B$62,AI13+AH14-AQ13)))</f>
        <v>30.4</v>
      </c>
      <c r="AJ14" s="14">
        <f>AI14*VLOOKUP('Données projet'!$B$10,Paramètres!$A$1:$I$89,3,0)*VLOOKUP('Données projet'!$B$10,Paramètres!$A$1:$I$89,5,0)</f>
        <v>26.557440000000003</v>
      </c>
      <c r="AK14" s="14">
        <f t="shared" si="35"/>
        <v>8.3553182981993483</v>
      </c>
      <c r="AL14" s="22">
        <f t="shared" si="4"/>
        <v>60.806387369363868</v>
      </c>
      <c r="AM14" s="62">
        <f t="shared" si="5"/>
        <v>354.13972070269716</v>
      </c>
      <c r="AN14" s="62">
        <f ca="1">AVERAGE(OFFSET($AM$3,0,0,'Données projet'!$E$10+1,1))-AVERAGE(OFFSET($H$3,0,0,'Données projet'!$E$10+1,1))</f>
        <v>255.68195973350799</v>
      </c>
      <c r="AO14" s="62">
        <f t="shared" si="36"/>
        <v>269.20928353552461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319.71360113428284</v>
      </c>
      <c r="BI14" s="62">
        <f ca="1">AVERAGE(OFFSET($BH$3,0,0,'Données projet'!$E$11+1,1))-AVERAGE(OFFSET($H$3,0,0,'Données projet'!$E$11+1,1))</f>
        <v>243.51680047412441</v>
      </c>
      <c r="BJ14" s="62">
        <f t="shared" si="38"/>
        <v>224.00025638752402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10.357073396684818</v>
      </c>
      <c r="CA14" s="14">
        <f t="shared" si="39"/>
        <v>3.6359301026893722</v>
      </c>
      <c r="CB14" s="22">
        <f t="shared" si="10"/>
        <v>24.371147761410047</v>
      </c>
      <c r="CC14" s="62">
        <f t="shared" si="11"/>
        <v>317.70448109474336</v>
      </c>
      <c r="CD14" s="62">
        <f ca="1">AVERAGE(OFFSET($CC$3,0,0,'Données projet'!$E$12+1,1))-AVERAGE(OFFSET($H$3,0,0,'Données projet'!$E$12+1,1))</f>
        <v>221.4629402571224</v>
      </c>
      <c r="CE14" s="62">
        <f t="shared" si="40"/>
        <v>204.26941562549416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2.8205128205128203</v>
      </c>
      <c r="CT14" s="13">
        <f>IF('Données projet'!$A$140&gt;35,CT13+CS14-DB13,IF(A14&lt;'Données projet'!$A$140,$CQ$205^A14,IF(A14='Données projet'!$A$140,'Données projet'!$B$140,CT13+CS14-DB13)))</f>
        <v>15.585025382920847</v>
      </c>
      <c r="CU14" s="18">
        <f>CT14*VLOOKUP('Données projet'!$B$13,Paramètres!$A$1:$I$89,3,0)*VLOOKUP('Données projet'!$B$13,Paramètres!$A$1:$I$89,5,0)</f>
        <v>16.28946853022887</v>
      </c>
      <c r="CV14" s="14">
        <f t="shared" si="41"/>
        <v>5.4249159631297497</v>
      </c>
      <c r="CW14" s="22">
        <f t="shared" si="13"/>
        <v>37.81921965926626</v>
      </c>
      <c r="CX14" s="62">
        <f t="shared" si="14"/>
        <v>331.15255299259957</v>
      </c>
      <c r="CY14" s="62">
        <f ca="1">AVERAGE(OFFSET($CX$3,0,0,'Données projet'!$E$13+1,1))-AVERAGE(OFFSET($H$3,0,0,'Données projet'!$E$13+1,1))</f>
        <v>492.66134897013183</v>
      </c>
      <c r="CZ14" s="62">
        <f t="shared" si="42"/>
        <v>307.87428858945862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7.7987854251012134</v>
      </c>
      <c r="N15" s="14">
        <f>IF('Données projet'!$A$36&gt;35,N14+M15-V14,IF(A15&lt;'Données projet'!$A$36,$K$205^A15,IF(A15='Données projet'!$A$36,'Données projet'!$B$36,N14+M15-V14)))</f>
        <v>23.497372884242115</v>
      </c>
      <c r="O15" s="14">
        <f>N15*VLOOKUP('Données projet'!$B$9,Paramètres!$A$1:$I$89,3,0)*VLOOKUP('Données projet'!$B$9,Paramètres!$A$1:$I$89,5,0)</f>
        <v>13.135031442291343</v>
      </c>
      <c r="P15" s="14">
        <f t="shared" si="33"/>
        <v>4.4853651006518103</v>
      </c>
      <c r="Q15" s="22">
        <f t="shared" si="2"/>
        <v>30.688857312292658</v>
      </c>
      <c r="R15" s="62">
        <f t="shared" si="0"/>
        <v>324.02219064562598</v>
      </c>
      <c r="S15" s="62">
        <f ca="1">AVERAGE(OFFSET($R$3,0,0,'Données projet'!$E$9+1,1))-AVERAGE(OFFSET($H$3,0,0,'Données projet'!$E$9+1,1))</f>
        <v>256.47911362806866</v>
      </c>
      <c r="T15" s="62">
        <f t="shared" si="34"/>
        <v>230.93438491511529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7.4</v>
      </c>
      <c r="AI15" s="14">
        <f>IF('Données projet'!$A$62&gt;35,AI14+AH15-AQ14,IF(A15&lt;'Données projet'!$A$62,$AF$205^A15,IF(A15='Données projet'!$A$62,'Données projet'!$B$62,AI14+AH15-AQ14)))</f>
        <v>37.799999999999997</v>
      </c>
      <c r="AJ15" s="14">
        <f>AI15*VLOOKUP('Données projet'!$B$10,Paramètres!$A$1:$I$89,3,0)*VLOOKUP('Données projet'!$B$10,Paramètres!$A$1:$I$89,5,0)</f>
        <v>33.022080000000003</v>
      </c>
      <c r="AK15" s="14">
        <f t="shared" si="35"/>
        <v>10.129025278332465</v>
      </c>
      <c r="AL15" s="22">
        <f t="shared" si="4"/>
        <v>75.154841693095705</v>
      </c>
      <c r="AM15" s="62">
        <f t="shared" si="5"/>
        <v>368.48817502642902</v>
      </c>
      <c r="AN15" s="62">
        <f ca="1">AVERAGE(OFFSET($AM$3,0,0,'Données projet'!$E$10+1,1))-AVERAGE(OFFSET($H$3,0,0,'Données projet'!$E$10+1,1))</f>
        <v>255.68195973350799</v>
      </c>
      <c r="AO15" s="62">
        <f t="shared" si="36"/>
        <v>269.20928353552461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326.65437946934281</v>
      </c>
      <c r="BI15" s="62">
        <f ca="1">AVERAGE(OFFSET($BH$3,0,0,'Données projet'!$E$11+1,1))-AVERAGE(OFFSET($H$3,0,0,'Données projet'!$E$11+1,1))</f>
        <v>243.51680047412441</v>
      </c>
      <c r="BJ15" s="62">
        <f t="shared" si="38"/>
        <v>224.00025638752402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13.176007565970389</v>
      </c>
      <c r="CA15" s="14">
        <f t="shared" si="39"/>
        <v>4.4977266952111856</v>
      </c>
      <c r="CB15" s="22">
        <f t="shared" si="10"/>
        <v>30.781753838224574</v>
      </c>
      <c r="CC15" s="62">
        <f t="shared" si="11"/>
        <v>324.11508717155789</v>
      </c>
      <c r="CD15" s="62">
        <f ca="1">AVERAGE(OFFSET($CC$3,0,0,'Données projet'!$E$12+1,1))-AVERAGE(OFFSET($H$3,0,0,'Données projet'!$E$12+1,1))</f>
        <v>221.4629402571224</v>
      </c>
      <c r="CE15" s="62">
        <f t="shared" si="40"/>
        <v>204.26941562549416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2.8205128205128203</v>
      </c>
      <c r="CT15" s="13">
        <f>IF('Données projet'!$A$140&gt;35,CT14+CS15-DB14,IF(A15&lt;'Données projet'!$A$140,$CQ$205^A15,IF(A15='Données projet'!$A$140,'Données projet'!$B$140,CT14+CS15-DB14)))</f>
        <v>20.004857851032284</v>
      </c>
      <c r="CU15" s="18">
        <f>CT15*VLOOKUP('Données projet'!$B$13,Paramètres!$A$1:$I$89,3,0)*VLOOKUP('Données projet'!$B$13,Paramètres!$A$1:$I$89,5,0)</f>
        <v>20.909077425898946</v>
      </c>
      <c r="CV15" s="14">
        <f t="shared" si="41"/>
        <v>6.7639432739208196</v>
      </c>
      <c r="CW15" s="22">
        <f t="shared" si="13"/>
        <v>48.19717771885275</v>
      </c>
      <c r="CX15" s="62">
        <f t="shared" si="14"/>
        <v>341.53051105218606</v>
      </c>
      <c r="CY15" s="62">
        <f ca="1">AVERAGE(OFFSET($CX$3,0,0,'Données projet'!$E$13+1,1))-AVERAGE(OFFSET($H$3,0,0,'Données projet'!$E$13+1,1))</f>
        <v>492.66134897013183</v>
      </c>
      <c r="CZ15" s="62">
        <f t="shared" si="42"/>
        <v>307.87428858945862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7.7987854251012134</v>
      </c>
      <c r="N16" s="14">
        <f>IF('Données projet'!$A$36&gt;35,N15+M16-V15,IF(A16&lt;'Données projet'!$A$36,$K$205^A16,IF(A16='Données projet'!$A$36,'Données projet'!$B$36,N15+M16-V15)))</f>
        <v>30.56827402780376</v>
      </c>
      <c r="O16" s="14">
        <f>N16*VLOOKUP('Données projet'!$B$9,Paramètres!$A$1:$I$89,3,0)*VLOOKUP('Données projet'!$B$9,Paramètres!$A$1:$I$89,5,0)</f>
        <v>17.087665181542302</v>
      </c>
      <c r="P16" s="14">
        <f t="shared" si="33"/>
        <v>5.6591410869627277</v>
      </c>
      <c r="Q16" s="22">
        <f t="shared" si="2"/>
        <v>39.617354250979595</v>
      </c>
      <c r="R16" s="62">
        <f t="shared" si="0"/>
        <v>332.9506875843129</v>
      </c>
      <c r="S16" s="62">
        <f ca="1">AVERAGE(OFFSET($R$3,0,0,'Données projet'!$E$9+1,1))-AVERAGE(OFFSET($H$3,0,0,'Données projet'!$E$9+1,1))</f>
        <v>256.47911362806866</v>
      </c>
      <c r="T16" s="62">
        <f t="shared" si="34"/>
        <v>230.93438491511529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7.4</v>
      </c>
      <c r="AI16" s="14">
        <f>IF('Données projet'!$A$62&gt;35,AI15+AH16-AQ15,IF(A16&lt;'Données projet'!$A$62,$AF$205^A16,IF(A16='Données projet'!$A$62,'Données projet'!$B$62,AI15+AH16-AQ15)))</f>
        <v>45.199999999999996</v>
      </c>
      <c r="AJ16" s="14">
        <f>AI16*VLOOKUP('Données projet'!$B$10,Paramètres!$A$1:$I$89,3,0)*VLOOKUP('Données projet'!$B$10,Paramètres!$A$1:$I$89,5,0)</f>
        <v>39.486720000000005</v>
      </c>
      <c r="AK16" s="14">
        <f t="shared" si="35"/>
        <v>11.862499896265861</v>
      </c>
      <c r="AL16" s="22">
        <f t="shared" si="4"/>
        <v>89.433224652663043</v>
      </c>
      <c r="AM16" s="62">
        <f t="shared" si="5"/>
        <v>382.76655798599637</v>
      </c>
      <c r="AN16" s="62">
        <f ca="1">AVERAGE(OFFSET($AM$3,0,0,'Données projet'!$E$10+1,1))-AVERAGE(OFFSET($H$3,0,0,'Données projet'!$E$10+1,1))</f>
        <v>255.68195973350799</v>
      </c>
      <c r="AO16" s="62">
        <f t="shared" si="36"/>
        <v>269.20928353552461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335.42755141558786</v>
      </c>
      <c r="BI16" s="62">
        <f ca="1">AVERAGE(OFFSET($BH$3,0,0,'Données projet'!$E$11+1,1))-AVERAGE(OFFSET($H$3,0,0,'Données projet'!$E$11+1,1))</f>
        <v>243.51680047412441</v>
      </c>
      <c r="BJ16" s="62">
        <f t="shared" si="38"/>
        <v>224.00025638752402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16.762184521553994</v>
      </c>
      <c r="CA16" s="14">
        <f t="shared" si="39"/>
        <v>5.5637883164619248</v>
      </c>
      <c r="CB16" s="22">
        <f t="shared" si="10"/>
        <v>38.884402692877721</v>
      </c>
      <c r="CC16" s="62">
        <f t="shared" si="11"/>
        <v>332.21773602621101</v>
      </c>
      <c r="CD16" s="62">
        <f ca="1">AVERAGE(OFFSET($CC$3,0,0,'Données projet'!$E$12+1,1))-AVERAGE(OFFSET($H$3,0,0,'Données projet'!$E$12+1,1))</f>
        <v>221.4629402571224</v>
      </c>
      <c r="CE16" s="62">
        <f t="shared" si="40"/>
        <v>204.26941562549416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2.8205128205128203</v>
      </c>
      <c r="CT16" s="13">
        <f>IF('Données projet'!$A$140&gt;35,CT15+CS16-DB15,IF(A16&lt;'Données projet'!$A$140,$CQ$205^A16,IF(A16='Données projet'!$A$140,'Données projet'!$B$140,CT15+CS16-DB15)))</f>
        <v>25.678131912352789</v>
      </c>
      <c r="CU16" s="18">
        <f>CT16*VLOOKUP('Données projet'!$B$13,Paramètres!$A$1:$I$89,3,0)*VLOOKUP('Données projet'!$B$13,Paramètres!$A$1:$I$89,5,0)</f>
        <v>26.838783474791136</v>
      </c>
      <c r="CV16" s="14">
        <f t="shared" si="41"/>
        <v>8.4334815366289995</v>
      </c>
      <c r="CW16" s="22">
        <f t="shared" si="13"/>
        <v>61.432528228223397</v>
      </c>
      <c r="CX16" s="62">
        <f t="shared" si="14"/>
        <v>354.76586156155673</v>
      </c>
      <c r="CY16" s="62">
        <f ca="1">AVERAGE(OFFSET($CX$3,0,0,'Données projet'!$E$13+1,1))-AVERAGE(OFFSET($H$3,0,0,'Données projet'!$E$13+1,1))</f>
        <v>492.66134897013183</v>
      </c>
      <c r="CZ16" s="62">
        <f t="shared" si="42"/>
        <v>307.87428858945862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7.7987854251012134</v>
      </c>
      <c r="N17" s="14">
        <f>IF('Données projet'!$A$36&gt;35,N16+M17-V16,IF(A17&lt;'Données projet'!$A$36,$K$205^A17,IF(A17='Données projet'!$A$36,'Données projet'!$B$36,N16+M17-V16)))</f>
        <v>39.766972318234998</v>
      </c>
      <c r="O17" s="14">
        <f>N17*VLOOKUP('Données projet'!$B$9,Paramètres!$A$1:$I$89,3,0)*VLOOKUP('Données projet'!$B$9,Paramètres!$A$1:$I$89,5,0)</f>
        <v>22.229737525893363</v>
      </c>
      <c r="P17" s="14">
        <f t="shared" si="33"/>
        <v>7.1400827186834128</v>
      </c>
      <c r="Q17" s="22">
        <f t="shared" si="2"/>
        <v>51.152436925971216</v>
      </c>
      <c r="R17" s="62">
        <f t="shared" si="0"/>
        <v>344.48577025930456</v>
      </c>
      <c r="S17" s="62">
        <f ca="1">AVERAGE(OFFSET($R$3,0,0,'Données projet'!$E$9+1,1))-AVERAGE(OFFSET($H$3,0,0,'Données projet'!$E$9+1,1))</f>
        <v>256.47911362806866</v>
      </c>
      <c r="T17" s="62">
        <f t="shared" si="34"/>
        <v>230.93438491511529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7.4</v>
      </c>
      <c r="AI17" s="14">
        <f>IF('Données projet'!$A$62&gt;35,AI16+AH17-AQ16,IF(A17&lt;'Données projet'!$A$62,$AF$205^A17,IF(A17='Données projet'!$A$62,'Données projet'!$B$62,AI16+AH17-AQ16)))</f>
        <v>52.599999999999994</v>
      </c>
      <c r="AJ17" s="14">
        <f>AI17*VLOOKUP('Données projet'!$B$10,Paramètres!$A$1:$I$89,3,0)*VLOOKUP('Données projet'!$B$10,Paramètres!$A$1:$I$89,5,0)</f>
        <v>45.951360000000001</v>
      </c>
      <c r="AK17" s="14">
        <f t="shared" si="35"/>
        <v>13.563098137964777</v>
      </c>
      <c r="AL17" s="22">
        <f t="shared" si="4"/>
        <v>103.65434792362198</v>
      </c>
      <c r="AM17" s="62">
        <f t="shared" si="5"/>
        <v>396.98768125695528</v>
      </c>
      <c r="AN17" s="62">
        <f ca="1">AVERAGE(OFFSET($AM$3,0,0,'Données projet'!$E$10+1,1))-AVERAGE(OFFSET($H$3,0,0,'Données projet'!$E$10+1,1))</f>
        <v>255.68195973350799</v>
      </c>
      <c r="AO17" s="62">
        <f t="shared" si="36"/>
        <v>269.20928353552461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346.51840647945551</v>
      </c>
      <c r="BI17" s="62">
        <f ca="1">AVERAGE(OFFSET($BH$3,0,0,'Données projet'!$E$11+1,1))-AVERAGE(OFFSET($H$3,0,0,'Données projet'!$E$11+1,1))</f>
        <v>243.51680047412441</v>
      </c>
      <c r="BJ17" s="62">
        <f t="shared" si="38"/>
        <v>224.00025638752402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21.324428399713909</v>
      </c>
      <c r="CA17" s="14">
        <f t="shared" si="39"/>
        <v>6.8825303376831179</v>
      </c>
      <c r="CB17" s="22">
        <f t="shared" si="10"/>
        <v>49.127119800966483</v>
      </c>
      <c r="CC17" s="62">
        <f t="shared" si="11"/>
        <v>342.46045313429977</v>
      </c>
      <c r="CD17" s="62">
        <f ca="1">AVERAGE(OFFSET($CC$3,0,0,'Données projet'!$E$12+1,1))-AVERAGE(OFFSET($H$3,0,0,'Données projet'!$E$12+1,1))</f>
        <v>221.4629402571224</v>
      </c>
      <c r="CE17" s="62">
        <f t="shared" si="40"/>
        <v>204.26941562549416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2.8205128205128203</v>
      </c>
      <c r="CT17" s="13">
        <f>IF('Données projet'!$A$140&gt;35,CT16+CS17-DB16,IF(A17&lt;'Données projet'!$A$140,$CQ$205^A17,IF(A17='Données projet'!$A$140,'Données projet'!$B$140,CT16+CS17-DB16)))</f>
        <v>32.960317109884706</v>
      </c>
      <c r="CU17" s="18">
        <f>CT17*VLOOKUP('Données projet'!$B$13,Paramètres!$A$1:$I$89,3,0)*VLOOKUP('Données projet'!$B$13,Paramètres!$A$1:$I$89,5,0)</f>
        <v>34.450123443251499</v>
      </c>
      <c r="CV17" s="14">
        <f t="shared" si="41"/>
        <v>10.515110483390327</v>
      </c>
      <c r="CW17" s="22">
        <f t="shared" si="13"/>
        <v>78.314449088901185</v>
      </c>
      <c r="CX17" s="62">
        <f t="shared" si="14"/>
        <v>371.64778242223451</v>
      </c>
      <c r="CY17" s="62">
        <f ca="1">AVERAGE(OFFSET($CX$3,0,0,'Données projet'!$E$13+1,1))-AVERAGE(OFFSET($H$3,0,0,'Données projet'!$E$13+1,1))</f>
        <v>492.66134897013183</v>
      </c>
      <c r="CZ17" s="62">
        <f t="shared" si="42"/>
        <v>307.87428858945862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7.7987854251012134</v>
      </c>
      <c r="N18" s="14">
        <f>IF('Données projet'!$A$36&gt;35,N17+M18-V17,IF(A18&lt;'Données projet'!$A$36,$K$205^A18,IF(A18='Données projet'!$A$36,'Données projet'!$B$36,N17+M18-V17)))</f>
        <v>51.73377096531113</v>
      </c>
      <c r="O18" s="14">
        <f>N18*VLOOKUP('Données projet'!$B$9,Paramètres!$A$1:$I$89,3,0)*VLOOKUP('Données projet'!$B$9,Paramètres!$A$1:$I$89,5,0)</f>
        <v>28.919177969608924</v>
      </c>
      <c r="P18" s="14">
        <f t="shared" si="33"/>
        <v>9.0085722278754812</v>
      </c>
      <c r="Q18" s="22">
        <f t="shared" si="2"/>
        <v>66.057498260618672</v>
      </c>
      <c r="R18" s="62">
        <f t="shared" si="0"/>
        <v>359.39083159395199</v>
      </c>
      <c r="S18" s="62">
        <f ca="1">AVERAGE(OFFSET($R$3,0,0,'Données projet'!$E$9+1,1))-AVERAGE(OFFSET($H$3,0,0,'Données projet'!$E$9+1,1))</f>
        <v>256.47911362806866</v>
      </c>
      <c r="T18" s="62">
        <f t="shared" si="34"/>
        <v>230.93438491511529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60</v>
      </c>
      <c r="AG18" s="13">
        <f>VLOOKUP(A18,'Données projet'!$A$61:$I$81,9,0)</f>
        <v>7.4</v>
      </c>
      <c r="AH18" s="13">
        <f t="array" ref="AH18">INDEX(AG:AG,MIN(IF(ISNUMBER(AG18:AG214),ROW(AG18:AG214),"")))</f>
        <v>7.4</v>
      </c>
      <c r="AI18" s="14">
        <f>IF('Données projet'!$A$62&gt;35,AI17+AH18-AQ17,IF(A18&lt;'Données projet'!$A$62,$AF$205^A18,IF(A18='Données projet'!$A$62,'Données projet'!$B$62,AI17+AH18-AQ17)))</f>
        <v>59.999999999999993</v>
      </c>
      <c r="AJ18" s="14">
        <f>AI18*VLOOKUP('Données projet'!$B$10,Paramètres!$A$1:$I$89,3,0)*VLOOKUP('Données projet'!$B$10,Paramètres!$A$1:$I$89,5,0)</f>
        <v>52.416000000000004</v>
      </c>
      <c r="AK18" s="14">
        <f t="shared" si="35"/>
        <v>15.235978301273029</v>
      </c>
      <c r="AL18" s="22">
        <f t="shared" si="4"/>
        <v>117.82719554138386</v>
      </c>
      <c r="AM18" s="62">
        <f t="shared" si="5"/>
        <v>411.16052887471716</v>
      </c>
      <c r="AN18" s="62">
        <f ca="1">AVERAGE(OFFSET($AM$3,0,0,'Données projet'!$E$10+1,1))-AVERAGE(OFFSET($H$3,0,0,'Données projet'!$E$10+1,1))</f>
        <v>255.68195973350799</v>
      </c>
      <c r="AO18" s="62">
        <f t="shared" si="36"/>
        <v>269.20928353552461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360.54113172026808</v>
      </c>
      <c r="BI18" s="62">
        <f ca="1">AVERAGE(OFFSET($BH$3,0,0,'Données projet'!$E$11+1,1))-AVERAGE(OFFSET($H$3,0,0,'Données projet'!$E$11+1,1))</f>
        <v>243.51680047412441</v>
      </c>
      <c r="BJ18" s="62">
        <f t="shared" si="38"/>
        <v>224.00025638752402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27.128400000000003</v>
      </c>
      <c r="CA18" s="14">
        <f t="shared" si="39"/>
        <v>8.5138436537878839</v>
      </c>
      <c r="CB18" s="22">
        <f t="shared" si="10"/>
        <v>62.076907697013901</v>
      </c>
      <c r="CC18" s="62">
        <f t="shared" si="11"/>
        <v>355.41024103034721</v>
      </c>
      <c r="CD18" s="62">
        <f ca="1">AVERAGE(OFFSET($CC$3,0,0,'Données projet'!$E$12+1,1))-AVERAGE(OFFSET($H$3,0,0,'Données projet'!$E$12+1,1))</f>
        <v>221.4629402571224</v>
      </c>
      <c r="CE18" s="62">
        <f t="shared" si="40"/>
        <v>204.26941562549416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42.307692307692307</v>
      </c>
      <c r="CR18" s="13">
        <f>VLOOKUP(A18,'Données projet'!$A$139:$I$159,9,0)</f>
        <v>2.8205128205128203</v>
      </c>
      <c r="CS18" s="13">
        <f t="array" ref="CS18">INDEX(CR:CR,MIN(IF(ISNUMBER(CR18:CR214),ROW(CR18:CR214),"")))</f>
        <v>2.8205128205128203</v>
      </c>
      <c r="CT18" s="13">
        <f>IF('Données projet'!$A$140&gt;35,CT17+CS18-DB17,IF(A18&lt;'Données projet'!$A$140,$CQ$205^A18,IF(A18='Données projet'!$A$140,'Données projet'!$B$140,CT17+CS18-DB17)))</f>
        <v>42.307692307692307</v>
      </c>
      <c r="CU18" s="18">
        <f>CT18*VLOOKUP('Données projet'!$B$13,Paramètres!$A$1:$I$89,3,0)*VLOOKUP('Données projet'!$B$13,Paramètres!$A$1:$I$89,5,0)</f>
        <v>44.22</v>
      </c>
      <c r="CV18" s="14">
        <f t="shared" si="41"/>
        <v>13.110546100999768</v>
      </c>
      <c r="CW18" s="22">
        <f t="shared" si="13"/>
        <v>99.850701125907918</v>
      </c>
      <c r="CX18" s="62">
        <f t="shared" si="14"/>
        <v>393.18403445924122</v>
      </c>
      <c r="CY18" s="62">
        <f ca="1">AVERAGE(OFFSET($CX$3,0,0,'Données projet'!$E$13+1,1))-AVERAGE(OFFSET($H$3,0,0,'Données projet'!$E$13+1,1))</f>
        <v>492.66134897013183</v>
      </c>
      <c r="CZ18" s="62">
        <f t="shared" si="42"/>
        <v>307.87428858945862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7.7987854251012134</v>
      </c>
      <c r="N19" s="14">
        <f>IF('Données projet'!$A$36&gt;35,N18+M19-V18,IF(A19&lt;'Données projet'!$A$36,$K$205^A19,IF(A19='Données projet'!$A$36,'Données projet'!$B$36,N18+M19-V18)))</f>
        <v>67.301655174387619</v>
      </c>
      <c r="O19" s="14">
        <f>N19*VLOOKUP('Données projet'!$B$9,Paramètres!$A$1:$I$89,3,0)*VLOOKUP('Données projet'!$B$9,Paramètres!$A$1:$I$89,5,0)</f>
        <v>37.621625242482679</v>
      </c>
      <c r="P19" s="14">
        <f t="shared" si="33"/>
        <v>11.366027087122298</v>
      </c>
      <c r="Q19" s="22">
        <f t="shared" si="2"/>
        <v>85.320161140728672</v>
      </c>
      <c r="R19" s="62">
        <f t="shared" si="0"/>
        <v>378.65349447406197</v>
      </c>
      <c r="S19" s="62">
        <f ca="1">AVERAGE(OFFSET($R$3,0,0,'Données projet'!$E$9+1,1))-AVERAGE(OFFSET($H$3,0,0,'Données projet'!$E$9+1,1))</f>
        <v>256.47911362806866</v>
      </c>
      <c r="T19" s="62">
        <f t="shared" si="34"/>
        <v>230.93438491511529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69.599999999999994</v>
      </c>
      <c r="AJ19" s="14">
        <f>AI19*VLOOKUP('Données projet'!$B$10,Paramètres!$A$1:$I$89,3,0)*VLOOKUP('Données projet'!$B$10,Paramètres!$A$1:$I$89,5,0)</f>
        <v>60.80256</v>
      </c>
      <c r="AK19" s="14">
        <f t="shared" si="35"/>
        <v>17.371024177726472</v>
      </c>
      <c r="AL19" s="22">
        <f t="shared" si="4"/>
        <v>136.15232577620694</v>
      </c>
      <c r="AM19" s="62">
        <f t="shared" si="5"/>
        <v>429.48565910954028</v>
      </c>
      <c r="AN19" s="62">
        <f ca="1">AVERAGE(OFFSET($AM$3,0,0,'Données projet'!$E$10+1,1))-AVERAGE(OFFSET($H$3,0,0,'Données projet'!$E$10+1,1))</f>
        <v>255.68195973350799</v>
      </c>
      <c r="AO19" s="62">
        <f t="shared" si="36"/>
        <v>269.20928353552461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48.6</v>
      </c>
      <c r="BE19" s="14">
        <f>BD19*VLOOKUP('Données projet'!$B$11,Paramètres!$A$1:$I$89,3,0)*VLOOKUP('Données projet'!$B$11,Paramètres!$A$1:$I$89,5,0)</f>
        <v>38.666160000000005</v>
      </c>
      <c r="BF19" s="14">
        <f t="shared" si="37"/>
        <v>11.644417682758437</v>
      </c>
      <c r="BG19" s="22">
        <f t="shared" si="7"/>
        <v>87.624256130804284</v>
      </c>
      <c r="BH19" s="62">
        <f t="shared" si="8"/>
        <v>380.95758946413758</v>
      </c>
      <c r="BI19" s="62">
        <f ca="1">AVERAGE(OFFSET($BH$3,0,0,'Données projet'!$E$11+1,1))-AVERAGE(OFFSET($H$3,0,0,'Données projet'!$E$11+1,1))</f>
        <v>243.51680047412441</v>
      </c>
      <c r="BJ19" s="62">
        <f t="shared" si="38"/>
        <v>224.00025638752402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48.6</v>
      </c>
      <c r="BZ19" s="14">
        <f>BY19*VLOOKUP('Données projet'!$B$12,Paramètres!$A$1:$I$89,3,0)*VLOOKUP('Données projet'!$B$12,Paramètres!$A$1:$I$89,5,0)</f>
        <v>35.633519999999997</v>
      </c>
      <c r="CA19" s="14">
        <f t="shared" si="39"/>
        <v>10.833640868297282</v>
      </c>
      <c r="CB19" s="22">
        <f t="shared" si="10"/>
        <v>80.930305178951087</v>
      </c>
      <c r="CC19" s="62">
        <f t="shared" si="11"/>
        <v>374.26363851228439</v>
      </c>
      <c r="CD19" s="62">
        <f ca="1">AVERAGE(OFFSET($CC$3,0,0,'Données projet'!$E$12+1,1))-AVERAGE(OFFSET($H$3,0,0,'Données projet'!$E$12+1,1))</f>
        <v>221.4629402571224</v>
      </c>
      <c r="CE19" s="62">
        <f t="shared" si="40"/>
        <v>204.26941562549416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7.4358974358974361</v>
      </c>
      <c r="CT19" s="13">
        <f>IF('Données projet'!$A$140&gt;35,CT18+CS19-DB18,IF(A19&lt;'Données projet'!$A$140,$CQ$205^A19,IF(A19='Données projet'!$A$140,'Données projet'!$B$140,CT18+CS19-DB18)))</f>
        <v>49.743589743589745</v>
      </c>
      <c r="CU19" s="18">
        <f>CT19*VLOOKUP('Données projet'!$B$13,Paramètres!$A$1:$I$89,3,0)*VLOOKUP('Données projet'!$B$13,Paramètres!$A$1:$I$89,5,0)</f>
        <v>51.992000000000012</v>
      </c>
      <c r="CV19" s="14">
        <f t="shared" si="41"/>
        <v>15.127026838938239</v>
      </c>
      <c r="CW19" s="22">
        <f t="shared" si="13"/>
        <v>116.89897174448413</v>
      </c>
      <c r="CX19" s="62">
        <f t="shared" si="14"/>
        <v>410.23230507781744</v>
      </c>
      <c r="CY19" s="62">
        <f ca="1">AVERAGE(OFFSET($CX$3,0,0,'Données projet'!$E$13+1,1))-AVERAGE(OFFSET($H$3,0,0,'Données projet'!$E$13+1,1))</f>
        <v>492.66134897013183</v>
      </c>
      <c r="CZ19" s="62">
        <f t="shared" si="42"/>
        <v>307.87428858945862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7.7987854251012134</v>
      </c>
      <c r="N20" s="14">
        <f>IF('Données projet'!$A$36&gt;35,N19+M20-V19,IF(A20&lt;'Données projet'!$A$36,$K$205^A20,IF(A20='Données projet'!$A$36,'Données projet'!$B$36,N19+M20-V19)))</f>
        <v>87.554274600421721</v>
      </c>
      <c r="O20" s="14">
        <f>N20*VLOOKUP('Données projet'!$B$9,Paramètres!$A$1:$I$89,3,0)*VLOOKUP('Données projet'!$B$9,Paramètres!$A$1:$I$89,5,0)</f>
        <v>48.942839501635746</v>
      </c>
      <c r="P20" s="14">
        <f t="shared" si="33"/>
        <v>14.340404725340607</v>
      </c>
      <c r="Q20" s="22">
        <f t="shared" si="2"/>
        <v>110.21831702865047</v>
      </c>
      <c r="R20" s="62">
        <f t="shared" si="0"/>
        <v>403.55165036198377</v>
      </c>
      <c r="S20" s="62">
        <f ca="1">AVERAGE(OFFSET($R$3,0,0,'Données projet'!$E$9+1,1))-AVERAGE(OFFSET($H$3,0,0,'Données projet'!$E$9+1,1))</f>
        <v>256.47911362806866</v>
      </c>
      <c r="T20" s="62">
        <f t="shared" si="34"/>
        <v>230.93438491511529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79.199999999999989</v>
      </c>
      <c r="AJ20" s="14">
        <f>AI20*VLOOKUP('Données projet'!$B$10,Paramètres!$A$1:$I$89,3,0)*VLOOKUP('Données projet'!$B$10,Paramètres!$A$1:$I$89,5,0)</f>
        <v>69.189120000000003</v>
      </c>
      <c r="AK20" s="14">
        <f t="shared" si="35"/>
        <v>19.471951138068807</v>
      </c>
      <c r="AL20" s="22">
        <f t="shared" si="4"/>
        <v>154.41803223213648</v>
      </c>
      <c r="AM20" s="62">
        <f t="shared" si="5"/>
        <v>447.75136556546977</v>
      </c>
      <c r="AN20" s="62">
        <f ca="1">AVERAGE(OFFSET($AM$3,0,0,'Données projet'!$E$10+1,1))-AVERAGE(OFFSET($H$3,0,0,'Données projet'!$E$10+1,1))</f>
        <v>255.68195973350799</v>
      </c>
      <c r="AO20" s="62">
        <f t="shared" si="36"/>
        <v>269.20928353552461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60.2</v>
      </c>
      <c r="BE20" s="14">
        <f>BD20*VLOOKUP('Données projet'!$B$11,Paramètres!$A$1:$I$89,3,0)*VLOOKUP('Données projet'!$B$11,Paramètres!$A$1:$I$89,5,0)</f>
        <v>47.895120000000006</v>
      </c>
      <c r="BF20" s="14">
        <f t="shared" si="37"/>
        <v>14.068812032564205</v>
      </c>
      <c r="BG20" s="22">
        <f t="shared" si="7"/>
        <v>107.92051495671599</v>
      </c>
      <c r="BH20" s="62">
        <f t="shared" si="8"/>
        <v>401.25384829004929</v>
      </c>
      <c r="BI20" s="62">
        <f ca="1">AVERAGE(OFFSET($BH$3,0,0,'Données projet'!$E$11+1,1))-AVERAGE(OFFSET($H$3,0,0,'Données projet'!$E$11+1,1))</f>
        <v>243.51680047412441</v>
      </c>
      <c r="BJ20" s="62">
        <f t="shared" si="38"/>
        <v>224.00025638752402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60.2</v>
      </c>
      <c r="BZ20" s="14">
        <f>BY20*VLOOKUP('Données projet'!$B$12,Paramètres!$A$1:$I$89,3,0)*VLOOKUP('Données projet'!$B$12,Paramètres!$A$1:$I$89,5,0)</f>
        <v>44.138640000000002</v>
      </c>
      <c r="CA20" s="14">
        <f t="shared" si="39"/>
        <v>13.089229634046784</v>
      </c>
      <c r="CB20" s="22">
        <f t="shared" si="10"/>
        <v>99.671872945964807</v>
      </c>
      <c r="CC20" s="62">
        <f t="shared" si="11"/>
        <v>393.00520627929814</v>
      </c>
      <c r="CD20" s="62">
        <f ca="1">AVERAGE(OFFSET($CC$3,0,0,'Données projet'!$E$12+1,1))-AVERAGE(OFFSET($H$3,0,0,'Données projet'!$E$12+1,1))</f>
        <v>221.4629402571224</v>
      </c>
      <c r="CE20" s="62">
        <f t="shared" si="40"/>
        <v>204.26941562549416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7.4358974358974361</v>
      </c>
      <c r="CT20" s="13">
        <f>IF('Données projet'!$A$140&gt;35,CT19+CS20-DB19,IF(A20&lt;'Données projet'!$A$140,$CQ$205^A20,IF(A20='Données projet'!$A$140,'Données projet'!$B$140,CT19+CS20-DB19)))</f>
        <v>57.179487179487182</v>
      </c>
      <c r="CU20" s="18">
        <f>CT20*VLOOKUP('Données projet'!$B$13,Paramètres!$A$1:$I$89,3,0)*VLOOKUP('Données projet'!$B$13,Paramètres!$A$1:$I$89,5,0)</f>
        <v>59.76400000000001</v>
      </c>
      <c r="CV20" s="14">
        <f t="shared" si="41"/>
        <v>17.108587128719051</v>
      </c>
      <c r="CW20" s="22">
        <f t="shared" si="13"/>
        <v>133.88642258251903</v>
      </c>
      <c r="CX20" s="62">
        <f t="shared" si="14"/>
        <v>427.21975591585237</v>
      </c>
      <c r="CY20" s="62">
        <f ca="1">AVERAGE(OFFSET($CX$3,0,0,'Données projet'!$E$13+1,1))-AVERAGE(OFFSET($H$3,0,0,'Données projet'!$E$13+1,1))</f>
        <v>492.66134897013183</v>
      </c>
      <c r="CZ20" s="62">
        <f t="shared" si="42"/>
        <v>307.87428858945862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7.7987854251012134</v>
      </c>
      <c r="N21" s="14">
        <f>IF('Données projet'!$A$36&gt;35,N20+M21-V20,IF(A21&lt;'Données projet'!$A$36,$K$205^A21,IF(A21='Données projet'!$A$36,'Données projet'!$B$36,N20+M21-V20)))</f>
        <v>113.90137405897467</v>
      </c>
      <c r="O21" s="14">
        <f>N21*VLOOKUP('Données projet'!$B$9,Paramètres!$A$1:$I$89,3,0)*VLOOKUP('Données projet'!$B$9,Paramètres!$A$1:$I$89,5,0)</f>
        <v>63.670868098966835</v>
      </c>
      <c r="P21" s="14">
        <f t="shared" si="33"/>
        <v>18.093147773646375</v>
      </c>
      <c r="Q21" s="22">
        <f t="shared" si="2"/>
        <v>142.40566097813468</v>
      </c>
      <c r="R21" s="62">
        <f t="shared" si="0"/>
        <v>435.73899431146799</v>
      </c>
      <c r="S21" s="62">
        <f ca="1">AVERAGE(OFFSET($R$3,0,0,'Données projet'!$E$9+1,1))-AVERAGE(OFFSET($H$3,0,0,'Données projet'!$E$9+1,1))</f>
        <v>256.47911362806866</v>
      </c>
      <c r="T21" s="62">
        <f t="shared" si="34"/>
        <v>230.93438491511529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88.799999999999983</v>
      </c>
      <c r="AJ21" s="14">
        <f>AI21*VLOOKUP('Données projet'!$B$10,Paramètres!$A$1:$I$89,3,0)*VLOOKUP('Données projet'!$B$10,Paramètres!$A$1:$I$89,5,0)</f>
        <v>77.575679999999991</v>
      </c>
      <c r="AK21" s="14">
        <f t="shared" si="35"/>
        <v>21.543367858551072</v>
      </c>
      <c r="AL21" s="22">
        <f t="shared" si="4"/>
        <v>172.63234168697639</v>
      </c>
      <c r="AM21" s="62">
        <f t="shared" si="5"/>
        <v>465.96567502030973</v>
      </c>
      <c r="AN21" s="62">
        <f ca="1">AVERAGE(OFFSET($AM$3,0,0,'Données projet'!$E$10+1,1))-AVERAGE(OFFSET($H$3,0,0,'Données projet'!$E$10+1,1))</f>
        <v>255.68195973350799</v>
      </c>
      <c r="AO21" s="62">
        <f t="shared" si="36"/>
        <v>269.20928353552461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71.8</v>
      </c>
      <c r="BE21" s="14">
        <f>BD21*VLOOKUP('Données projet'!$B$11,Paramètres!$A$1:$I$89,3,0)*VLOOKUP('Données projet'!$B$11,Paramètres!$A$1:$I$89,5,0)</f>
        <v>57.124080000000006</v>
      </c>
      <c r="BF21" s="14">
        <f t="shared" si="37"/>
        <v>16.439080665003988</v>
      </c>
      <c r="BG21" s="22">
        <f t="shared" si="7"/>
        <v>128.12250482488196</v>
      </c>
      <c r="BH21" s="62">
        <f t="shared" si="8"/>
        <v>421.45583815821527</v>
      </c>
      <c r="BI21" s="62">
        <f ca="1">AVERAGE(OFFSET($BH$3,0,0,'Données projet'!$E$11+1,1))-AVERAGE(OFFSET($H$3,0,0,'Données projet'!$E$11+1,1))</f>
        <v>243.51680047412441</v>
      </c>
      <c r="BJ21" s="62">
        <f t="shared" si="38"/>
        <v>224.00025638752402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71.8</v>
      </c>
      <c r="BZ21" s="14">
        <f>BY21*VLOOKUP('Données projet'!$B$12,Paramètres!$A$1:$I$89,3,0)*VLOOKUP('Données projet'!$B$12,Paramètres!$A$1:$I$89,5,0)</f>
        <v>52.643759999999993</v>
      </c>
      <c r="CA21" s="14">
        <f t="shared" si="39"/>
        <v>15.294461344625528</v>
      </c>
      <c r="CB21" s="22">
        <f t="shared" si="10"/>
        <v>118.32573550855612</v>
      </c>
      <c r="CC21" s="62">
        <f t="shared" si="11"/>
        <v>411.65906884188945</v>
      </c>
      <c r="CD21" s="62">
        <f ca="1">AVERAGE(OFFSET($CC$3,0,0,'Données projet'!$E$12+1,1))-AVERAGE(OFFSET($H$3,0,0,'Données projet'!$E$12+1,1))</f>
        <v>221.4629402571224</v>
      </c>
      <c r="CE21" s="62">
        <f t="shared" si="40"/>
        <v>204.26941562549416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7.4358974358974361</v>
      </c>
      <c r="CT21" s="13">
        <f>IF('Données projet'!$A$140&gt;35,CT20+CS21-DB20,IF(A21&lt;'Données projet'!$A$140,$CQ$205^A21,IF(A21='Données projet'!$A$140,'Données projet'!$B$140,CT20+CS21-DB20)))</f>
        <v>64.615384615384613</v>
      </c>
      <c r="CU21" s="18">
        <f>CT21*VLOOKUP('Données projet'!$B$13,Paramètres!$A$1:$I$89,3,0)*VLOOKUP('Données projet'!$B$13,Paramètres!$A$1:$I$89,5,0)</f>
        <v>67.536000000000001</v>
      </c>
      <c r="CV21" s="14">
        <f t="shared" si="41"/>
        <v>19.060289237119235</v>
      </c>
      <c r="CW21" s="22">
        <f t="shared" si="13"/>
        <v>150.82187042131599</v>
      </c>
      <c r="CX21" s="62">
        <f t="shared" si="14"/>
        <v>444.15520375464928</v>
      </c>
      <c r="CY21" s="62">
        <f ca="1">AVERAGE(OFFSET($CX$3,0,0,'Données projet'!$E$13+1,1))-AVERAGE(OFFSET($H$3,0,0,'Données projet'!$E$13+1,1))</f>
        <v>492.66134897013183</v>
      </c>
      <c r="CZ21" s="62">
        <f t="shared" si="42"/>
        <v>307.87428858945862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148.17692307692306</v>
      </c>
      <c r="L22" s="13">
        <f>VLOOKUP(A22,'Données projet'!$A$35:$I$55,9,0)</f>
        <v>7.7987854251012134</v>
      </c>
      <c r="M22" s="13">
        <f t="array" ref="M22">INDEX(L:L,MIN(IF(ISNUMBER(L22:L218),ROW(L22:L218),"")))</f>
        <v>7.7987854251012134</v>
      </c>
      <c r="N22" s="14">
        <f>IF('Données projet'!$A$36&gt;35,N21+M22-V21,IF(A22&lt;'Données projet'!$A$36,$K$205^A22,IF(A22='Données projet'!$A$36,'Données projet'!$B$36,N21+M22-V21)))</f>
        <v>148.17692307692306</v>
      </c>
      <c r="O22" s="14">
        <f>N22*VLOOKUP('Données projet'!$B$9,Paramètres!$A$1:$I$89,3,0)*VLOOKUP('Données projet'!$B$9,Paramètres!$A$1:$I$89,5,0)</f>
        <v>82.830899999999986</v>
      </c>
      <c r="P22" s="14">
        <f t="shared" si="33"/>
        <v>22.827946813839315</v>
      </c>
      <c r="Q22" s="22">
        <f t="shared" si="2"/>
        <v>184.02249153410344</v>
      </c>
      <c r="R22" s="62">
        <f t="shared" si="0"/>
        <v>477.35582486743675</v>
      </c>
      <c r="S22" s="62">
        <f ca="1">AVERAGE(OFFSET($R$3,0,0,'Données projet'!$E$9+1,1))-AVERAGE(OFFSET($H$3,0,0,'Données projet'!$E$9+1,1))</f>
        <v>256.47911362806866</v>
      </c>
      <c r="T22" s="62">
        <f t="shared" si="34"/>
        <v>230.93438491511529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98.399999999999977</v>
      </c>
      <c r="AJ22" s="14">
        <f>AI22*VLOOKUP('Données projet'!$B$10,Paramètres!$A$1:$I$89,3,0)*VLOOKUP('Données projet'!$B$10,Paramètres!$A$1:$I$89,5,0)</f>
        <v>85.962239999999994</v>
      </c>
      <c r="AK22" s="14">
        <f t="shared" si="35"/>
        <v>23.588828321049387</v>
      </c>
      <c r="AL22" s="22">
        <f t="shared" si="4"/>
        <v>190.80144399249434</v>
      </c>
      <c r="AM22" s="62">
        <f t="shared" si="5"/>
        <v>484.13477732582766</v>
      </c>
      <c r="AN22" s="62">
        <f ca="1">AVERAGE(OFFSET($AM$3,0,0,'Données projet'!$E$10+1,1))-AVERAGE(OFFSET($H$3,0,0,'Données projet'!$E$10+1,1))</f>
        <v>255.68195973350799</v>
      </c>
      <c r="AO22" s="62">
        <f t="shared" si="36"/>
        <v>269.20928353552461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83.399999999999991</v>
      </c>
      <c r="BE22" s="14">
        <f>BD22*VLOOKUP('Données projet'!$B$11,Paramètres!$A$1:$I$89,3,0)*VLOOKUP('Données projet'!$B$11,Paramètres!$A$1:$I$89,5,0)</f>
        <v>66.353040000000007</v>
      </c>
      <c r="BF22" s="14">
        <f t="shared" si="37"/>
        <v>18.76498795231873</v>
      </c>
      <c r="BG22" s="22">
        <f t="shared" si="7"/>
        <v>148.24723201695511</v>
      </c>
      <c r="BH22" s="62">
        <f t="shared" si="8"/>
        <v>441.58056535028845</v>
      </c>
      <c r="BI22" s="62">
        <f ca="1">AVERAGE(OFFSET($BH$3,0,0,'Données projet'!$E$11+1,1))-AVERAGE(OFFSET($H$3,0,0,'Données projet'!$E$11+1,1))</f>
        <v>243.51680047412441</v>
      </c>
      <c r="BJ22" s="62">
        <f t="shared" si="38"/>
        <v>224.00025638752402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83.399999999999991</v>
      </c>
      <c r="BZ22" s="14">
        <f>BY22*VLOOKUP('Données projet'!$B$12,Paramètres!$A$1:$I$89,3,0)*VLOOKUP('Données projet'!$B$12,Paramètres!$A$1:$I$89,5,0)</f>
        <v>61.148879999999991</v>
      </c>
      <c r="CA22" s="14">
        <f t="shared" si="39"/>
        <v>17.458420499151</v>
      </c>
      <c r="CB22" s="22">
        <f t="shared" si="10"/>
        <v>136.9077150360213</v>
      </c>
      <c r="CC22" s="62">
        <f t="shared" si="11"/>
        <v>430.24104836935464</v>
      </c>
      <c r="CD22" s="62">
        <f ca="1">AVERAGE(OFFSET($CC$3,0,0,'Données projet'!$E$12+1,1))-AVERAGE(OFFSET($H$3,0,0,'Données projet'!$E$12+1,1))</f>
        <v>221.4629402571224</v>
      </c>
      <c r="CE22" s="62">
        <f t="shared" si="40"/>
        <v>204.26941562549416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7.4358974358974361</v>
      </c>
      <c r="CT22" s="13">
        <f>IF('Données projet'!$A$140&gt;35,CT21+CS22-DB21,IF(A22&lt;'Données projet'!$A$140,$CQ$205^A22,IF(A22='Données projet'!$A$140,'Données projet'!$B$140,CT21+CS22-DB21)))</f>
        <v>72.051282051282044</v>
      </c>
      <c r="CU22" s="18">
        <f>CT22*VLOOKUP('Données projet'!$B$13,Paramètres!$A$1:$I$89,3,0)*VLOOKUP('Données projet'!$B$13,Paramètres!$A$1:$I$89,5,0)</f>
        <v>75.308000000000007</v>
      </c>
      <c r="CV22" s="14">
        <f t="shared" si="41"/>
        <v>20.985961565400835</v>
      </c>
      <c r="CW22" s="22">
        <f t="shared" si="13"/>
        <v>167.71198305973982</v>
      </c>
      <c r="CX22" s="62">
        <f t="shared" si="14"/>
        <v>461.04531639307311</v>
      </c>
      <c r="CY22" s="62">
        <f ca="1">AVERAGE(OFFSET($CX$3,0,0,'Données projet'!$E$13+1,1))-AVERAGE(OFFSET($H$3,0,0,'Données projet'!$E$13+1,1))</f>
        <v>492.66134897013183</v>
      </c>
      <c r="CZ22" s="62">
        <f t="shared" si="42"/>
        <v>307.87428858945862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15.942307692307708</v>
      </c>
      <c r="N23" s="14">
        <f>IF('Données projet'!$A$36&gt;35,N22+M23-V22,IF(A23&lt;'Données projet'!$A$36,$K$205^A23,IF(A23='Données projet'!$A$36,'Données projet'!$B$36,N22+M23-V22)))</f>
        <v>164.11923076923077</v>
      </c>
      <c r="O23" s="14">
        <f>N23*VLOOKUP('Données projet'!$B$9,Paramètres!$A$1:$I$89,3,0)*VLOOKUP('Données projet'!$B$9,Paramètres!$A$1:$I$89,5,0)</f>
        <v>91.742650000000012</v>
      </c>
      <c r="P23" s="14">
        <f t="shared" si="33"/>
        <v>24.985039964008102</v>
      </c>
      <c r="Q23" s="22">
        <f t="shared" si="2"/>
        <v>203.3007266873141</v>
      </c>
      <c r="R23" s="62">
        <f t="shared" si="0"/>
        <v>496.63406002064744</v>
      </c>
      <c r="S23" s="62">
        <f ca="1">AVERAGE(OFFSET($R$3,0,0,'Données projet'!$E$9+1,1))-AVERAGE(OFFSET($H$3,0,0,'Données projet'!$E$9+1,1))</f>
        <v>256.47911362806866</v>
      </c>
      <c r="T23" s="62">
        <f t="shared" si="34"/>
        <v>230.93438491511529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108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107.99999999999997</v>
      </c>
      <c r="AJ23" s="14">
        <f>AI23*VLOOKUP('Données projet'!$B$10,Paramètres!$A$1:$I$89,3,0)*VLOOKUP('Données projet'!$B$10,Paramètres!$A$1:$I$89,5,0)</f>
        <v>94.348799999999983</v>
      </c>
      <c r="AK23" s="14">
        <f t="shared" si="35"/>
        <v>25.611153022386461</v>
      </c>
      <c r="AL23" s="22">
        <f t="shared" si="4"/>
        <v>208.9302515139897</v>
      </c>
      <c r="AM23" s="62">
        <f t="shared" si="5"/>
        <v>502.26358484732305</v>
      </c>
      <c r="AN23" s="62">
        <f ca="1">AVERAGE(OFFSET($AM$3,0,0,'Données projet'!$E$10+1,1))-AVERAGE(OFFSET($H$3,0,0,'Données projet'!$E$10+1,1))</f>
        <v>255.68195973350799</v>
      </c>
      <c r="AO23" s="62">
        <f t="shared" si="36"/>
        <v>269.20928353552461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94.999999999999986</v>
      </c>
      <c r="BE23" s="14">
        <f>BD23*VLOOKUP('Données projet'!$B$11,Paramètres!$A$1:$I$89,3,0)*VLOOKUP('Données projet'!$B$11,Paramètres!$A$1:$I$89,5,0)</f>
        <v>75.581999999999994</v>
      </c>
      <c r="BF23" s="14">
        <f t="shared" si="37"/>
        <v>21.053414706764119</v>
      </c>
      <c r="BG23" s="22">
        <f t="shared" si="7"/>
        <v>168.30668061428082</v>
      </c>
      <c r="BH23" s="62">
        <f t="shared" si="8"/>
        <v>461.64001394761414</v>
      </c>
      <c r="BI23" s="62">
        <f ca="1">AVERAGE(OFFSET($BH$3,0,0,'Données projet'!$E$11+1,1))-AVERAGE(OFFSET($H$3,0,0,'Données projet'!$E$11+1,1))</f>
        <v>243.51680047412441</v>
      </c>
      <c r="BJ23" s="62">
        <f t="shared" si="38"/>
        <v>224.00025638752402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94.999999999999986</v>
      </c>
      <c r="BZ23" s="14">
        <f>BY23*VLOOKUP('Données projet'!$B$12,Paramètres!$A$1:$I$89,3,0)*VLOOKUP('Données projet'!$B$12,Paramètres!$A$1:$I$89,5,0)</f>
        <v>69.653999999999982</v>
      </c>
      <c r="CA23" s="14">
        <f t="shared" si="39"/>
        <v>19.587508813096782</v>
      </c>
      <c r="CB23" s="22">
        <f t="shared" si="10"/>
        <v>155.42896118281021</v>
      </c>
      <c r="CC23" s="62">
        <f t="shared" si="11"/>
        <v>448.76229451614353</v>
      </c>
      <c r="CD23" s="62">
        <f ca="1">AVERAGE(OFFSET($CC$3,0,0,'Données projet'!$E$12+1,1))-AVERAGE(OFFSET($H$3,0,0,'Données projet'!$E$12+1,1))</f>
        <v>221.4629402571224</v>
      </c>
      <c r="CE23" s="62">
        <f t="shared" si="40"/>
        <v>204.26941562549416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79.487179487179489</v>
      </c>
      <c r="CR23" s="13">
        <f>VLOOKUP(A23,'Données projet'!$A$139:$I$159,9,0)</f>
        <v>7.4358974358974361</v>
      </c>
      <c r="CS23" s="13">
        <f t="array" ref="CS23">INDEX(CR:CR,MIN(IF(ISNUMBER(CR23:CR219),ROW(CR23:CR219),"")))</f>
        <v>7.4358974358974361</v>
      </c>
      <c r="CT23" s="13">
        <f>IF('Données projet'!$A$140&gt;35,CT22+CS23-DB22,IF(A23&lt;'Données projet'!$A$140,$CQ$205^A23,IF(A23='Données projet'!$A$140,'Données projet'!$B$140,CT22+CS23-DB22)))</f>
        <v>79.487179487179475</v>
      </c>
      <c r="CU23" s="18">
        <f>CT23*VLOOKUP('Données projet'!$B$13,Paramètres!$A$1:$I$89,3,0)*VLOOKUP('Données projet'!$B$13,Paramètres!$A$1:$I$89,5,0)</f>
        <v>83.079999999999984</v>
      </c>
      <c r="CV23" s="14">
        <f t="shared" si="41"/>
        <v>22.888596418138132</v>
      </c>
      <c r="CW23" s="22">
        <f t="shared" si="13"/>
        <v>184.5619720949239</v>
      </c>
      <c r="CX23" s="62">
        <f t="shared" si="14"/>
        <v>477.89530542825719</v>
      </c>
      <c r="CY23" s="62">
        <f ca="1">AVERAGE(OFFSET($CX$3,0,0,'Données projet'!$E$13+1,1))-AVERAGE(OFFSET($H$3,0,0,'Données projet'!$E$13+1,1))</f>
        <v>492.66134897013183</v>
      </c>
      <c r="CZ23" s="62">
        <f t="shared" si="42"/>
        <v>307.87428858945862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12.820512820512819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180.06153846153848</v>
      </c>
      <c r="L24" s="13">
        <f>VLOOKUP(A24,'Données projet'!$A$35:$I$55,9,0)</f>
        <v>15.942307692307708</v>
      </c>
      <c r="M24" s="13">
        <f t="array" ref="M24">INDEX(L:L,MIN(IF(ISNUMBER(L24:L220),ROW(L24:L220),"")))</f>
        <v>15.942307692307708</v>
      </c>
      <c r="N24" s="14">
        <f>IF('Données projet'!$A$36&gt;35,N23+M24-V23,IF(A24&lt;'Données projet'!$A$36,$K$205^A24,IF(A24='Données projet'!$A$36,'Données projet'!$B$36,N23+M24-V23)))</f>
        <v>180.06153846153848</v>
      </c>
      <c r="O24" s="14">
        <f>N24*VLOOKUP('Données projet'!$B$9,Paramètres!$A$1:$I$89,3,0)*VLOOKUP('Données projet'!$B$9,Paramètres!$A$1:$I$89,5,0)</f>
        <v>100.65440000000001</v>
      </c>
      <c r="P24" s="14">
        <f t="shared" si="33"/>
        <v>27.117840091618859</v>
      </c>
      <c r="Q24" s="22">
        <f t="shared" si="2"/>
        <v>222.53665149290285</v>
      </c>
      <c r="R24" s="62">
        <f t="shared" si="0"/>
        <v>515.86998482623619</v>
      </c>
      <c r="S24" s="62">
        <f ca="1">AVERAGE(OFFSET($R$3,0,0,'Données projet'!$E$9+1,1))-AVERAGE(OFFSET($H$3,0,0,'Données projet'!$E$9+1,1))</f>
        <v>256.47911362806866</v>
      </c>
      <c r="T24" s="62">
        <f t="shared" si="34"/>
        <v>230.93438491511529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61.169230769230765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0.11000000000000001</v>
      </c>
      <c r="Y24" s="17">
        <f>IF(ISNA(VLOOKUP(A24,'Données projet'!$A$35:$I$55,7,0)),0%,VLOOKUP(A24,'Données projet'!$A$35:$I$55,7,0))</f>
        <v>0.4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4.9699556173792603</v>
      </c>
      <c r="AB24" s="23">
        <f>EXP(-LN(2)/2)*AB23+(1-EXP(-LN(2)/2))/(LN(2)/2)*V24*Y24*VLOOKUP('Données projet'!$B$9,Paramètres!$A$1:$I$89,3,0)*0.475*44/12</f>
        <v>15.486039315480385</v>
      </c>
      <c r="AC24" s="24">
        <f t="shared" si="3"/>
        <v>20.455994932859646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76.199999999999974</v>
      </c>
      <c r="AJ24" s="14">
        <f>AI24*VLOOKUP('Données projet'!$B$10,Paramètres!$A$1:$I$89,3,0)*VLOOKUP('Données projet'!$B$10,Paramètres!$A$1:$I$89,5,0)</f>
        <v>66.568319999999986</v>
      </c>
      <c r="AK24" s="14">
        <f t="shared" si="35"/>
        <v>18.818773418977681</v>
      </c>
      <c r="AL24" s="22">
        <f t="shared" si="4"/>
        <v>148.71585437138609</v>
      </c>
      <c r="AM24" s="62">
        <f t="shared" si="5"/>
        <v>442.04918770471943</v>
      </c>
      <c r="AN24" s="62">
        <f ca="1">AVERAGE(OFFSET($AM$3,0,0,'Données projet'!$E$10+1,1))-AVERAGE(OFFSET($H$3,0,0,'Données projet'!$E$10+1,1))</f>
        <v>255.68195973350799</v>
      </c>
      <c r="AO24" s="62">
        <f t="shared" si="36"/>
        <v>269.20928353552461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107.59999999999998</v>
      </c>
      <c r="BE24" s="14">
        <f>BD24*VLOOKUP('Données projet'!$B$11,Paramètres!$A$1:$I$89,3,0)*VLOOKUP('Données projet'!$B$11,Paramètres!$A$1:$I$89,5,0)</f>
        <v>85.606559999999988</v>
      </c>
      <c r="BF24" s="14">
        <f t="shared" si="37"/>
        <v>23.502566518382313</v>
      </c>
      <c r="BG24" s="22">
        <f t="shared" si="7"/>
        <v>190.0317286861825</v>
      </c>
      <c r="BH24" s="62">
        <f t="shared" si="8"/>
        <v>483.36506201951579</v>
      </c>
      <c r="BI24" s="62">
        <f ca="1">AVERAGE(OFFSET($BH$3,0,0,'Données projet'!$E$11+1,1))-AVERAGE(OFFSET($H$3,0,0,'Données projet'!$E$11+1,1))</f>
        <v>243.51680047412441</v>
      </c>
      <c r="BJ24" s="62">
        <f t="shared" si="38"/>
        <v>224.00025638752402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107.59999999999998</v>
      </c>
      <c r="BZ24" s="14">
        <f>BY24*VLOOKUP('Données projet'!$B$12,Paramètres!$A$1:$I$89,3,0)*VLOOKUP('Données projet'!$B$12,Paramètres!$A$1:$I$89,5,0)</f>
        <v>78.892319999999984</v>
      </c>
      <c r="CA24" s="14">
        <f t="shared" si="39"/>
        <v>21.866131229595826</v>
      </c>
      <c r="CB24" s="22">
        <f t="shared" si="10"/>
        <v>175.48763589154603</v>
      </c>
      <c r="CC24" s="62">
        <f t="shared" si="11"/>
        <v>468.82096922487938</v>
      </c>
      <c r="CD24" s="62">
        <f ca="1">AVERAGE(OFFSET($CC$3,0,0,'Données projet'!$E$12+1,1))-AVERAGE(OFFSET($H$3,0,0,'Données projet'!$E$12+1,1))</f>
        <v>221.4629402571224</v>
      </c>
      <c r="CE24" s="62">
        <f t="shared" si="40"/>
        <v>204.26941562549416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8.2051282051282044</v>
      </c>
      <c r="CT24" s="13">
        <f>IF('Données projet'!$A$140&gt;35,CT23+CS24-DB23,IF(A24&lt;'Données projet'!$A$140,$CQ$205^A24,IF(A24='Données projet'!$A$140,'Données projet'!$B$140,CT23+CS24-DB23)))</f>
        <v>74.871794871794862</v>
      </c>
      <c r="CU24" s="18">
        <f>CT24*VLOOKUP('Données projet'!$B$13,Paramètres!$A$1:$I$89,3,0)*VLOOKUP('Données projet'!$B$13,Paramètres!$A$1:$I$89,5,0)</f>
        <v>78.256</v>
      </c>
      <c r="CV24" s="14">
        <f t="shared" si="41"/>
        <v>21.710221600850431</v>
      </c>
      <c r="CW24" s="22">
        <f t="shared" si="13"/>
        <v>174.1078359548145</v>
      </c>
      <c r="CX24" s="62">
        <f t="shared" si="14"/>
        <v>467.44116928814782</v>
      </c>
      <c r="CY24" s="62">
        <f ca="1">AVERAGE(OFFSET($CX$3,0,0,'Données projet'!$E$13+1,1))-AVERAGE(OFFSET($H$3,0,0,'Données projet'!$E$13+1,1))</f>
        <v>492.66134897013183</v>
      </c>
      <c r="CZ24" s="62">
        <f t="shared" si="42"/>
        <v>307.87428858945862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16.687912087912085</v>
      </c>
      <c r="N25" s="14">
        <f>IF('Données projet'!$A$36&gt;35,N24+M25-V24,IF(A25&lt;'Données projet'!$A$36,$K$205^A25,IF(A25='Données projet'!$A$36,'Données projet'!$B$36,N24+M25-V24)))</f>
        <v>135.58021978021981</v>
      </c>
      <c r="O25" s="14">
        <f>N25*VLOOKUP('Données projet'!$B$9,Paramètres!$A$1:$I$89,3,0)*VLOOKUP('Données projet'!$B$9,Paramètres!$A$1:$I$89,5,0)</f>
        <v>75.78934285714287</v>
      </c>
      <c r="P25" s="14">
        <f t="shared" si="33"/>
        <v>21.104439314832948</v>
      </c>
      <c r="Q25" s="22">
        <f t="shared" si="2"/>
        <v>168.7566706161912</v>
      </c>
      <c r="R25" s="62">
        <f t="shared" si="0"/>
        <v>462.09000394952454</v>
      </c>
      <c r="S25" s="62">
        <f ca="1">AVERAGE(OFFSET($R$3,0,0,'Données projet'!$E$9+1,1))-AVERAGE(OFFSET($H$3,0,0,'Données projet'!$E$9+1,1))</f>
        <v>256.47911362806866</v>
      </c>
      <c r="T25" s="62">
        <f t="shared" si="34"/>
        <v>230.93438491511529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4.8340519196634171</v>
      </c>
      <c r="AB25" s="23">
        <f>EXP(-LN(2)/2)*AB24+(1-EXP(-LN(2)/2))/(LN(2)/2)*V25*Y25*VLOOKUP('Données projet'!$B$9,Paramètres!$A$1:$I$89,3,0)*0.475*44/12</f>
        <v>10.950283413697662</v>
      </c>
      <c r="AC25" s="24">
        <f t="shared" si="3"/>
        <v>15.784335333361078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85.399999999999977</v>
      </c>
      <c r="AJ25" s="14">
        <f>AI25*VLOOKUP('Données projet'!$B$10,Paramètres!$A$1:$I$89,3,0)*VLOOKUP('Données projet'!$B$10,Paramètres!$A$1:$I$89,5,0)</f>
        <v>74.605439999999987</v>
      </c>
      <c r="AK25" s="14">
        <f t="shared" si="35"/>
        <v>20.81287496517584</v>
      </c>
      <c r="AL25" s="22">
        <f t="shared" si="4"/>
        <v>166.18689856434787</v>
      </c>
      <c r="AM25" s="62">
        <f t="shared" si="5"/>
        <v>459.52023189768119</v>
      </c>
      <c r="AN25" s="62">
        <f ca="1">AVERAGE(OFFSET($AM$3,0,0,'Données projet'!$E$10+1,1))-AVERAGE(OFFSET($H$3,0,0,'Données projet'!$E$10+1,1))</f>
        <v>255.68195973350799</v>
      </c>
      <c r="AO25" s="62">
        <f t="shared" si="36"/>
        <v>269.20928353552461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120.19999999999997</v>
      </c>
      <c r="BE25" s="14">
        <f>BD25*VLOOKUP('Données projet'!$B$11,Paramètres!$A$1:$I$89,3,0)*VLOOKUP('Données projet'!$B$11,Paramètres!$A$1:$I$89,5,0)</f>
        <v>95.631119999999981</v>
      </c>
      <c r="BF25" s="14">
        <f t="shared" si="37"/>
        <v>25.918481589892234</v>
      </c>
      <c r="BG25" s="22">
        <f t="shared" si="7"/>
        <v>211.69888943572892</v>
      </c>
      <c r="BH25" s="62">
        <f t="shared" si="8"/>
        <v>505.03222276906223</v>
      </c>
      <c r="BI25" s="62">
        <f ca="1">AVERAGE(OFFSET($BH$3,0,0,'Données projet'!$E$11+1,1))-AVERAGE(OFFSET($H$3,0,0,'Données projet'!$E$11+1,1))</f>
        <v>243.51680047412441</v>
      </c>
      <c r="BJ25" s="62">
        <f t="shared" si="38"/>
        <v>224.00025638752402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120.19999999999997</v>
      </c>
      <c r="BZ25" s="14">
        <f>BY25*VLOOKUP('Données projet'!$B$12,Paramètres!$A$1:$I$89,3,0)*VLOOKUP('Données projet'!$B$12,Paramètres!$A$1:$I$89,5,0)</f>
        <v>88.130639999999985</v>
      </c>
      <c r="CA25" s="14">
        <f t="shared" si="39"/>
        <v>24.113831111728981</v>
      </c>
      <c r="CB25" s="22">
        <f t="shared" si="10"/>
        <v>195.49245385292795</v>
      </c>
      <c r="CC25" s="62">
        <f t="shared" si="11"/>
        <v>488.82578718626127</v>
      </c>
      <c r="CD25" s="62">
        <f ca="1">AVERAGE(OFFSET($CC$3,0,0,'Données projet'!$E$12+1,1))-AVERAGE(OFFSET($H$3,0,0,'Données projet'!$E$12+1,1))</f>
        <v>221.4629402571224</v>
      </c>
      <c r="CE25" s="62">
        <f t="shared" si="40"/>
        <v>204.26941562549416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8.2051282051282044</v>
      </c>
      <c r="CT25" s="13">
        <f>IF('Données projet'!$A$140&gt;35,CT24+CS25-DB24,IF(A25&lt;'Données projet'!$A$140,$CQ$205^A25,IF(A25='Données projet'!$A$140,'Données projet'!$B$140,CT24+CS25-DB24)))</f>
        <v>83.076923076923066</v>
      </c>
      <c r="CU25" s="18">
        <f>CT25*VLOOKUP('Données projet'!$B$13,Paramètres!$A$1:$I$89,3,0)*VLOOKUP('Données projet'!$B$13,Paramètres!$A$1:$I$89,5,0)</f>
        <v>86.831999999999994</v>
      </c>
      <c r="CV25" s="14">
        <f t="shared" si="41"/>
        <v>23.799593531540278</v>
      </c>
      <c r="CW25" s="22">
        <f t="shared" si="13"/>
        <v>192.6833587340993</v>
      </c>
      <c r="CX25" s="62">
        <f t="shared" si="14"/>
        <v>486.01669206743259</v>
      </c>
      <c r="CY25" s="62">
        <f ca="1">AVERAGE(OFFSET($CX$3,0,0,'Données projet'!$E$13+1,1))-AVERAGE(OFFSET($H$3,0,0,'Données projet'!$E$13+1,1))</f>
        <v>492.66134897013183</v>
      </c>
      <c r="CZ25" s="62">
        <f t="shared" si="42"/>
        <v>307.87428858945862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16.687912087912085</v>
      </c>
      <c r="N26" s="14">
        <f>IF('Données projet'!$A$36&gt;35,N25+M26-V25,IF(A26&lt;'Données projet'!$A$36,$K$205^A26,IF(A26='Données projet'!$A$36,'Données projet'!$B$36,N25+M26-V25)))</f>
        <v>152.26813186813189</v>
      </c>
      <c r="O26" s="14">
        <f>N26*VLOOKUP('Données projet'!$B$9,Paramètres!$A$1:$I$89,3,0)*VLOOKUP('Données projet'!$B$9,Paramètres!$A$1:$I$89,5,0)</f>
        <v>85.11788571428572</v>
      </c>
      <c r="P26" s="14">
        <f t="shared" si="33"/>
        <v>23.383981996566973</v>
      </c>
      <c r="Q26" s="22">
        <f t="shared" si="2"/>
        <v>188.97408626306844</v>
      </c>
      <c r="R26" s="62">
        <f t="shared" si="0"/>
        <v>482.30741959640176</v>
      </c>
      <c r="S26" s="62">
        <f ca="1">AVERAGE(OFFSET($R$3,0,0,'Données projet'!$E$9+1,1))-AVERAGE(OFFSET($H$3,0,0,'Données projet'!$E$9+1,1))</f>
        <v>256.47911362806866</v>
      </c>
      <c r="T26" s="62">
        <f t="shared" si="34"/>
        <v>230.93438491511529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4.7018645157084791</v>
      </c>
      <c r="AB26" s="23">
        <f>EXP(-LN(2)/2)*AB25+(1-EXP(-LN(2)/2))/(LN(2)/2)*V26*Y26*VLOOKUP('Données projet'!$B$9,Paramètres!$A$1:$I$89,3,0)*0.475*44/12</f>
        <v>7.7430196577401933</v>
      </c>
      <c r="AC26" s="24">
        <f t="shared" si="3"/>
        <v>12.444884173448672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94.59999999999998</v>
      </c>
      <c r="AJ26" s="14">
        <f>AI26*VLOOKUP('Données projet'!$B$10,Paramètres!$A$1:$I$89,3,0)*VLOOKUP('Données projet'!$B$10,Paramètres!$A$1:$I$89,5,0)</f>
        <v>82.642559999999989</v>
      </c>
      <c r="AK26" s="14">
        <f t="shared" si="35"/>
        <v>22.782076653086197</v>
      </c>
      <c r="AL26" s="22">
        <f t="shared" si="4"/>
        <v>183.6145755041251</v>
      </c>
      <c r="AM26" s="62">
        <f t="shared" si="5"/>
        <v>476.94790883745839</v>
      </c>
      <c r="AN26" s="62">
        <f ca="1">AVERAGE(OFFSET($AM$3,0,0,'Données projet'!$E$10+1,1))-AVERAGE(OFFSET($H$3,0,0,'Données projet'!$E$10+1,1))</f>
        <v>255.68195973350799</v>
      </c>
      <c r="AO26" s="62">
        <f t="shared" si="36"/>
        <v>269.20928353552461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132.79999999999998</v>
      </c>
      <c r="BE26" s="14">
        <f>BD26*VLOOKUP('Données projet'!$B$11,Paramètres!$A$1:$I$89,3,0)*VLOOKUP('Données projet'!$B$11,Paramètres!$A$1:$I$89,5,0)</f>
        <v>105.65567999999999</v>
      </c>
      <c r="BF26" s="14">
        <f t="shared" si="37"/>
        <v>28.305040894095317</v>
      </c>
      <c r="BG26" s="22">
        <f t="shared" si="7"/>
        <v>233.31492222388263</v>
      </c>
      <c r="BH26" s="62">
        <f t="shared" si="8"/>
        <v>526.64825555721598</v>
      </c>
      <c r="BI26" s="62">
        <f ca="1">AVERAGE(OFFSET($BH$3,0,0,'Données projet'!$E$11+1,1))-AVERAGE(OFFSET($H$3,0,0,'Données projet'!$E$11+1,1))</f>
        <v>243.51680047412441</v>
      </c>
      <c r="BJ26" s="62">
        <f t="shared" si="38"/>
        <v>224.00025638752402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132.79999999999998</v>
      </c>
      <c r="BZ26" s="14">
        <f>BY26*VLOOKUP('Données projet'!$B$12,Paramètres!$A$1:$I$89,3,0)*VLOOKUP('Données projet'!$B$12,Paramètres!$A$1:$I$89,5,0)</f>
        <v>97.368959999999987</v>
      </c>
      <c r="CA26" s="14">
        <f t="shared" si="39"/>
        <v>26.334219208156696</v>
      </c>
      <c r="CB26" s="22">
        <f t="shared" si="10"/>
        <v>215.44970378753956</v>
      </c>
      <c r="CC26" s="62">
        <f t="shared" si="11"/>
        <v>508.7830371208729</v>
      </c>
      <c r="CD26" s="62">
        <f ca="1">AVERAGE(OFFSET($CC$3,0,0,'Données projet'!$E$12+1,1))-AVERAGE(OFFSET($H$3,0,0,'Données projet'!$E$12+1,1))</f>
        <v>221.4629402571224</v>
      </c>
      <c r="CE26" s="62">
        <f t="shared" si="40"/>
        <v>204.26941562549416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8.2051282051282044</v>
      </c>
      <c r="CT26" s="13">
        <f>IF('Données projet'!$A$140&gt;35,CT25+CS26-DB25,IF(A26&lt;'Données projet'!$A$140,$CQ$205^A26,IF(A26='Données projet'!$A$140,'Données projet'!$B$140,CT25+CS26-DB25)))</f>
        <v>91.28205128205127</v>
      </c>
      <c r="CU26" s="18">
        <f>CT26*VLOOKUP('Données projet'!$B$13,Paramètres!$A$1:$I$89,3,0)*VLOOKUP('Données projet'!$B$13,Paramètres!$A$1:$I$89,5,0)</f>
        <v>95.408000000000001</v>
      </c>
      <c r="CV26" s="14">
        <f t="shared" si="41"/>
        <v>25.865041947791504</v>
      </c>
      <c r="CW26" s="22">
        <f t="shared" si="13"/>
        <v>211.21721472573688</v>
      </c>
      <c r="CX26" s="62">
        <f t="shared" si="14"/>
        <v>504.55054805907019</v>
      </c>
      <c r="CY26" s="62">
        <f ca="1">AVERAGE(OFFSET($CX$3,0,0,'Données projet'!$E$13+1,1))-AVERAGE(OFFSET($H$3,0,0,'Données projet'!$E$13+1,1))</f>
        <v>492.66134897013183</v>
      </c>
      <c r="CZ26" s="62">
        <f t="shared" si="42"/>
        <v>307.87428858945862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16.687912087912085</v>
      </c>
      <c r="N27" s="14">
        <f>IF('Données projet'!$A$36&gt;35,N26+M27-V26,IF(A27&lt;'Données projet'!$A$36,$K$205^A27,IF(A27='Données projet'!$A$36,'Données projet'!$B$36,N26+M27-V26)))</f>
        <v>168.95604395604397</v>
      </c>
      <c r="O27" s="14">
        <f>N27*VLOOKUP('Données projet'!$B$9,Paramètres!$A$1:$I$89,3,0)*VLOOKUP('Données projet'!$B$9,Paramètres!$A$1:$I$89,5,0)</f>
        <v>94.446428571428584</v>
      </c>
      <c r="P27" s="14">
        <f t="shared" si="33"/>
        <v>25.634568296511581</v>
      </c>
      <c r="Q27" s="22">
        <f t="shared" si="2"/>
        <v>209.14106954499582</v>
      </c>
      <c r="R27" s="62">
        <f t="shared" si="0"/>
        <v>502.4744028783291</v>
      </c>
      <c r="S27" s="62">
        <f ca="1">AVERAGE(OFFSET($R$3,0,0,'Données projet'!$E$9+1,1))-AVERAGE(OFFSET($H$3,0,0,'Données projet'!$E$9+1,1))</f>
        <v>256.47911362806866</v>
      </c>
      <c r="T27" s="62">
        <f t="shared" si="34"/>
        <v>230.93438491511529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4.5732917832661224</v>
      </c>
      <c r="AB27" s="23">
        <f>EXP(-LN(2)/2)*AB26+(1-EXP(-LN(2)/2))/(LN(2)/2)*V27*Y27*VLOOKUP('Données projet'!$B$9,Paramètres!$A$1:$I$89,3,0)*0.475*44/12</f>
        <v>5.4751417068488317</v>
      </c>
      <c r="AC27" s="24">
        <f t="shared" si="3"/>
        <v>10.048433490114954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103.79999999999998</v>
      </c>
      <c r="AJ27" s="14">
        <f>AI27*VLOOKUP('Données projet'!$B$10,Paramètres!$A$1:$I$89,3,0)*VLOOKUP('Données projet'!$B$10,Paramètres!$A$1:$I$89,5,0)</f>
        <v>90.679679999999991</v>
      </c>
      <c r="AK27" s="14">
        <f t="shared" si="35"/>
        <v>24.729075596681458</v>
      </c>
      <c r="AL27" s="22">
        <f t="shared" si="4"/>
        <v>201.00358266422018</v>
      </c>
      <c r="AM27" s="62">
        <f t="shared" si="5"/>
        <v>494.33691599755349</v>
      </c>
      <c r="AN27" s="62">
        <f ca="1">AVERAGE(OFFSET($AM$3,0,0,'Données projet'!$E$10+1,1))-AVERAGE(OFFSET($H$3,0,0,'Données projet'!$E$10+1,1))</f>
        <v>255.68195973350799</v>
      </c>
      <c r="AO27" s="62">
        <f t="shared" si="36"/>
        <v>269.20928353552461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145.39999999999998</v>
      </c>
      <c r="BE27" s="14">
        <f>BD27*VLOOKUP('Données projet'!$B$11,Paramètres!$A$1:$I$89,3,0)*VLOOKUP('Données projet'!$B$11,Paramètres!$A$1:$I$89,5,0)</f>
        <v>115.68024</v>
      </c>
      <c r="BF27" s="14">
        <f t="shared" si="37"/>
        <v>30.665346560819827</v>
      </c>
      <c r="BG27" s="22">
        <f t="shared" si="7"/>
        <v>254.88522992676118</v>
      </c>
      <c r="BH27" s="62">
        <f t="shared" si="8"/>
        <v>548.21856326009447</v>
      </c>
      <c r="BI27" s="62">
        <f ca="1">AVERAGE(OFFSET($BH$3,0,0,'Données projet'!$E$11+1,1))-AVERAGE(OFFSET($H$3,0,0,'Données projet'!$E$11+1,1))</f>
        <v>243.51680047412441</v>
      </c>
      <c r="BJ27" s="62">
        <f t="shared" si="38"/>
        <v>224.00025638752402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145.39999999999998</v>
      </c>
      <c r="BZ27" s="14">
        <f>BY27*VLOOKUP('Données projet'!$B$12,Paramètres!$A$1:$I$89,3,0)*VLOOKUP('Données projet'!$B$12,Paramètres!$A$1:$I$89,5,0)</f>
        <v>106.60727999999997</v>
      </c>
      <c r="CA27" s="14">
        <f t="shared" si="39"/>
        <v>28.530181653798135</v>
      </c>
      <c r="CB27" s="22">
        <f t="shared" si="10"/>
        <v>235.36441238036505</v>
      </c>
      <c r="CC27" s="62">
        <f t="shared" si="11"/>
        <v>528.6977457136984</v>
      </c>
      <c r="CD27" s="62">
        <f ca="1">AVERAGE(OFFSET($CC$3,0,0,'Données projet'!$E$12+1,1))-AVERAGE(OFFSET($H$3,0,0,'Données projet'!$E$12+1,1))</f>
        <v>221.4629402571224</v>
      </c>
      <c r="CE27" s="62">
        <f t="shared" si="40"/>
        <v>204.26941562549416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8.2051282051282044</v>
      </c>
      <c r="CT27" s="13">
        <f>IF('Données projet'!$A$140&gt;35,CT26+CS27-DB26,IF(A27&lt;'Données projet'!$A$140,$CQ$205^A27,IF(A27='Données projet'!$A$140,'Données projet'!$B$140,CT26+CS27-DB26)))</f>
        <v>99.487179487179475</v>
      </c>
      <c r="CU27" s="18">
        <f>CT27*VLOOKUP('Données projet'!$B$13,Paramètres!$A$1:$I$89,3,0)*VLOOKUP('Données projet'!$B$13,Paramètres!$A$1:$I$89,5,0)</f>
        <v>103.98399999999999</v>
      </c>
      <c r="CV27" s="14">
        <f t="shared" si="41"/>
        <v>27.908961823510698</v>
      </c>
      <c r="CW27" s="22">
        <f t="shared" si="13"/>
        <v>229.71357517594777</v>
      </c>
      <c r="CX27" s="62">
        <f t="shared" si="14"/>
        <v>523.04690850928114</v>
      </c>
      <c r="CY27" s="62">
        <f ca="1">AVERAGE(OFFSET($CX$3,0,0,'Données projet'!$E$13+1,1))-AVERAGE(OFFSET($H$3,0,0,'Données projet'!$E$13+1,1))</f>
        <v>492.66134897013183</v>
      </c>
      <c r="CZ27" s="62">
        <f t="shared" si="42"/>
        <v>307.87428858945862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16.687912087912085</v>
      </c>
      <c r="N28" s="14">
        <f>IF('Données projet'!$A$36&gt;35,N27+M28-V27,IF(A28&lt;'Données projet'!$A$36,$K$205^A28,IF(A28='Données projet'!$A$36,'Données projet'!$B$36,N27+M28-V27)))</f>
        <v>185.64395604395605</v>
      </c>
      <c r="O28" s="14">
        <f>N28*VLOOKUP('Données projet'!$B$9,Paramètres!$A$1:$I$89,3,0)*VLOOKUP('Données projet'!$B$9,Paramètres!$A$1:$I$89,5,0)</f>
        <v>103.77497142857143</v>
      </c>
      <c r="P28" s="14">
        <f t="shared" si="33"/>
        <v>27.859383782043167</v>
      </c>
      <c r="Q28" s="22">
        <f t="shared" si="2"/>
        <v>229.2631686584871</v>
      </c>
      <c r="R28" s="62">
        <f t="shared" si="0"/>
        <v>522.59650199182045</v>
      </c>
      <c r="S28" s="62">
        <f ca="1">AVERAGE(OFFSET($R$3,0,0,'Données projet'!$E$9+1,1))-AVERAGE(OFFSET($H$3,0,0,'Données projet'!$E$9+1,1))</f>
        <v>256.47911362806866</v>
      </c>
      <c r="T28" s="62">
        <f t="shared" si="34"/>
        <v>230.93438491511529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4.4482348789537474</v>
      </c>
      <c r="AB28" s="23">
        <f>EXP(-LN(2)/2)*AB27+(1-EXP(-LN(2)/2))/(LN(2)/2)*V28*Y28*VLOOKUP('Données projet'!$B$9,Paramètres!$A$1:$I$89,3,0)*0.475*44/12</f>
        <v>3.8715098288700975</v>
      </c>
      <c r="AC28" s="24">
        <f t="shared" si="3"/>
        <v>8.319744707823844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113</v>
      </c>
      <c r="AG28" s="13">
        <f>VLOOKUP(A28,'Données projet'!$A$61:$I$81,9,0)</f>
        <v>9.1999999999999993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112.99999999999999</v>
      </c>
      <c r="AJ28" s="14">
        <f>AI28*VLOOKUP('Données projet'!$B$10,Paramètres!$A$1:$I$89,3,0)*VLOOKUP('Données projet'!$B$10,Paramètres!$A$1:$I$89,5,0)</f>
        <v>98.716800000000006</v>
      </c>
      <c r="AK28" s="14">
        <f t="shared" si="35"/>
        <v>26.656063438447475</v>
      </c>
      <c r="AL28" s="22">
        <f t="shared" si="4"/>
        <v>218.35773715529604</v>
      </c>
      <c r="AM28" s="62">
        <f t="shared" si="5"/>
        <v>511.69107048862935</v>
      </c>
      <c r="AN28" s="62">
        <f ca="1">AVERAGE(OFFSET($AM$3,0,0,'Données projet'!$E$10+1,1))-AVERAGE(OFFSET($H$3,0,0,'Données projet'!$E$10+1,1))</f>
        <v>255.68195973350799</v>
      </c>
      <c r="AO28" s="62">
        <f t="shared" si="36"/>
        <v>269.20928353552461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158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157.99999999999997</v>
      </c>
      <c r="BE28" s="14">
        <f>BD28*VLOOKUP('Données projet'!$B$11,Paramètres!$A$1:$I$89,3,0)*VLOOKUP('Données projet'!$B$11,Paramètres!$A$1:$I$89,5,0)</f>
        <v>125.70479999999998</v>
      </c>
      <c r="BF28" s="14">
        <f t="shared" si="37"/>
        <v>33.001932342496389</v>
      </c>
      <c r="BG28" s="22">
        <f t="shared" si="7"/>
        <v>276.41422549651452</v>
      </c>
      <c r="BH28" s="62">
        <f t="shared" si="8"/>
        <v>569.74755882984778</v>
      </c>
      <c r="BI28" s="62">
        <f ca="1">AVERAGE(OFFSET($BH$3,0,0,'Données projet'!$E$11+1,1))-AVERAGE(OFFSET($H$3,0,0,'Données projet'!$E$11+1,1))</f>
        <v>243.51680047412441</v>
      </c>
      <c r="BJ28" s="62">
        <f t="shared" si="38"/>
        <v>224.00025638752402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71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158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157.99999999999997</v>
      </c>
      <c r="BZ28" s="14">
        <f>BY28*VLOOKUP('Données projet'!$B$12,Paramètres!$A$1:$I$89,3,0)*VLOOKUP('Données projet'!$B$12,Paramètres!$A$1:$I$89,5,0)</f>
        <v>115.84559999999996</v>
      </c>
      <c r="CA28" s="14">
        <f t="shared" si="39"/>
        <v>30.704075781121897</v>
      </c>
      <c r="CB28" s="22">
        <f t="shared" si="10"/>
        <v>255.24068531878723</v>
      </c>
      <c r="CC28" s="62">
        <f t="shared" si="11"/>
        <v>548.57401865212057</v>
      </c>
      <c r="CD28" s="62">
        <f ca="1">AVERAGE(OFFSET($CC$3,0,0,'Données projet'!$E$12+1,1))-AVERAGE(OFFSET($H$3,0,0,'Données projet'!$E$12+1,1))</f>
        <v>221.4629402571224</v>
      </c>
      <c r="CE28" s="62">
        <f t="shared" si="40"/>
        <v>204.26941562549416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71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107.69230769230769</v>
      </c>
      <c r="CR28" s="13">
        <f>VLOOKUP(A28,'Données projet'!$A$139:$I$159,9,0)</f>
        <v>8.2051282051282044</v>
      </c>
      <c r="CS28" s="13">
        <f t="array" ref="CS28">INDEX(CR:CR,MIN(IF(ISNUMBER(CR28:CR224),ROW(CR28:CR224),"")))</f>
        <v>8.2051282051282044</v>
      </c>
      <c r="CT28" s="13">
        <f>IF('Données projet'!$A$140&gt;35,CT27+CS28-DB27,IF(A28&lt;'Données projet'!$A$140,$CQ$205^A28,IF(A28='Données projet'!$A$140,'Données projet'!$B$140,CT27+CS28-DB27)))</f>
        <v>107.69230769230768</v>
      </c>
      <c r="CU28" s="18">
        <f>CT28*VLOOKUP('Données projet'!$B$13,Paramètres!$A$1:$I$89,3,0)*VLOOKUP('Données projet'!$B$13,Paramètres!$A$1:$I$89,5,0)</f>
        <v>112.55999999999999</v>
      </c>
      <c r="CV28" s="14">
        <f t="shared" si="41"/>
        <v>29.933330570949426</v>
      </c>
      <c r="CW28" s="22">
        <f t="shared" si="13"/>
        <v>248.1758840777369</v>
      </c>
      <c r="CX28" s="62">
        <f t="shared" si="14"/>
        <v>541.50921741107027</v>
      </c>
      <c r="CY28" s="62">
        <f ca="1">AVERAGE(OFFSET($CX$3,0,0,'Données projet'!$E$13+1,1))-AVERAGE(OFFSET($H$3,0,0,'Données projet'!$E$13+1,1))</f>
        <v>492.66134897013183</v>
      </c>
      <c r="CZ28" s="62">
        <f t="shared" si="42"/>
        <v>307.87428858945862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16.687912087912085</v>
      </c>
      <c r="N29" s="14">
        <f>IF('Données projet'!$A$36&gt;35,N28+M29-V28,IF(A29&lt;'Données projet'!$A$36,$K$205^A29,IF(A29='Données projet'!$A$36,'Données projet'!$B$36,N28+M29-V28)))</f>
        <v>202.33186813186813</v>
      </c>
      <c r="O29" s="14">
        <f>N29*VLOOKUP('Données projet'!$B$9,Paramètres!$A$1:$I$89,3,0)*VLOOKUP('Données projet'!$B$9,Paramètres!$A$1:$I$89,5,0)</f>
        <v>113.1035142857143</v>
      </c>
      <c r="P29" s="14">
        <f t="shared" si="33"/>
        <v>30.061008485627202</v>
      </c>
      <c r="Q29" s="22">
        <f t="shared" si="2"/>
        <v>249.34487716008644</v>
      </c>
      <c r="R29" s="62">
        <f t="shared" si="0"/>
        <v>542.67821049341978</v>
      </c>
      <c r="S29" s="62">
        <f ca="1">AVERAGE(OFFSET($R$3,0,0,'Données projet'!$E$9+1,1))-AVERAGE(OFFSET($H$3,0,0,'Données projet'!$E$9+1,1))</f>
        <v>256.47911362806866</v>
      </c>
      <c r="T29" s="62">
        <f t="shared" si="34"/>
        <v>230.93438491511529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4.3265976622662512</v>
      </c>
      <c r="AB29" s="23">
        <f>EXP(-LN(2)/2)*AB28+(1-EXP(-LN(2)/2))/(LN(2)/2)*V29*Y29*VLOOKUP('Données projet'!$B$9,Paramètres!$A$1:$I$89,3,0)*0.475*44/12</f>
        <v>2.7375708534244163</v>
      </c>
      <c r="AC29" s="24">
        <f t="shared" si="3"/>
        <v>7.0641685156906675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</v>
      </c>
      <c r="AI29" s="14">
        <f>IF('Données projet'!$A$62&gt;35,AI28+AH29-AQ28,IF(A29&lt;'Données projet'!$A$62,$AF$205^A29,IF(A29='Données projet'!$A$62,'Données projet'!$B$62,AI28+AH29-AQ28)))</f>
        <v>121.99999999999999</v>
      </c>
      <c r="AJ29" s="14">
        <f>AI29*VLOOKUP('Données projet'!$B$10,Paramètres!$A$1:$I$89,3,0)*VLOOKUP('Données projet'!$B$10,Paramètres!$A$1:$I$89,5,0)</f>
        <v>106.57919999999999</v>
      </c>
      <c r="AK29" s="14">
        <f t="shared" si="35"/>
        <v>28.523541515222938</v>
      </c>
      <c r="AL29" s="22">
        <f t="shared" si="4"/>
        <v>235.30394147234657</v>
      </c>
      <c r="AM29" s="62">
        <f t="shared" si="5"/>
        <v>528.63727480567991</v>
      </c>
      <c r="AN29" s="62">
        <f ca="1">AVERAGE(OFFSET($AM$3,0,0,'Données projet'!$E$10+1,1))-AVERAGE(OFFSET($H$3,0,0,'Données projet'!$E$10+1,1))</f>
        <v>255.68195973350799</v>
      </c>
      <c r="AO29" s="62">
        <f t="shared" si="36"/>
        <v>269.20928353552461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98.999999999999972</v>
      </c>
      <c r="BE29" s="14">
        <f>BD29*VLOOKUP('Données projet'!$B$11,Paramètres!$A$1:$I$89,3,0)*VLOOKUP('Données projet'!$B$11,Paramètres!$A$1:$I$89,5,0)</f>
        <v>78.764399999999981</v>
      </c>
      <c r="BF29" s="14">
        <f t="shared" si="37"/>
        <v>21.834800364471622</v>
      </c>
      <c r="BG29" s="22">
        <f t="shared" si="7"/>
        <v>175.21027396812136</v>
      </c>
      <c r="BH29" s="62">
        <f t="shared" si="8"/>
        <v>468.5436073014547</v>
      </c>
      <c r="BI29" s="62">
        <f ca="1">AVERAGE(OFFSET($BH$3,0,0,'Données projet'!$E$11+1,1))-AVERAGE(OFFSET($H$3,0,0,'Données projet'!$E$11+1,1))</f>
        <v>243.51680047412441</v>
      </c>
      <c r="BJ29" s="62">
        <f t="shared" si="38"/>
        <v>224.00025638752402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98.999999999999972</v>
      </c>
      <c r="BZ29" s="14">
        <f>BY29*VLOOKUP('Données projet'!$B$12,Paramètres!$A$1:$I$89,3,0)*VLOOKUP('Données projet'!$B$12,Paramètres!$A$1:$I$89,5,0)</f>
        <v>72.586799999999982</v>
      </c>
      <c r="CA29" s="14">
        <f t="shared" si="39"/>
        <v>20.314488197199065</v>
      </c>
      <c r="CB29" s="22">
        <f t="shared" si="10"/>
        <v>161.80307694345501</v>
      </c>
      <c r="CC29" s="62">
        <f t="shared" si="11"/>
        <v>455.1364102767883</v>
      </c>
      <c r="CD29" s="62">
        <f ca="1">AVERAGE(OFFSET($CC$3,0,0,'Données projet'!$E$12+1,1))-AVERAGE(OFFSET($H$3,0,0,'Données projet'!$E$12+1,1))</f>
        <v>221.4629402571224</v>
      </c>
      <c r="CE29" s="62">
        <f t="shared" si="40"/>
        <v>204.26941562549416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8.3333333333333339</v>
      </c>
      <c r="CT29" s="13">
        <f>IF('Données projet'!$A$140&gt;35,CT28+CS29-DB28,IF(A29&lt;'Données projet'!$A$140,$CQ$205^A29,IF(A29='Données projet'!$A$140,'Données projet'!$B$140,CT28+CS29-DB28)))</f>
        <v>116.02564102564101</v>
      </c>
      <c r="CU29" s="18">
        <f>CT29*VLOOKUP('Données projet'!$B$13,Paramètres!$A$1:$I$89,3,0)*VLOOKUP('Données projet'!$B$13,Paramètres!$A$1:$I$89,5,0)</f>
        <v>121.26999999999998</v>
      </c>
      <c r="CV29" s="14">
        <f t="shared" si="41"/>
        <v>31.971024204432702</v>
      </c>
      <c r="CW29" s="22">
        <f t="shared" si="13"/>
        <v>266.89478382272023</v>
      </c>
      <c r="CX29" s="62">
        <f t="shared" si="14"/>
        <v>560.22811715605349</v>
      </c>
      <c r="CY29" s="62">
        <f ca="1">AVERAGE(OFFSET($CX$3,0,0,'Données projet'!$E$13+1,1))-AVERAGE(OFFSET($H$3,0,0,'Données projet'!$E$13+1,1))</f>
        <v>492.66134897013183</v>
      </c>
      <c r="CZ29" s="62">
        <f t="shared" si="42"/>
        <v>307.87428858945862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16.687912087912085</v>
      </c>
      <c r="N30" s="14">
        <f>IF('Données projet'!$A$36&gt;35,N29+M30-V29,IF(A30&lt;'Données projet'!$A$36,$K$205^A30,IF(A30='Données projet'!$A$36,'Données projet'!$B$36,N29+M30-V29)))</f>
        <v>219.01978021978022</v>
      </c>
      <c r="O30" s="14">
        <f>N30*VLOOKUP('Données projet'!$B$9,Paramètres!$A$1:$I$89,3,0)*VLOOKUP('Données projet'!$B$9,Paramètres!$A$1:$I$89,5,0)</f>
        <v>122.43205714285713</v>
      </c>
      <c r="P30" s="14">
        <f t="shared" si="33"/>
        <v>32.241572593058322</v>
      </c>
      <c r="Q30" s="22">
        <f t="shared" si="2"/>
        <v>269.38990512338609</v>
      </c>
      <c r="R30" s="62">
        <f t="shared" si="0"/>
        <v>562.7232384567194</v>
      </c>
      <c r="S30" s="62">
        <f ca="1">AVERAGE(OFFSET($R$3,0,0,'Données projet'!$E$9+1,1))-AVERAGE(OFFSET($H$3,0,0,'Données projet'!$E$9+1,1))</f>
        <v>256.47911362806866</v>
      </c>
      <c r="T30" s="62">
        <f t="shared" si="34"/>
        <v>230.93438491511529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4.2082866216656978</v>
      </c>
      <c r="AB30" s="23">
        <f>EXP(-LN(2)/2)*AB29+(1-EXP(-LN(2)/2))/(LN(2)/2)*V30*Y30*VLOOKUP('Données projet'!$B$9,Paramètres!$A$1:$I$89,3,0)*0.475*44/12</f>
        <v>1.935754914435049</v>
      </c>
      <c r="AC30" s="24">
        <f t="shared" si="3"/>
        <v>6.1440415361007465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</v>
      </c>
      <c r="AI30" s="14">
        <f>IF('Données projet'!$A$62&gt;35,AI29+AH30-AQ29,IF(A30&lt;'Données projet'!$A$62,$AF$205^A30,IF(A30='Données projet'!$A$62,'Données projet'!$B$62,AI29+AH30-AQ29)))</f>
        <v>131</v>
      </c>
      <c r="AJ30" s="14">
        <f>AI30*VLOOKUP('Données projet'!$B$10,Paramètres!$A$1:$I$89,3,0)*VLOOKUP('Données projet'!$B$10,Paramètres!$A$1:$I$89,5,0)</f>
        <v>114.44160000000002</v>
      </c>
      <c r="AK30" s="14">
        <f t="shared" si="35"/>
        <v>30.375037129843719</v>
      </c>
      <c r="AL30" s="22">
        <f t="shared" si="4"/>
        <v>252.22230966781115</v>
      </c>
      <c r="AM30" s="62">
        <f t="shared" si="5"/>
        <v>545.55564300114452</v>
      </c>
      <c r="AN30" s="62">
        <f ca="1">AVERAGE(OFFSET($AM$3,0,0,'Données projet'!$E$10+1,1))-AVERAGE(OFFSET($H$3,0,0,'Données projet'!$E$10+1,1))</f>
        <v>255.68195973350799</v>
      </c>
      <c r="AO30" s="62">
        <f t="shared" si="36"/>
        <v>269.20928353552461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110.99999999999997</v>
      </c>
      <c r="BE30" s="14">
        <f>BD30*VLOOKUP('Données projet'!$B$11,Paramètres!$A$1:$I$89,3,0)*VLOOKUP('Données projet'!$B$11,Paramètres!$A$1:$I$89,5,0)</f>
        <v>88.311599999999984</v>
      </c>
      <c r="BF30" s="14">
        <f t="shared" si="37"/>
        <v>24.157575839957186</v>
      </c>
      <c r="BG30" s="22">
        <f t="shared" si="7"/>
        <v>195.8838145879254</v>
      </c>
      <c r="BH30" s="62">
        <f t="shared" si="8"/>
        <v>489.21714792125874</v>
      </c>
      <c r="BI30" s="62">
        <f ca="1">AVERAGE(OFFSET($BH$3,0,0,'Données projet'!$E$11+1,1))-AVERAGE(OFFSET($H$3,0,0,'Données projet'!$E$11+1,1))</f>
        <v>243.51680047412441</v>
      </c>
      <c r="BJ30" s="62">
        <f t="shared" si="38"/>
        <v>224.00025638752402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110.99999999999997</v>
      </c>
      <c r="BZ30" s="14">
        <f>BY30*VLOOKUP('Données projet'!$B$12,Paramètres!$A$1:$I$89,3,0)*VLOOKUP('Données projet'!$B$12,Paramètres!$A$1:$I$89,5,0)</f>
        <v>81.385199999999969</v>
      </c>
      <c r="CA30" s="14">
        <f t="shared" si="39"/>
        <v>22.475533601501123</v>
      </c>
      <c r="CB30" s="22">
        <f t="shared" si="10"/>
        <v>180.89077768928109</v>
      </c>
      <c r="CC30" s="62">
        <f t="shared" si="11"/>
        <v>474.22411102261441</v>
      </c>
      <c r="CD30" s="62">
        <f ca="1">AVERAGE(OFFSET($CC$3,0,0,'Données projet'!$E$12+1,1))-AVERAGE(OFFSET($H$3,0,0,'Données projet'!$E$12+1,1))</f>
        <v>221.4629402571224</v>
      </c>
      <c r="CE30" s="62">
        <f t="shared" si="40"/>
        <v>204.26941562549416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8.3333333333333339</v>
      </c>
      <c r="CT30" s="13">
        <f>IF('Données projet'!$A$140&gt;35,CT29+CS30-DB29,IF(A30&lt;'Données projet'!$A$140,$CQ$205^A30,IF(A30='Données projet'!$A$140,'Données projet'!$B$140,CT29+CS30-DB29)))</f>
        <v>124.35897435897434</v>
      </c>
      <c r="CU30" s="18">
        <f>CT30*VLOOKUP('Données projet'!$B$13,Paramètres!$A$1:$I$89,3,0)*VLOOKUP('Données projet'!$B$13,Paramètres!$A$1:$I$89,5,0)</f>
        <v>129.97999999999999</v>
      </c>
      <c r="CV30" s="14">
        <f t="shared" si="41"/>
        <v>33.991737878182434</v>
      </c>
      <c r="CW30" s="22">
        <f t="shared" si="13"/>
        <v>285.58411013783433</v>
      </c>
      <c r="CX30" s="62">
        <f t="shared" si="14"/>
        <v>578.91744347116764</v>
      </c>
      <c r="CY30" s="62">
        <f ca="1">AVERAGE(OFFSET($CX$3,0,0,'Données projet'!$E$13+1,1))-AVERAGE(OFFSET($H$3,0,0,'Données projet'!$E$13+1,1))</f>
        <v>492.66134897013183</v>
      </c>
      <c r="CZ30" s="62">
        <f t="shared" si="42"/>
        <v>307.87428858945862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235.7076923076923</v>
      </c>
      <c r="L31" s="13">
        <f>VLOOKUP(A31,'Données projet'!$A$35:$I$55,9,0)</f>
        <v>16.687912087912085</v>
      </c>
      <c r="M31" s="13">
        <f t="array" ref="M31">INDEX(L:L,MIN(IF(ISNUMBER(L31:L227),ROW(L31:L227),"")))</f>
        <v>16.687912087912085</v>
      </c>
      <c r="N31" s="14">
        <f>IF('Données projet'!$A$36&gt;35,N30+M31-V30,IF(A31&lt;'Données projet'!$A$36,$K$205^A31,IF(A31='Données projet'!$A$36,'Données projet'!$B$36,N30+M31-V30)))</f>
        <v>235.7076923076923</v>
      </c>
      <c r="O31" s="14">
        <f>N31*VLOOKUP('Données projet'!$B$9,Paramètres!$A$1:$I$89,3,0)*VLOOKUP('Données projet'!$B$9,Paramètres!$A$1:$I$89,5,0)</f>
        <v>131.76059999999998</v>
      </c>
      <c r="P31" s="14">
        <f t="shared" si="33"/>
        <v>34.402863243711892</v>
      </c>
      <c r="Q31" s="22">
        <f t="shared" si="2"/>
        <v>289.40136514946488</v>
      </c>
      <c r="R31" s="62">
        <f t="shared" si="0"/>
        <v>582.73469848279819</v>
      </c>
      <c r="S31" s="62">
        <f ca="1">AVERAGE(OFFSET($R$3,0,0,'Données projet'!$E$9+1,1))-AVERAGE(OFFSET($H$3,0,0,'Données projet'!$E$9+1,1))</f>
        <v>256.47911362806866</v>
      </c>
      <c r="T31" s="62">
        <f t="shared" si="34"/>
        <v>230.93438491511529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56.91538461538461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0.3</v>
      </c>
      <c r="Z31" s="23">
        <f>EXP(-LN(2)/35)*Z30+(1-EXP(-LN(2)/35))/(LN(2)/35)*V31*W31*VLOOKUP('Données projet'!$B$9,Paramètres!$A$1:$I$89,3,0)*0.475*44/12</f>
        <v>4.6426134419420562</v>
      </c>
      <c r="AA31" s="23">
        <f>EXP(-LN(2)/25)*AA30+(1-EXP(-LN(2)/25))/(LN(2)/25)*Calculateur!V31*Calculateur!X31*VLOOKUP('Données projet'!$B$9,Paramètres!$A$1:$I$89,3,0)*0.475*44/12</f>
        <v>8.7175445065387969</v>
      </c>
      <c r="AB31" s="23">
        <f>EXP(-LN(2)/2)*AB30+(1-EXP(-LN(2)/2))/(LN(2)/2)*V31*Y31*VLOOKUP('Données projet'!$B$9,Paramètres!$A$1:$I$89,3,0)*0.475*44/12</f>
        <v>12.175614359236038</v>
      </c>
      <c r="AC31" s="24">
        <f t="shared" si="3"/>
        <v>25.53577230771689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</v>
      </c>
      <c r="AI31" s="14">
        <f>IF('Données projet'!$A$62&gt;35,AI30+AH31-AQ30,IF(A31&lt;'Données projet'!$A$62,$AF$205^A31,IF(A31='Données projet'!$A$62,'Données projet'!$B$62,AI30+AH31-AQ30)))</f>
        <v>140</v>
      </c>
      <c r="AJ31" s="14">
        <f>AI31*VLOOKUP('Données projet'!$B$10,Paramètres!$A$1:$I$89,3,0)*VLOOKUP('Données projet'!$B$10,Paramètres!$A$1:$I$89,5,0)</f>
        <v>122.30400000000002</v>
      </c>
      <c r="AK31" s="14">
        <f t="shared" si="35"/>
        <v>32.211773226559373</v>
      </c>
      <c r="AL31" s="22">
        <f t="shared" si="4"/>
        <v>269.11497170292427</v>
      </c>
      <c r="AM31" s="62">
        <f t="shared" si="5"/>
        <v>562.44830503625758</v>
      </c>
      <c r="AN31" s="62">
        <f ca="1">AVERAGE(OFFSET($AM$3,0,0,'Données projet'!$E$10+1,1))-AVERAGE(OFFSET($H$3,0,0,'Données projet'!$E$10+1,1))</f>
        <v>255.68195973350799</v>
      </c>
      <c r="AO31" s="62">
        <f t="shared" si="36"/>
        <v>269.20928353552461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122.99999999999997</v>
      </c>
      <c r="BE31" s="14">
        <f>BD31*VLOOKUP('Données projet'!$B$11,Paramètres!$A$1:$I$89,3,0)*VLOOKUP('Données projet'!$B$11,Paramètres!$A$1:$I$89,5,0)</f>
        <v>97.858799999999988</v>
      </c>
      <c r="BF31" s="14">
        <f t="shared" si="37"/>
        <v>26.45124536158788</v>
      </c>
      <c r="BG31" s="22">
        <f t="shared" si="7"/>
        <v>216.50666233809886</v>
      </c>
      <c r="BH31" s="62">
        <f t="shared" si="8"/>
        <v>509.83999567143218</v>
      </c>
      <c r="BI31" s="62">
        <f ca="1">AVERAGE(OFFSET($BH$3,0,0,'Données projet'!$E$11+1,1))-AVERAGE(OFFSET($H$3,0,0,'Données projet'!$E$11+1,1))</f>
        <v>243.51680047412441</v>
      </c>
      <c r="BJ31" s="62">
        <f t="shared" si="38"/>
        <v>224.00025638752402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122.99999999999997</v>
      </c>
      <c r="BZ31" s="14">
        <f>BY31*VLOOKUP('Données projet'!$B$12,Paramètres!$A$1:$I$89,3,0)*VLOOKUP('Données projet'!$B$12,Paramètres!$A$1:$I$89,5,0)</f>
        <v>90.18359999999997</v>
      </c>
      <c r="CA31" s="14">
        <f t="shared" si="39"/>
        <v>24.609499639553768</v>
      </c>
      <c r="CB31" s="22">
        <f t="shared" si="10"/>
        <v>199.93131520555607</v>
      </c>
      <c r="CC31" s="62">
        <f t="shared" si="11"/>
        <v>493.26464853888939</v>
      </c>
      <c r="CD31" s="62">
        <f ca="1">AVERAGE(OFFSET($CC$3,0,0,'Données projet'!$E$12+1,1))-AVERAGE(OFFSET($H$3,0,0,'Données projet'!$E$12+1,1))</f>
        <v>221.4629402571224</v>
      </c>
      <c r="CE31" s="62">
        <f t="shared" si="40"/>
        <v>204.26941562549416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8.3333333333333339</v>
      </c>
      <c r="CT31" s="13">
        <f>IF('Données projet'!$A$140&gt;35,CT30+CS31-DB30,IF(A31&lt;'Données projet'!$A$140,$CQ$205^A31,IF(A31='Données projet'!$A$140,'Données projet'!$B$140,CT30+CS31-DB30)))</f>
        <v>132.69230769230768</v>
      </c>
      <c r="CU31" s="18">
        <f>CT31*VLOOKUP('Données projet'!$B$13,Paramètres!$A$1:$I$89,3,0)*VLOOKUP('Données projet'!$B$13,Paramètres!$A$1:$I$89,5,0)</f>
        <v>138.69</v>
      </c>
      <c r="CV31" s="14">
        <f t="shared" si="41"/>
        <v>35.996738887121467</v>
      </c>
      <c r="CW31" s="22">
        <f t="shared" si="13"/>
        <v>304.2460702284032</v>
      </c>
      <c r="CX31" s="62">
        <f t="shared" si="14"/>
        <v>597.57940356173651</v>
      </c>
      <c r="CY31" s="62">
        <f ca="1">AVERAGE(OFFSET($CX$3,0,0,'Données projet'!$E$13+1,1))-AVERAGE(OFFSET($H$3,0,0,'Données projet'!$E$13+1,1))</f>
        <v>492.66134897013183</v>
      </c>
      <c r="CZ31" s="62">
        <f t="shared" si="42"/>
        <v>307.87428858945862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18.099999999999994</v>
      </c>
      <c r="N32" s="14">
        <f>IF('Données projet'!$A$36&gt;35,N31+M32-V31,IF(A32&lt;'Données projet'!$A$36,$K$205^A32,IF(A32='Données projet'!$A$36,'Données projet'!$B$36,N31+M32-V31)))</f>
        <v>196.89230769230767</v>
      </c>
      <c r="O32" s="14">
        <f>N32*VLOOKUP('Données projet'!$B$9,Paramètres!$A$1:$I$89,3,0)*VLOOKUP('Données projet'!$B$9,Paramètres!$A$1:$I$89,5,0)</f>
        <v>110.0628</v>
      </c>
      <c r="P32" s="14">
        <f t="shared" si="33"/>
        <v>29.345780250854382</v>
      </c>
      <c r="Q32" s="22">
        <f t="shared" si="2"/>
        <v>242.80327727023806</v>
      </c>
      <c r="R32" s="62">
        <f t="shared" si="0"/>
        <v>536.1366106035714</v>
      </c>
      <c r="S32" s="62">
        <f ca="1">AVERAGE(OFFSET($R$3,0,0,'Données projet'!$E$9+1,1))-AVERAGE(OFFSET($H$3,0,0,'Données projet'!$E$9+1,1))</f>
        <v>256.47911362806866</v>
      </c>
      <c r="T32" s="62">
        <f t="shared" si="34"/>
        <v>230.93438491511529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4.5515746240601631</v>
      </c>
      <c r="AA32" s="23">
        <f>EXP(-LN(2)/25)*AA31+(1-EXP(-LN(2)/25))/(LN(2)/25)*Calculateur!V32*Calculateur!X32*VLOOKUP('Données projet'!$B$9,Paramètres!$A$1:$I$89,3,0)*0.475*44/12</f>
        <v>8.4791627935717528</v>
      </c>
      <c r="AB32" s="23">
        <f>EXP(-LN(2)/2)*AB31+(1-EXP(-LN(2)/2))/(LN(2)/2)*V32*Y32*VLOOKUP('Données projet'!$B$9,Paramètres!$A$1:$I$89,3,0)*0.475*44/12</f>
        <v>8.6094594785281036</v>
      </c>
      <c r="AC32" s="24">
        <f t="shared" si="3"/>
        <v>21.64019689616002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</v>
      </c>
      <c r="AI32" s="14">
        <f>IF('Données projet'!$A$62&gt;35,AI31+AH32-AQ31,IF(A32&lt;'Données projet'!$A$62,$AF$205^A32,IF(A32='Données projet'!$A$62,'Données projet'!$B$62,AI31+AH32-AQ31)))</f>
        <v>149</v>
      </c>
      <c r="AJ32" s="14">
        <f>AI32*VLOOKUP('Données projet'!$B$10,Paramètres!$A$1:$I$89,3,0)*VLOOKUP('Données projet'!$B$10,Paramètres!$A$1:$I$89,5,0)</f>
        <v>130.16640000000001</v>
      </c>
      <c r="AK32" s="14">
        <f t="shared" si="35"/>
        <v>34.034806623706274</v>
      </c>
      <c r="AL32" s="22">
        <f t="shared" si="4"/>
        <v>285.9837682029551</v>
      </c>
      <c r="AM32" s="62">
        <f t="shared" si="5"/>
        <v>579.31710153628842</v>
      </c>
      <c r="AN32" s="62">
        <f ca="1">AVERAGE(OFFSET($AM$3,0,0,'Données projet'!$E$10+1,1))-AVERAGE(OFFSET($H$3,0,0,'Données projet'!$E$10+1,1))</f>
        <v>255.68195973350799</v>
      </c>
      <c r="AO32" s="62">
        <f t="shared" si="36"/>
        <v>269.20928353552461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134.99999999999997</v>
      </c>
      <c r="BE32" s="14">
        <f>BD32*VLOOKUP('Données projet'!$B$11,Paramètres!$A$1:$I$89,3,0)*VLOOKUP('Données projet'!$B$11,Paramètres!$A$1:$I$89,5,0)</f>
        <v>107.40599999999998</v>
      </c>
      <c r="BF32" s="14">
        <f t="shared" si="37"/>
        <v>28.718971683040337</v>
      </c>
      <c r="BG32" s="22">
        <f t="shared" si="7"/>
        <v>237.08432568129521</v>
      </c>
      <c r="BH32" s="62">
        <f t="shared" si="8"/>
        <v>530.4176590146285</v>
      </c>
      <c r="BI32" s="62">
        <f ca="1">AVERAGE(OFFSET($BH$3,0,0,'Données projet'!$E$11+1,1))-AVERAGE(OFFSET($H$3,0,0,'Données projet'!$E$11+1,1))</f>
        <v>243.51680047412441</v>
      </c>
      <c r="BJ32" s="62">
        <f t="shared" si="38"/>
        <v>224.00025638752402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134.99999999999997</v>
      </c>
      <c r="BZ32" s="14">
        <f>BY32*VLOOKUP('Données projet'!$B$12,Paramètres!$A$1:$I$89,3,0)*VLOOKUP('Données projet'!$B$12,Paramètres!$A$1:$I$89,5,0)</f>
        <v>98.981999999999971</v>
      </c>
      <c r="CA32" s="14">
        <f t="shared" si="39"/>
        <v>26.719328849010743</v>
      </c>
      <c r="CB32" s="22">
        <f t="shared" si="10"/>
        <v>218.92981441202699</v>
      </c>
      <c r="CC32" s="62">
        <f t="shared" si="11"/>
        <v>512.26314774536036</v>
      </c>
      <c r="CD32" s="62">
        <f ca="1">AVERAGE(OFFSET($CC$3,0,0,'Données projet'!$E$12+1,1))-AVERAGE(OFFSET($H$3,0,0,'Données projet'!$E$12+1,1))</f>
        <v>221.4629402571224</v>
      </c>
      <c r="CE32" s="62">
        <f t="shared" si="40"/>
        <v>204.26941562549416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8.3333333333333339</v>
      </c>
      <c r="CT32" s="13">
        <f>IF('Données projet'!$A$140&gt;35,CT31+CS32-DB31,IF(A32&lt;'Données projet'!$A$140,$CQ$205^A32,IF(A32='Données projet'!$A$140,'Données projet'!$B$140,CT31+CS32-DB31)))</f>
        <v>141.02564102564102</v>
      </c>
      <c r="CU32" s="18">
        <f>CT32*VLOOKUP('Données projet'!$B$13,Paramètres!$A$1:$I$89,3,0)*VLOOKUP('Données projet'!$B$13,Paramètres!$A$1:$I$89,5,0)</f>
        <v>147.4</v>
      </c>
      <c r="CV32" s="14">
        <f t="shared" si="41"/>
        <v>37.987126351804257</v>
      </c>
      <c r="CW32" s="22">
        <f t="shared" si="13"/>
        <v>322.88257839605905</v>
      </c>
      <c r="CX32" s="62">
        <f t="shared" si="14"/>
        <v>616.21591172939236</v>
      </c>
      <c r="CY32" s="62">
        <f ca="1">AVERAGE(OFFSET($CX$3,0,0,'Données projet'!$E$13+1,1))-AVERAGE(OFFSET($H$3,0,0,'Données projet'!$E$13+1,1))</f>
        <v>492.66134897013183</v>
      </c>
      <c r="CZ32" s="62">
        <f t="shared" si="42"/>
        <v>307.87428858945862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214.99230769230769</v>
      </c>
      <c r="L33" s="13">
        <f>VLOOKUP(A33,'Données projet'!$A$35:$I$55,9,0)</f>
        <v>18.099999999999994</v>
      </c>
      <c r="M33" s="13">
        <f t="array" ref="M33">INDEX(L:L,MIN(IF(ISNUMBER(L33:L229),ROW(L33:L229),"")))</f>
        <v>18.099999999999994</v>
      </c>
      <c r="N33" s="14">
        <f>IF('Données projet'!$A$36&gt;35,N32+M33-V32,IF(A33&lt;'Données projet'!$A$36,$K$205^A33,IF(A33='Données projet'!$A$36,'Données projet'!$B$36,N32+M33-V32)))</f>
        <v>214.99230769230766</v>
      </c>
      <c r="O33" s="14">
        <f>N33*VLOOKUP('Données projet'!$B$9,Paramètres!$A$1:$I$89,3,0)*VLOOKUP('Données projet'!$B$9,Paramètres!$A$1:$I$89,5,0)</f>
        <v>120.18069999999997</v>
      </c>
      <c r="P33" s="14">
        <f t="shared" si="33"/>
        <v>31.717140910166616</v>
      </c>
      <c r="Q33" s="22">
        <f t="shared" si="2"/>
        <v>264.55540625187342</v>
      </c>
      <c r="R33" s="62">
        <f t="shared" si="0"/>
        <v>557.88873958520674</v>
      </c>
      <c r="S33" s="62">
        <f ca="1">AVERAGE(OFFSET($R$3,0,0,'Données projet'!$E$9+1,1))-AVERAGE(OFFSET($H$3,0,0,'Données projet'!$E$9+1,1))</f>
        <v>256.47911362806866</v>
      </c>
      <c r="T33" s="62">
        <f t="shared" si="34"/>
        <v>230.93438491511529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4.4623210218687381</v>
      </c>
      <c r="AA33" s="23">
        <f>EXP(-LN(2)/25)*AA32+(1-EXP(-LN(2)/25))/(LN(2)/25)*Calculateur!V33*Calculateur!X33*VLOOKUP('Données projet'!$B$9,Paramètres!$A$1:$I$89,3,0)*0.475*44/12</f>
        <v>8.2472996410817405</v>
      </c>
      <c r="AB33" s="23">
        <f>EXP(-LN(2)/2)*AB32+(1-EXP(-LN(2)/2))/(LN(2)/2)*V33*Y33*VLOOKUP('Données projet'!$B$9,Paramètres!$A$1:$I$89,3,0)*0.475*44/12</f>
        <v>6.0878071796180198</v>
      </c>
      <c r="AC33" s="24">
        <f t="shared" si="3"/>
        <v>18.797427842568496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158</v>
      </c>
      <c r="AG33" s="13">
        <f>VLOOKUP(A33,'Données projet'!$A$61:$I$81,9,0)</f>
        <v>9</v>
      </c>
      <c r="AH33" s="13">
        <f t="array" ref="AH33">INDEX(AG:AG,MIN(IF(ISNUMBER(AG33:AG229),ROW(AG33:AG229),"")))</f>
        <v>9</v>
      </c>
      <c r="AI33" s="14">
        <f>IF('Données projet'!$A$62&gt;35,AI32+AH33-AQ32,IF(A33&lt;'Données projet'!$A$62,$AF$205^A33,IF(A33='Données projet'!$A$62,'Données projet'!$B$62,AI32+AH33-AQ32)))</f>
        <v>158</v>
      </c>
      <c r="AJ33" s="14">
        <f>AI33*VLOOKUP('Données projet'!$B$10,Paramètres!$A$1:$I$89,3,0)*VLOOKUP('Données projet'!$B$10,Paramètres!$A$1:$I$89,5,0)</f>
        <v>138.02880000000002</v>
      </c>
      <c r="AK33" s="14">
        <f t="shared" si="35"/>
        <v>35.845059256813073</v>
      </c>
      <c r="AL33" s="22">
        <f t="shared" si="4"/>
        <v>302.8303048722828</v>
      </c>
      <c r="AM33" s="62">
        <f t="shared" si="5"/>
        <v>596.16363820561605</v>
      </c>
      <c r="AN33" s="62">
        <f ca="1">AVERAGE(OFFSET($AM$3,0,0,'Données projet'!$E$10+1,1))-AVERAGE(OFFSET($H$3,0,0,'Données projet'!$E$10+1,1))</f>
        <v>255.68195973350799</v>
      </c>
      <c r="AO33" s="62">
        <f t="shared" si="36"/>
        <v>269.20928353552461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47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146.99999999999997</v>
      </c>
      <c r="BE33" s="14">
        <f>BD33*VLOOKUP('Données projet'!$B$11,Paramètres!$A$1:$I$89,3,0)*VLOOKUP('Données projet'!$B$11,Paramètres!$A$1:$I$89,5,0)</f>
        <v>116.95319999999998</v>
      </c>
      <c r="BF33" s="14">
        <f t="shared" si="37"/>
        <v>30.963323095281662</v>
      </c>
      <c r="BG33" s="22">
        <f t="shared" si="7"/>
        <v>257.62127772428215</v>
      </c>
      <c r="BH33" s="62">
        <f t="shared" si="8"/>
        <v>550.95461105761547</v>
      </c>
      <c r="BI33" s="62">
        <f ca="1">AVERAGE(OFFSET($BH$3,0,0,'Données projet'!$E$11+1,1))-AVERAGE(OFFSET($H$3,0,0,'Données projet'!$E$11+1,1))</f>
        <v>243.51680047412441</v>
      </c>
      <c r="BJ33" s="62">
        <f t="shared" si="38"/>
        <v>224.00025638752402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147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146.99999999999997</v>
      </c>
      <c r="BZ33" s="14">
        <f>BY33*VLOOKUP('Données projet'!$B$12,Paramètres!$A$1:$I$89,3,0)*VLOOKUP('Données projet'!$B$12,Paramètres!$A$1:$I$89,5,0)</f>
        <v>107.78039999999999</v>
      </c>
      <c r="CA33" s="14">
        <f t="shared" si="39"/>
        <v>28.807410696030036</v>
      </c>
      <c r="CB33" s="22">
        <f t="shared" si="10"/>
        <v>237.89043696225227</v>
      </c>
      <c r="CC33" s="62">
        <f t="shared" si="11"/>
        <v>531.22377029558561</v>
      </c>
      <c r="CD33" s="62">
        <f ca="1">AVERAGE(OFFSET($CC$3,0,0,'Données projet'!$E$12+1,1))-AVERAGE(OFFSET($H$3,0,0,'Données projet'!$E$12+1,1))</f>
        <v>221.4629402571224</v>
      </c>
      <c r="CE33" s="62">
        <f t="shared" si="40"/>
        <v>204.26941562549416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149.35897435897436</v>
      </c>
      <c r="CR33" s="13">
        <f>VLOOKUP(A33,'Données projet'!$A$139:$I$159,9,0)</f>
        <v>8.3333333333333339</v>
      </c>
      <c r="CS33" s="13">
        <f t="array" ref="CS33">INDEX(CR:CR,MIN(IF(ISNUMBER(CR33:CR229),ROW(CR33:CR229),"")))</f>
        <v>8.3333333333333339</v>
      </c>
      <c r="CT33" s="13">
        <f>IF('Données projet'!$A$140&gt;35,CT32+CS33-DB32,IF(A33&lt;'Données projet'!$A$140,$CQ$205^A33,IF(A33='Données projet'!$A$140,'Données projet'!$B$140,CT32+CS33-DB32)))</f>
        <v>149.35897435897436</v>
      </c>
      <c r="CU33" s="18">
        <f>CT33*VLOOKUP('Données projet'!$B$13,Paramètres!$A$1:$I$89,3,0)*VLOOKUP('Données projet'!$B$13,Paramètres!$A$1:$I$89,5,0)</f>
        <v>156.11000000000001</v>
      </c>
      <c r="CV33" s="14">
        <f t="shared" si="41"/>
        <v>39.963862158593372</v>
      </c>
      <c r="CW33" s="22">
        <f t="shared" si="13"/>
        <v>341.49530992621681</v>
      </c>
      <c r="CX33" s="62">
        <f t="shared" si="14"/>
        <v>634.82864325955006</v>
      </c>
      <c r="CY33" s="62">
        <f ca="1">AVERAGE(OFFSET($CX$3,0,0,'Données projet'!$E$13+1,1))-AVERAGE(OFFSET($H$3,0,0,'Données projet'!$E$13+1,1))</f>
        <v>492.66134897013183</v>
      </c>
      <c r="CZ33" s="62">
        <f t="shared" si="42"/>
        <v>307.87428858945862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22.435897435897434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18.100000000000001</v>
      </c>
      <c r="N34" s="14">
        <f>IF('Données projet'!$A$36&gt;35,N33+M34-V33,IF(A34&lt;'Données projet'!$A$36,$K$205^A34,IF(A34='Données projet'!$A$36,'Données projet'!$B$36,N33+M34-V33)))</f>
        <v>233.09230769230766</v>
      </c>
      <c r="O34" s="14">
        <f>N34*VLOOKUP('Données projet'!$B$9,Paramètres!$A$1:$I$89,3,0)*VLOOKUP('Données projet'!$B$9,Paramètres!$A$1:$I$89,5,0)</f>
        <v>130.29859999999999</v>
      </c>
      <c r="P34" s="14">
        <f t="shared" si="33"/>
        <v>34.065347809437199</v>
      </c>
      <c r="Q34" s="22">
        <f t="shared" si="2"/>
        <v>286.26720910143649</v>
      </c>
      <c r="R34" s="62">
        <f t="shared" si="0"/>
        <v>579.60054243476975</v>
      </c>
      <c r="S34" s="62">
        <f ca="1">AVERAGE(OFFSET($R$3,0,0,'Données projet'!$E$9+1,1))-AVERAGE(OFFSET($H$3,0,0,'Données projet'!$E$9+1,1))</f>
        <v>256.47911362806866</v>
      </c>
      <c r="T34" s="62">
        <f t="shared" si="34"/>
        <v>230.93438491511529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4.3748176283769658</v>
      </c>
      <c r="AA34" s="23">
        <f>EXP(-LN(2)/25)*AA33+(1-EXP(-LN(2)/25))/(LN(2)/25)*Calculateur!V34*Calculateur!X34*VLOOKUP('Données projet'!$B$9,Paramètres!$A$1:$I$89,3,0)*0.475*44/12</f>
        <v>8.0217767986897215</v>
      </c>
      <c r="AB34" s="23">
        <f>EXP(-LN(2)/2)*AB33+(1-EXP(-LN(2)/2))/(LN(2)/2)*V34*Y34*VLOOKUP('Données projet'!$B$9,Paramètres!$A$1:$I$89,3,0)*0.475*44/12</f>
        <v>4.3047297392640527</v>
      </c>
      <c r="AC34" s="24">
        <f t="shared" si="3"/>
        <v>16.701324166330743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8.4</v>
      </c>
      <c r="AI34" s="14">
        <f>IF('Données projet'!$A$62&gt;35,AI33+AH34-AQ33,IF(A34&lt;'Données projet'!$A$62,$AF$205^A34,IF(A34='Données projet'!$A$62,'Données projet'!$B$62,AI33+AH34-AQ33)))</f>
        <v>119.4</v>
      </c>
      <c r="AJ34" s="14">
        <f>AI34*VLOOKUP('Données projet'!$B$10,Paramètres!$A$1:$I$89,3,0)*VLOOKUP('Données projet'!$B$10,Paramètres!$A$1:$I$89,5,0)</f>
        <v>104.30784000000001</v>
      </c>
      <c r="AK34" s="14">
        <f t="shared" si="35"/>
        <v>27.985748297693263</v>
      </c>
      <c r="AL34" s="22">
        <f t="shared" si="4"/>
        <v>230.41133295181578</v>
      </c>
      <c r="AM34" s="62">
        <f t="shared" si="5"/>
        <v>523.74466628514915</v>
      </c>
      <c r="AN34" s="62">
        <f ca="1">AVERAGE(OFFSET($AM$3,0,0,'Données projet'!$E$10+1,1))-AVERAGE(OFFSET($H$3,0,0,'Données projet'!$E$10+1,1))</f>
        <v>255.68195973350799</v>
      </c>
      <c r="AO34" s="62">
        <f t="shared" si="36"/>
        <v>269.20928353552461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157.59999999999997</v>
      </c>
      <c r="BE34" s="14">
        <f>BD34*VLOOKUP('Données projet'!$B$11,Paramètres!$A$1:$I$89,3,0)*VLOOKUP('Données projet'!$B$11,Paramètres!$A$1:$I$89,5,0)</f>
        <v>125.38655999999999</v>
      </c>
      <c r="BF34" s="14">
        <f t="shared" si="37"/>
        <v>32.928097385453498</v>
      </c>
      <c r="BG34" s="22">
        <f t="shared" si="7"/>
        <v>275.73136161299811</v>
      </c>
      <c r="BH34" s="62">
        <f t="shared" si="8"/>
        <v>569.06469494633143</v>
      </c>
      <c r="BI34" s="62">
        <f ca="1">AVERAGE(OFFSET($BH$3,0,0,'Données projet'!$E$11+1,1))-AVERAGE(OFFSET($H$3,0,0,'Données projet'!$E$11+1,1))</f>
        <v>243.51680047412441</v>
      </c>
      <c r="BJ34" s="62">
        <f t="shared" si="38"/>
        <v>224.00025638752402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157.59999999999997</v>
      </c>
      <c r="BZ34" s="14">
        <f>BY34*VLOOKUP('Données projet'!$B$12,Paramètres!$A$1:$I$89,3,0)*VLOOKUP('Données projet'!$B$12,Paramètres!$A$1:$I$89,5,0)</f>
        <v>115.55231999999997</v>
      </c>
      <c r="CA34" s="14">
        <f t="shared" si="39"/>
        <v>30.635381800029723</v>
      </c>
      <c r="CB34" s="22">
        <f t="shared" si="10"/>
        <v>254.61024730171837</v>
      </c>
      <c r="CC34" s="62">
        <f t="shared" si="11"/>
        <v>547.94358063505172</v>
      </c>
      <c r="CD34" s="62">
        <f ca="1">AVERAGE(OFFSET($CC$3,0,0,'Données projet'!$E$12+1,1))-AVERAGE(OFFSET($H$3,0,0,'Données projet'!$E$12+1,1))</f>
        <v>221.4629402571224</v>
      </c>
      <c r="CE34" s="62">
        <f t="shared" si="40"/>
        <v>204.26941562549416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8.3333333333333321</v>
      </c>
      <c r="CT34" s="13">
        <f>IF('Données projet'!$A$140&gt;35,CT33+CS34-DB33,IF(A34&lt;'Données projet'!$A$140,$CQ$205^A34,IF(A34='Données projet'!$A$140,'Données projet'!$B$140,CT33+CS34-DB33)))</f>
        <v>135.25641025641028</v>
      </c>
      <c r="CU34" s="18">
        <f>CT34*VLOOKUP('Données projet'!$B$13,Paramètres!$A$1:$I$89,3,0)*VLOOKUP('Données projet'!$B$13,Paramètres!$A$1:$I$89,5,0)</f>
        <v>141.37000000000003</v>
      </c>
      <c r="CV34" s="14">
        <f t="shared" si="41"/>
        <v>36.610675159135589</v>
      </c>
      <c r="CW34" s="22">
        <f t="shared" si="13"/>
        <v>309.98300923549448</v>
      </c>
      <c r="CX34" s="62">
        <f t="shared" si="14"/>
        <v>603.31634256882785</v>
      </c>
      <c r="CY34" s="62">
        <f ca="1">AVERAGE(OFFSET($CX$3,0,0,'Données projet'!$E$13+1,1))-AVERAGE(OFFSET($H$3,0,0,'Données projet'!$E$13+1,1))</f>
        <v>492.66134897013183</v>
      </c>
      <c r="CZ34" s="62">
        <f t="shared" si="42"/>
        <v>307.87428858945862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18.100000000000001</v>
      </c>
      <c r="N35" s="14">
        <f>IF('Données projet'!$A$36&gt;35,N34+M35-V34,IF(A35&lt;'Données projet'!$A$36,$K$205^A35,IF(A35='Données projet'!$A$36,'Données projet'!$B$36,N34+M35-V34)))</f>
        <v>251.19230769230765</v>
      </c>
      <c r="O35" s="14">
        <f>N35*VLOOKUP('Données projet'!$B$9,Paramètres!$A$1:$I$89,3,0)*VLOOKUP('Données projet'!$B$9,Paramètres!$A$1:$I$89,5,0)</f>
        <v>140.41649999999998</v>
      </c>
      <c r="P35" s="14">
        <f t="shared" si="33"/>
        <v>36.392403294074647</v>
      </c>
      <c r="Q35" s="22">
        <f t="shared" ref="Q35:Q66" si="53">(O35+P35)*0.475*44/12</f>
        <v>307.94217323717999</v>
      </c>
      <c r="R35" s="62">
        <f t="shared" si="0"/>
        <v>601.27550657051324</v>
      </c>
      <c r="S35" s="62">
        <f ca="1">AVERAGE(OFFSET($R$3,0,0,'Données projet'!$E$9+1,1))-AVERAGE(OFFSET($H$3,0,0,'Données projet'!$E$9+1,1))</f>
        <v>256.47911362806866</v>
      </c>
      <c r="T35" s="62">
        <f t="shared" si="34"/>
        <v>230.93438491511529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4.2890301230597663</v>
      </c>
      <c r="AA35" s="23">
        <f>EXP(-LN(2)/25)*AA34+(1-EXP(-LN(2)/25))/(LN(2)/25)*Calculateur!V35*Calculateur!X35*VLOOKUP('Données projet'!$B$9,Paramètres!$A$1:$I$89,3,0)*0.475*44/12</f>
        <v>7.8024208902826429</v>
      </c>
      <c r="AB35" s="23">
        <f>EXP(-LN(2)/2)*AB34+(1-EXP(-LN(2)/2))/(LN(2)/2)*V35*Y35*VLOOKUP('Données projet'!$B$9,Paramètres!$A$1:$I$89,3,0)*0.475*44/12</f>
        <v>3.0439035898090103</v>
      </c>
      <c r="AC35" s="24">
        <f t="shared" si="3"/>
        <v>15.13535460315142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8.4</v>
      </c>
      <c r="AI35" s="14">
        <f>IF('Données projet'!$A$62&gt;35,AI34+AH35-AQ34,IF(A35&lt;'Données projet'!$A$62,$AF$205^A35,IF(A35='Données projet'!$A$62,'Données projet'!$B$62,AI34+AH35-AQ34)))</f>
        <v>127.80000000000001</v>
      </c>
      <c r="AJ35" s="14">
        <f>AI35*VLOOKUP('Données projet'!$B$10,Paramètres!$A$1:$I$89,3,0)*VLOOKUP('Données projet'!$B$10,Paramètres!$A$1:$I$89,5,0)</f>
        <v>111.64608000000003</v>
      </c>
      <c r="AK35" s="14">
        <f t="shared" si="35"/>
        <v>29.718477955114288</v>
      </c>
      <c r="AL35" s="22">
        <f t="shared" si="4"/>
        <v>246.20993843849078</v>
      </c>
      <c r="AM35" s="62">
        <f t="shared" si="5"/>
        <v>539.54327177182404</v>
      </c>
      <c r="AN35" s="62">
        <f ca="1">AVERAGE(OFFSET($AM$3,0,0,'Données projet'!$E$10+1,1))-AVERAGE(OFFSET($H$3,0,0,'Données projet'!$E$10+1,1))</f>
        <v>255.68195973350799</v>
      </c>
      <c r="AO35" s="62">
        <f t="shared" si="36"/>
        <v>269.20928353552461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168.19999999999996</v>
      </c>
      <c r="BE35" s="14">
        <f>BD35*VLOOKUP('Données projet'!$B$11,Paramètres!$A$1:$I$89,3,0)*VLOOKUP('Données projet'!$B$11,Paramètres!$A$1:$I$89,5,0)</f>
        <v>133.81991999999997</v>
      </c>
      <c r="BF35" s="14">
        <f t="shared" si="37"/>
        <v>34.877537443386267</v>
      </c>
      <c r="BG35" s="22">
        <f t="shared" si="7"/>
        <v>293.81473838056439</v>
      </c>
      <c r="BH35" s="62">
        <f t="shared" si="8"/>
        <v>587.14807171389771</v>
      </c>
      <c r="BI35" s="62">
        <f ca="1">AVERAGE(OFFSET($BH$3,0,0,'Données projet'!$E$11+1,1))-AVERAGE(OFFSET($H$3,0,0,'Données projet'!$E$11+1,1))</f>
        <v>243.51680047412441</v>
      </c>
      <c r="BJ35" s="62">
        <f t="shared" si="38"/>
        <v>224.00025638752402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168.19999999999996</v>
      </c>
      <c r="BZ35" s="14">
        <f>BY35*VLOOKUP('Données projet'!$B$12,Paramètres!$A$1:$I$89,3,0)*VLOOKUP('Données projet'!$B$12,Paramètres!$A$1:$I$89,5,0)</f>
        <v>123.32423999999996</v>
      </c>
      <c r="CA35" s="14">
        <f t="shared" si="39"/>
        <v>32.449086362790929</v>
      </c>
      <c r="CB35" s="22">
        <f t="shared" si="10"/>
        <v>271.30521008186082</v>
      </c>
      <c r="CC35" s="62">
        <f t="shared" si="11"/>
        <v>564.63854341519414</v>
      </c>
      <c r="CD35" s="62">
        <f ca="1">AVERAGE(OFFSET($CC$3,0,0,'Données projet'!$E$12+1,1))-AVERAGE(OFFSET($H$3,0,0,'Données projet'!$E$12+1,1))</f>
        <v>221.4629402571224</v>
      </c>
      <c r="CE35" s="62">
        <f t="shared" si="40"/>
        <v>204.26941562549416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8.3333333333333321</v>
      </c>
      <c r="CT35" s="13">
        <f>IF('Données projet'!$A$140&gt;35,CT34+CS35-DB34,IF(A35&lt;'Données projet'!$A$140,$CQ$205^A35,IF(A35='Données projet'!$A$140,'Données projet'!$B$140,CT34+CS35-DB34)))</f>
        <v>143.58974358974362</v>
      </c>
      <c r="CU35" s="18">
        <f>CT35*VLOOKUP('Données projet'!$B$13,Paramètres!$A$1:$I$89,3,0)*VLOOKUP('Données projet'!$B$13,Paramètres!$A$1:$I$89,5,0)</f>
        <v>150.08000000000004</v>
      </c>
      <c r="CV35" s="14">
        <f t="shared" si="41"/>
        <v>38.596765343718673</v>
      </c>
      <c r="CW35" s="22">
        <f t="shared" si="13"/>
        <v>328.61203297364347</v>
      </c>
      <c r="CX35" s="62">
        <f t="shared" si="14"/>
        <v>621.94536630697678</v>
      </c>
      <c r="CY35" s="62">
        <f ca="1">AVERAGE(OFFSET($CX$3,0,0,'Données projet'!$E$13+1,1))-AVERAGE(OFFSET($H$3,0,0,'Données projet'!$E$13+1,1))</f>
        <v>492.66134897013183</v>
      </c>
      <c r="CZ35" s="62">
        <f t="shared" si="42"/>
        <v>307.87428858945862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18.100000000000001</v>
      </c>
      <c r="N36" s="14">
        <f>IF('Données projet'!$A$36&gt;35,N35+M36-V35,IF(A36&lt;'Données projet'!$A$36,$K$205^A36,IF(A36='Données projet'!$A$36,'Données projet'!$B$36,N35+M36-V35)))</f>
        <v>269.29230769230765</v>
      </c>
      <c r="O36" s="14">
        <f>N36*VLOOKUP('Données projet'!$B$9,Paramètres!$A$1:$I$89,3,0)*VLOOKUP('Données projet'!$B$9,Paramètres!$A$1:$I$89,5,0)</f>
        <v>150.53439999999998</v>
      </c>
      <c r="P36" s="14">
        <f t="shared" si="33"/>
        <v>38.700004790658191</v>
      </c>
      <c r="Q36" s="22">
        <f t="shared" si="53"/>
        <v>329.58325501039627</v>
      </c>
      <c r="R36" s="62">
        <f t="shared" si="0"/>
        <v>622.91658834372959</v>
      </c>
      <c r="S36" s="62">
        <f ca="1">AVERAGE(OFFSET($R$3,0,0,'Données projet'!$E$9+1,1))-AVERAGE(OFFSET($H$3,0,0,'Données projet'!$E$9+1,1))</f>
        <v>256.47911362806866</v>
      </c>
      <c r="T36" s="62">
        <f t="shared" si="34"/>
        <v>230.93438491511529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4.2049248583966259</v>
      </c>
      <c r="AA36" s="23">
        <f>EXP(-LN(2)/25)*AA35+(1-EXP(-LN(2)/25))/(LN(2)/25)*Calculateur!V36*Calculateur!X36*VLOOKUP('Données projet'!$B$9,Paramètres!$A$1:$I$89,3,0)*0.475*44/12</f>
        <v>7.589063280726382</v>
      </c>
      <c r="AB36" s="23">
        <f>EXP(-LN(2)/2)*AB35+(1-EXP(-LN(2)/2))/(LN(2)/2)*V36*Y36*VLOOKUP('Données projet'!$B$9,Paramètres!$A$1:$I$89,3,0)*0.475*44/12</f>
        <v>2.1523648696320263</v>
      </c>
      <c r="AC36" s="24">
        <f t="shared" si="3"/>
        <v>13.946353008755036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8.4</v>
      </c>
      <c r="AI36" s="14">
        <f>IF('Données projet'!$A$62&gt;35,AI35+AH36-AQ35,IF(A36&lt;'Données projet'!$A$62,$AF$205^A36,IF(A36='Données projet'!$A$62,'Données projet'!$B$62,AI35+AH36-AQ35)))</f>
        <v>136.20000000000002</v>
      </c>
      <c r="AJ36" s="14">
        <f>AI36*VLOOKUP('Données projet'!$B$10,Paramètres!$A$1:$I$89,3,0)*VLOOKUP('Données projet'!$B$10,Paramètres!$A$1:$I$89,5,0)</f>
        <v>118.98432000000004</v>
      </c>
      <c r="AK36" s="14">
        <f t="shared" si="35"/>
        <v>31.437991550787316</v>
      </c>
      <c r="AL36" s="22">
        <f t="shared" si="4"/>
        <v>261.98552595095464</v>
      </c>
      <c r="AM36" s="62">
        <f t="shared" si="5"/>
        <v>555.31885928428801</v>
      </c>
      <c r="AN36" s="62">
        <f ca="1">AVERAGE(OFFSET($AM$3,0,0,'Données projet'!$E$10+1,1))-AVERAGE(OFFSET($H$3,0,0,'Données projet'!$E$10+1,1))</f>
        <v>255.68195973350799</v>
      </c>
      <c r="AO36" s="62">
        <f t="shared" si="36"/>
        <v>269.20928353552461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178.79999999999995</v>
      </c>
      <c r="BE36" s="14">
        <f>BD36*VLOOKUP('Données projet'!$B$11,Paramètres!$A$1:$I$89,3,0)*VLOOKUP('Données projet'!$B$11,Paramètres!$A$1:$I$89,5,0)</f>
        <v>142.25327999999996</v>
      </c>
      <c r="BF36" s="14">
        <f t="shared" si="37"/>
        <v>36.812719642712231</v>
      </c>
      <c r="BG36" s="22">
        <f t="shared" si="7"/>
        <v>311.87328271105707</v>
      </c>
      <c r="BH36" s="62">
        <f t="shared" si="8"/>
        <v>605.20661604439033</v>
      </c>
      <c r="BI36" s="62">
        <f ca="1">AVERAGE(OFFSET($BH$3,0,0,'Données projet'!$E$11+1,1))-AVERAGE(OFFSET($H$3,0,0,'Données projet'!$E$11+1,1))</f>
        <v>243.51680047412441</v>
      </c>
      <c r="BJ36" s="62">
        <f t="shared" si="38"/>
        <v>224.00025638752402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178.79999999999995</v>
      </c>
      <c r="BZ36" s="14">
        <f>BY36*VLOOKUP('Données projet'!$B$12,Paramètres!$A$1:$I$89,3,0)*VLOOKUP('Données projet'!$B$12,Paramètres!$A$1:$I$89,5,0)</f>
        <v>131.09615999999997</v>
      </c>
      <c r="CA36" s="14">
        <f t="shared" si="39"/>
        <v>34.249525812267358</v>
      </c>
      <c r="CB36" s="22">
        <f t="shared" si="10"/>
        <v>287.9770694563656</v>
      </c>
      <c r="CC36" s="62">
        <f t="shared" si="11"/>
        <v>581.31040278969886</v>
      </c>
      <c r="CD36" s="62">
        <f ca="1">AVERAGE(OFFSET($CC$3,0,0,'Données projet'!$E$12+1,1))-AVERAGE(OFFSET($H$3,0,0,'Données projet'!$E$12+1,1))</f>
        <v>221.4629402571224</v>
      </c>
      <c r="CE36" s="62">
        <f t="shared" si="40"/>
        <v>204.26941562549416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8.3333333333333321</v>
      </c>
      <c r="CT36" s="13">
        <f>IF('Données projet'!$A$140&gt;35,CT35+CS36-DB35,IF(A36&lt;'Données projet'!$A$140,$CQ$205^A36,IF(A36='Données projet'!$A$140,'Données projet'!$B$140,CT35+CS36-DB35)))</f>
        <v>151.92307692307696</v>
      </c>
      <c r="CU36" s="18">
        <f>CT36*VLOOKUP('Données projet'!$B$13,Paramètres!$A$1:$I$89,3,0)*VLOOKUP('Données projet'!$B$13,Paramètres!$A$1:$I$89,5,0)</f>
        <v>158.79000000000008</v>
      </c>
      <c r="CV36" s="14">
        <f t="shared" si="41"/>
        <v>40.569476067936968</v>
      </c>
      <c r="CW36" s="22">
        <f t="shared" si="13"/>
        <v>347.21775415165695</v>
      </c>
      <c r="CX36" s="62">
        <f t="shared" si="14"/>
        <v>640.55108748499026</v>
      </c>
      <c r="CY36" s="62">
        <f ca="1">AVERAGE(OFFSET($CX$3,0,0,'Données projet'!$E$13+1,1))-AVERAGE(OFFSET($H$3,0,0,'Données projet'!$E$13+1,1))</f>
        <v>492.66134897013183</v>
      </c>
      <c r="CZ36" s="62">
        <f t="shared" si="42"/>
        <v>307.87428858945862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18.100000000000001</v>
      </c>
      <c r="N37" s="14">
        <f>IF('Données projet'!$A$36&gt;35,N36+M37-V36,IF(A37&lt;'Données projet'!$A$36,$K$205^A37,IF(A37='Données projet'!$A$36,'Données projet'!$B$36,N36+M37-V36)))</f>
        <v>287.39230769230767</v>
      </c>
      <c r="O37" s="14">
        <f>N37*VLOOKUP('Données projet'!$B$9,Paramètres!$A$1:$I$89,3,0)*VLOOKUP('Données projet'!$B$9,Paramètres!$A$1:$I$89,5,0)</f>
        <v>160.6523</v>
      </c>
      <c r="P37" s="14">
        <f t="shared" si="33"/>
        <v>40.989608635643826</v>
      </c>
      <c r="Q37" s="22">
        <f t="shared" si="53"/>
        <v>351.19299087374634</v>
      </c>
      <c r="R37" s="62">
        <f t="shared" si="0"/>
        <v>644.5263242070796</v>
      </c>
      <c r="S37" s="62">
        <f ca="1">AVERAGE(OFFSET($R$3,0,0,'Données projet'!$E$9+1,1))-AVERAGE(OFFSET($H$3,0,0,'Données projet'!$E$9+1,1))</f>
        <v>256.47911362806866</v>
      </c>
      <c r="T37" s="62">
        <f t="shared" si="34"/>
        <v>230.93438491511529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4.1224688466743835</v>
      </c>
      <c r="AA37" s="23">
        <f>EXP(-LN(2)/25)*AA36+(1-EXP(-LN(2)/25))/(LN(2)/25)*Calculateur!V37*Calculateur!X37*VLOOKUP('Données projet'!$B$9,Paramètres!$A$1:$I$89,3,0)*0.475*44/12</f>
        <v>7.3815399462234259</v>
      </c>
      <c r="AB37" s="23">
        <f>EXP(-LN(2)/2)*AB36+(1-EXP(-LN(2)/2))/(LN(2)/2)*V37*Y37*VLOOKUP('Données projet'!$B$9,Paramètres!$A$1:$I$89,3,0)*0.475*44/12</f>
        <v>1.5219517949045052</v>
      </c>
      <c r="AC37" s="24">
        <f t="shared" si="3"/>
        <v>13.025960587802315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8.4</v>
      </c>
      <c r="AI37" s="14">
        <f>IF('Données projet'!$A$62&gt;35,AI36+AH37-AQ36,IF(A37&lt;'Données projet'!$A$62,$AF$205^A37,IF(A37='Données projet'!$A$62,'Données projet'!$B$62,AI36+AH37-AQ36)))</f>
        <v>144.60000000000002</v>
      </c>
      <c r="AJ37" s="14">
        <f>AI37*VLOOKUP('Données projet'!$B$10,Paramètres!$A$1:$I$89,3,0)*VLOOKUP('Données projet'!$B$10,Paramètres!$A$1:$I$89,5,0)</f>
        <v>126.32256000000005</v>
      </c>
      <c r="AK37" s="14">
        <f t="shared" si="35"/>
        <v>33.145196976032764</v>
      </c>
      <c r="AL37" s="22">
        <f t="shared" si="4"/>
        <v>277.73967673325717</v>
      </c>
      <c r="AM37" s="62">
        <f t="shared" si="5"/>
        <v>571.07301006659054</v>
      </c>
      <c r="AN37" s="62">
        <f ca="1">AVERAGE(OFFSET($AM$3,0,0,'Données projet'!$E$10+1,1))-AVERAGE(OFFSET($H$3,0,0,'Données projet'!$E$10+1,1))</f>
        <v>255.68195973350799</v>
      </c>
      <c r="AO37" s="62">
        <f t="shared" si="36"/>
        <v>269.20928353552461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189.39999999999995</v>
      </c>
      <c r="BE37" s="14">
        <f>BD37*VLOOKUP('Données projet'!$B$11,Paramètres!$A$1:$I$89,3,0)*VLOOKUP('Données projet'!$B$11,Paramètres!$A$1:$I$89,5,0)</f>
        <v>150.68663999999998</v>
      </c>
      <c r="BF37" s="14">
        <f t="shared" si="37"/>
        <v>38.734585523437175</v>
      </c>
      <c r="BG37" s="22">
        <f t="shared" si="7"/>
        <v>329.90863445331973</v>
      </c>
      <c r="BH37" s="62">
        <f t="shared" si="8"/>
        <v>623.24196778665305</v>
      </c>
      <c r="BI37" s="62">
        <f ca="1">AVERAGE(OFFSET($BH$3,0,0,'Données projet'!$E$11+1,1))-AVERAGE(OFFSET($H$3,0,0,'Données projet'!$E$11+1,1))</f>
        <v>243.51680047412441</v>
      </c>
      <c r="BJ37" s="62">
        <f t="shared" si="38"/>
        <v>224.00025638752402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189.39999999999995</v>
      </c>
      <c r="BZ37" s="14">
        <f>BY37*VLOOKUP('Données projet'!$B$12,Paramètres!$A$1:$I$89,3,0)*VLOOKUP('Données projet'!$B$12,Paramètres!$A$1:$I$89,5,0)</f>
        <v>138.86807999999996</v>
      </c>
      <c r="CA37" s="14">
        <f t="shared" si="39"/>
        <v>36.037576130973861</v>
      </c>
      <c r="CB37" s="22">
        <f t="shared" si="10"/>
        <v>304.62735109477939</v>
      </c>
      <c r="CC37" s="62">
        <f t="shared" si="11"/>
        <v>597.9606844281127</v>
      </c>
      <c r="CD37" s="62">
        <f ca="1">AVERAGE(OFFSET($CC$3,0,0,'Données projet'!$E$12+1,1))-AVERAGE(OFFSET($H$3,0,0,'Données projet'!$E$12+1,1))</f>
        <v>221.4629402571224</v>
      </c>
      <c r="CE37" s="62">
        <f t="shared" si="40"/>
        <v>204.26941562549416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8.3333333333333321</v>
      </c>
      <c r="CT37" s="13">
        <f>IF('Données projet'!$A$140&gt;35,CT36+CS37-DB36,IF(A37&lt;'Données projet'!$A$140,$CQ$205^A37,IF(A37='Données projet'!$A$140,'Données projet'!$B$140,CT36+CS37-DB36)))</f>
        <v>160.25641025641031</v>
      </c>
      <c r="CU37" s="18">
        <f>CT37*VLOOKUP('Données projet'!$B$13,Paramètres!$A$1:$I$89,3,0)*VLOOKUP('Données projet'!$B$13,Paramètres!$A$1:$I$89,5,0)</f>
        <v>167.50000000000006</v>
      </c>
      <c r="CV37" s="14">
        <f t="shared" si="41"/>
        <v>42.529624883325226</v>
      </c>
      <c r="CW37" s="22">
        <f t="shared" si="13"/>
        <v>365.80159667179151</v>
      </c>
      <c r="CX37" s="62">
        <f t="shared" si="14"/>
        <v>659.13493000512483</v>
      </c>
      <c r="CY37" s="62">
        <f ca="1">AVERAGE(OFFSET($CX$3,0,0,'Données projet'!$E$13+1,1))-AVERAGE(OFFSET($H$3,0,0,'Données projet'!$E$13+1,1))</f>
        <v>492.66134897013183</v>
      </c>
      <c r="CZ37" s="62">
        <f t="shared" si="42"/>
        <v>307.87428858945862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305.49230769230769</v>
      </c>
      <c r="L38" s="13">
        <f>VLOOKUP(A38,'Données projet'!$A$35:$I$55,9,0)</f>
        <v>18.100000000000001</v>
      </c>
      <c r="M38" s="13">
        <f t="array" ref="M38">INDEX(L:L,MIN(IF(ISNUMBER(L38:L234),ROW(L38:L234),"")))</f>
        <v>18.100000000000001</v>
      </c>
      <c r="N38" s="14">
        <f>IF('Données projet'!$A$36&gt;35,N37+M38-V37,IF(A38&lt;'Données projet'!$A$36,$K$205^A38,IF(A38='Données projet'!$A$36,'Données projet'!$B$36,N37+M38-V37)))</f>
        <v>305.49230769230769</v>
      </c>
      <c r="O38" s="14">
        <f>N38*VLOOKUP('Données projet'!$B$9,Paramètres!$A$1:$I$89,3,0)*VLOOKUP('Données projet'!$B$9,Paramètres!$A$1:$I$89,5,0)</f>
        <v>170.77019999999999</v>
      </c>
      <c r="P38" s="14">
        <f t="shared" si="33"/>
        <v>43.26247735598961</v>
      </c>
      <c r="Q38" s="22">
        <f t="shared" si="53"/>
        <v>372.77357972834852</v>
      </c>
      <c r="R38" s="62">
        <f t="shared" si="0"/>
        <v>666.10691306168178</v>
      </c>
      <c r="S38" s="62">
        <f ca="1">AVERAGE(OFFSET($R$3,0,0,'Données projet'!$E$9+1,1))-AVERAGE(OFFSET($H$3,0,0,'Données projet'!$E$9+1,1))</f>
        <v>256.47911362806866</v>
      </c>
      <c r="T38" s="62">
        <f t="shared" si="34"/>
        <v>230.93438491511529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70.5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4.0416297470488134</v>
      </c>
      <c r="AA38" s="23">
        <f>EXP(-LN(2)/25)*AA37+(1-EXP(-LN(2)/25))/(LN(2)/25)*Calculateur!V38*Calculateur!X38*VLOOKUP('Données projet'!$B$9,Paramètres!$A$1:$I$89,3,0)*0.475*44/12</f>
        <v>7.1796913482156315</v>
      </c>
      <c r="AB38" s="23">
        <f>EXP(-LN(2)/2)*AB37+(1-EXP(-LN(2)/2))/(LN(2)/2)*V38*Y38*VLOOKUP('Données projet'!$B$9,Paramètres!$A$1:$I$89,3,0)*0.475*44/12</f>
        <v>1.0761824348160132</v>
      </c>
      <c r="AC38" s="24">
        <f t="shared" si="3"/>
        <v>12.297503530080458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153</v>
      </c>
      <c r="AG38" s="13">
        <f>VLOOKUP(A38,'Données projet'!$A$61:$I$81,9,0)</f>
        <v>8.4</v>
      </c>
      <c r="AH38" s="13">
        <f t="array" ref="AH38">INDEX(AG:AG,MIN(IF(ISNUMBER(AG38:AG234),ROW(AG38:AG234),"")))</f>
        <v>8.4</v>
      </c>
      <c r="AI38" s="14">
        <f>IF('Données projet'!$A$62&gt;35,AI37+AH38-AQ37,IF(A38&lt;'Données projet'!$A$62,$AF$205^A38,IF(A38='Données projet'!$A$62,'Données projet'!$B$62,AI37+AH38-AQ37)))</f>
        <v>153.00000000000003</v>
      </c>
      <c r="AJ38" s="14">
        <f>AI38*VLOOKUP('Données projet'!$B$10,Paramètres!$A$1:$I$89,3,0)*VLOOKUP('Données projet'!$B$10,Paramètres!$A$1:$I$89,5,0)</f>
        <v>133.66080000000005</v>
      </c>
      <c r="AK38" s="14">
        <f t="shared" si="35"/>
        <v>34.840890682716747</v>
      </c>
      <c r="AL38" s="22">
        <f t="shared" si="4"/>
        <v>293.47377793906509</v>
      </c>
      <c r="AM38" s="62">
        <f t="shared" si="5"/>
        <v>586.8071112723984</v>
      </c>
      <c r="AN38" s="62">
        <f ca="1">AVERAGE(OFFSET($AM$3,0,0,'Données projet'!$E$10+1,1))-AVERAGE(OFFSET($H$3,0,0,'Données projet'!$E$10+1,1))</f>
        <v>255.68195973350799</v>
      </c>
      <c r="AO38" s="62">
        <f t="shared" si="36"/>
        <v>269.20928353552461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200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199.99999999999994</v>
      </c>
      <c r="BE38" s="14">
        <f>BD38*VLOOKUP('Données projet'!$B$11,Paramètres!$A$1:$I$89,3,0)*VLOOKUP('Données projet'!$B$11,Paramètres!$A$1:$I$89,5,0)</f>
        <v>159.11999999999995</v>
      </c>
      <c r="BF38" s="14">
        <f t="shared" si="37"/>
        <v>40.643965284387697</v>
      </c>
      <c r="BG38" s="22">
        <f t="shared" si="7"/>
        <v>347.92223953697516</v>
      </c>
      <c r="BH38" s="62">
        <f t="shared" si="8"/>
        <v>641.25557287030847</v>
      </c>
      <c r="BI38" s="62">
        <f ca="1">AVERAGE(OFFSET($BH$3,0,0,'Données projet'!$E$11+1,1))-AVERAGE(OFFSET($H$3,0,0,'Données projet'!$E$11+1,1))</f>
        <v>243.51680047412441</v>
      </c>
      <c r="BJ38" s="62">
        <f t="shared" si="38"/>
        <v>224.00025638752402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200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199.99999999999994</v>
      </c>
      <c r="BZ38" s="14">
        <f>BY38*VLOOKUP('Données projet'!$B$12,Paramètres!$A$1:$I$89,3,0)*VLOOKUP('Données projet'!$B$12,Paramètres!$A$1:$I$89,5,0)</f>
        <v>146.63999999999996</v>
      </c>
      <c r="CA38" s="14">
        <f t="shared" si="39"/>
        <v>37.814009712703026</v>
      </c>
      <c r="CB38" s="22">
        <f t="shared" si="10"/>
        <v>321.25740024962437</v>
      </c>
      <c r="CC38" s="62">
        <f t="shared" si="11"/>
        <v>614.59073358295768</v>
      </c>
      <c r="CD38" s="62">
        <f ca="1">AVERAGE(OFFSET($CC$3,0,0,'Données projet'!$E$12+1,1))-AVERAGE(OFFSET($H$3,0,0,'Données projet'!$E$12+1,1))</f>
        <v>221.4629402571224</v>
      </c>
      <c r="CE38" s="62">
        <f t="shared" si="40"/>
        <v>204.26941562549416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168.58974358974359</v>
      </c>
      <c r="CR38" s="13">
        <f>VLOOKUP(A38,'Données projet'!$A$139:$I$159,9,0)</f>
        <v>8.3333333333333321</v>
      </c>
      <c r="CS38" s="13">
        <f t="array" ref="CS38">INDEX(CR:CR,MIN(IF(ISNUMBER(CR38:CR234),ROW(CR38:CR234),"")))</f>
        <v>8.3333333333333321</v>
      </c>
      <c r="CT38" s="13">
        <f>IF('Données projet'!$A$140&gt;35,CT37+CS38-DB37,IF(A38&lt;'Données projet'!$A$140,$CQ$205^A38,IF(A38='Données projet'!$A$140,'Données projet'!$B$140,CT37+CS38-DB37)))</f>
        <v>168.58974358974365</v>
      </c>
      <c r="CU38" s="18">
        <f>CT38*VLOOKUP('Données projet'!$B$13,Paramètres!$A$1:$I$89,3,0)*VLOOKUP('Données projet'!$B$13,Paramètres!$A$1:$I$89,5,0)</f>
        <v>176.21000000000006</v>
      </c>
      <c r="CV38" s="14">
        <f t="shared" si="41"/>
        <v>44.477939513715754</v>
      </c>
      <c r="CW38" s="22">
        <f t="shared" si="13"/>
        <v>384.36482798638843</v>
      </c>
      <c r="CX38" s="62">
        <f t="shared" si="14"/>
        <v>677.69816131972175</v>
      </c>
      <c r="CY38" s="62">
        <f ca="1">AVERAGE(OFFSET($CX$3,0,0,'Données projet'!$E$13+1,1))-AVERAGE(OFFSET($H$3,0,0,'Données projet'!$E$13+1,1))</f>
        <v>492.66134897013183</v>
      </c>
      <c r="CZ38" s="62">
        <f t="shared" si="42"/>
        <v>307.87428858945862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18.229670329670324</v>
      </c>
      <c r="N39" s="14">
        <f>IF('Données projet'!$A$36&gt;35,N38+M39-V38,IF(A39&lt;'Données projet'!$A$36,$K$205^A39,IF(A39='Données projet'!$A$36,'Données projet'!$B$36,N38+M39-V38)))</f>
        <v>253.22197802197803</v>
      </c>
      <c r="O39" s="14">
        <f>N39*VLOOKUP('Données projet'!$B$9,Paramètres!$A$1:$I$89,3,0)*VLOOKUP('Données projet'!$B$9,Paramètres!$A$1:$I$89,5,0)</f>
        <v>141.55108571428573</v>
      </c>
      <c r="P39" s="14">
        <f t="shared" si="33"/>
        <v>36.652109269178766</v>
      </c>
      <c r="Q39" s="22">
        <f t="shared" si="53"/>
        <v>310.37056459620067</v>
      </c>
      <c r="R39" s="62">
        <f t="shared" si="0"/>
        <v>603.70389792953392</v>
      </c>
      <c r="S39" s="62">
        <f ca="1">AVERAGE(OFFSET($R$3,0,0,'Données projet'!$E$9+1,1))-AVERAGE(OFFSET($H$3,0,0,'Données projet'!$E$9+1,1))</f>
        <v>256.47911362806866</v>
      </c>
      <c r="T39" s="62">
        <f t="shared" si="34"/>
        <v>230.93438491511529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3.9623758528599184</v>
      </c>
      <c r="AA39" s="23">
        <f>EXP(-LN(2)/25)*AA38+(1-EXP(-LN(2)/25))/(LN(2)/25)*Calculateur!V39*Calculateur!X39*VLOOKUP('Données projet'!$B$9,Paramètres!$A$1:$I$89,3,0)*0.475*44/12</f>
        <v>6.9833623107351164</v>
      </c>
      <c r="AB39" s="23">
        <f>EXP(-LN(2)/2)*AB38+(1-EXP(-LN(2)/2))/(LN(2)/2)*V39*Y39*VLOOKUP('Données projet'!$B$9,Paramètres!$A$1:$I$89,3,0)*0.475*44/12</f>
        <v>0.76097589745225258</v>
      </c>
      <c r="AC39" s="24">
        <f t="shared" si="3"/>
        <v>11.706714061047288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160.80000000000004</v>
      </c>
      <c r="AJ39" s="14">
        <f>AI39*VLOOKUP('Données projet'!$B$10,Paramètres!$A$1:$I$89,3,0)*VLOOKUP('Données projet'!$B$10,Paramètres!$A$1:$I$89,5,0)</f>
        <v>140.47488000000004</v>
      </c>
      <c r="AK39" s="14">
        <f t="shared" si="35"/>
        <v>36.405772385199718</v>
      </c>
      <c r="AL39" s="22">
        <f t="shared" si="4"/>
        <v>308.06713623755627</v>
      </c>
      <c r="AM39" s="62">
        <f t="shared" si="5"/>
        <v>601.40046957088953</v>
      </c>
      <c r="AN39" s="62">
        <f ca="1">AVERAGE(OFFSET($AM$3,0,0,'Données projet'!$E$10+1,1))-AVERAGE(OFFSET($H$3,0,0,'Données projet'!$E$10+1,1))</f>
        <v>255.68195973350799</v>
      </c>
      <c r="AO39" s="62">
        <f t="shared" si="36"/>
        <v>269.20928353552461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153.59999999999994</v>
      </c>
      <c r="BE39" s="14">
        <f>BD39*VLOOKUP('Données projet'!$B$11,Paramètres!$A$1:$I$89,3,0)*VLOOKUP('Données projet'!$B$11,Paramètres!$A$1:$I$89,5,0)</f>
        <v>122.20415999999996</v>
      </c>
      <c r="BF39" s="14">
        <f t="shared" si="37"/>
        <v>32.188537573102444</v>
      </c>
      <c r="BG39" s="22">
        <f t="shared" si="7"/>
        <v>268.90061493982</v>
      </c>
      <c r="BH39" s="62">
        <f t="shared" si="8"/>
        <v>562.23394827315337</v>
      </c>
      <c r="BI39" s="62">
        <f ca="1">AVERAGE(OFFSET($BH$3,0,0,'Données projet'!$E$11+1,1))-AVERAGE(OFFSET($H$3,0,0,'Données projet'!$E$11+1,1))</f>
        <v>243.51680047412441</v>
      </c>
      <c r="BJ39" s="62">
        <f t="shared" si="38"/>
        <v>224.00025638752402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153.59999999999994</v>
      </c>
      <c r="BZ39" s="14">
        <f>BY39*VLOOKUP('Données projet'!$B$12,Paramètres!$A$1:$I$89,3,0)*VLOOKUP('Données projet'!$B$12,Paramètres!$A$1:$I$89,5,0)</f>
        <v>112.61951999999995</v>
      </c>
      <c r="CA39" s="14">
        <f t="shared" si="39"/>
        <v>29.947316013837597</v>
      </c>
      <c r="CB39" s="22">
        <f t="shared" si="10"/>
        <v>248.30390605743375</v>
      </c>
      <c r="CC39" s="62">
        <f t="shared" si="11"/>
        <v>541.63723939076704</v>
      </c>
      <c r="CD39" s="62">
        <f ca="1">AVERAGE(OFFSET($CC$3,0,0,'Données projet'!$E$12+1,1))-AVERAGE(OFFSET($H$3,0,0,'Données projet'!$E$12+1,1))</f>
        <v>221.4629402571224</v>
      </c>
      <c r="CE39" s="62">
        <f t="shared" si="40"/>
        <v>204.26941562549416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7.8205128205128176</v>
      </c>
      <c r="CT39" s="13">
        <f>IF('Données projet'!$A$140&gt;35,CT38+CS39-DB38,IF(A39&lt;'Données projet'!$A$140,$CQ$205^A39,IF(A39='Données projet'!$A$140,'Données projet'!$B$140,CT38+CS39-DB38)))</f>
        <v>176.41025641025647</v>
      </c>
      <c r="CU39" s="18">
        <f>CT39*VLOOKUP('Données projet'!$B$13,Paramètres!$A$1:$I$89,3,0)*VLOOKUP('Données projet'!$B$13,Paramètres!$A$1:$I$89,5,0)</f>
        <v>184.38400000000007</v>
      </c>
      <c r="CV39" s="14">
        <f t="shared" si="41"/>
        <v>46.296175202781576</v>
      </c>
      <c r="CW39" s="22">
        <f t="shared" si="13"/>
        <v>401.76797181151136</v>
      </c>
      <c r="CX39" s="62">
        <f t="shared" si="14"/>
        <v>695.10130514484467</v>
      </c>
      <c r="CY39" s="62">
        <f ca="1">AVERAGE(OFFSET($CX$3,0,0,'Données projet'!$E$13+1,1))-AVERAGE(OFFSET($H$3,0,0,'Données projet'!$E$13+1,1))</f>
        <v>492.66134897013183</v>
      </c>
      <c r="CZ39" s="62">
        <f t="shared" si="42"/>
        <v>307.87428858945862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18.229670329670324</v>
      </c>
      <c r="N40" s="14">
        <f>IF('Données projet'!$A$36&gt;35,N39+M40-V39,IF(A40&lt;'Données projet'!$A$36,$K$205^A40,IF(A40='Données projet'!$A$36,'Données projet'!$B$36,N39+M40-V39)))</f>
        <v>271.45164835164837</v>
      </c>
      <c r="O40" s="14">
        <f>N40*VLOOKUP('Données projet'!$B$9,Paramètres!$A$1:$I$89,3,0)*VLOOKUP('Données projet'!$B$9,Paramètres!$A$1:$I$89,5,0)</f>
        <v>151.74147142857143</v>
      </c>
      <c r="P40" s="14">
        <f t="shared" si="33"/>
        <v>38.974074991810518</v>
      </c>
      <c r="Q40" s="22">
        <f t="shared" si="53"/>
        <v>332.16291001549854</v>
      </c>
      <c r="R40" s="62">
        <f t="shared" si="0"/>
        <v>625.49624334883185</v>
      </c>
      <c r="S40" s="62">
        <f ca="1">AVERAGE(OFFSET($R$3,0,0,'Données projet'!$E$9+1,1))-AVERAGE(OFFSET($H$3,0,0,'Données projet'!$E$9+1,1))</f>
        <v>256.47911362806866</v>
      </c>
      <c r="T40" s="62">
        <f t="shared" si="34"/>
        <v>230.93438491511529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3.8846760791959656</v>
      </c>
      <c r="AA40" s="23">
        <f>EXP(-LN(2)/25)*AA39+(1-EXP(-LN(2)/25))/(LN(2)/25)*Calculateur!V40*Calculateur!X40*VLOOKUP('Données projet'!$B$9,Paramètres!$A$1:$I$89,3,0)*0.475*44/12</f>
        <v>6.7924019011090015</v>
      </c>
      <c r="AB40" s="23">
        <f>EXP(-LN(2)/2)*AB39+(1-EXP(-LN(2)/2))/(LN(2)/2)*V40*Y40*VLOOKUP('Données projet'!$B$9,Paramètres!$A$1:$I$89,3,0)*0.475*44/12</f>
        <v>0.53809121740800658</v>
      </c>
      <c r="AC40" s="24">
        <f t="shared" si="3"/>
        <v>11.215169197712973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168.60000000000005</v>
      </c>
      <c r="AJ40" s="14">
        <f>AI40*VLOOKUP('Données projet'!$B$10,Paramètres!$A$1:$I$89,3,0)*VLOOKUP('Données projet'!$B$10,Paramètres!$A$1:$I$89,5,0)</f>
        <v>147.28896000000006</v>
      </c>
      <c r="AK40" s="14">
        <f t="shared" si="35"/>
        <v>37.961839593121944</v>
      </c>
      <c r="AL40" s="22">
        <f t="shared" si="4"/>
        <v>322.64514262468748</v>
      </c>
      <c r="AM40" s="62">
        <f t="shared" si="5"/>
        <v>615.97847595802079</v>
      </c>
      <c r="AN40" s="62">
        <f ca="1">AVERAGE(OFFSET($AM$3,0,0,'Données projet'!$E$10+1,1))-AVERAGE(OFFSET($H$3,0,0,'Données projet'!$E$10+1,1))</f>
        <v>255.68195973350799</v>
      </c>
      <c r="AO40" s="62">
        <f t="shared" si="36"/>
        <v>269.20928353552461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163.19999999999993</v>
      </c>
      <c r="BE40" s="14">
        <f>BD40*VLOOKUP('Données projet'!$B$11,Paramètres!$A$1:$I$89,3,0)*VLOOKUP('Données projet'!$B$11,Paramètres!$A$1:$I$89,5,0)</f>
        <v>129.84191999999996</v>
      </c>
      <c r="BF40" s="14">
        <f t="shared" si="37"/>
        <v>33.959829099416822</v>
      </c>
      <c r="BG40" s="22">
        <f t="shared" si="7"/>
        <v>285.28804634815089</v>
      </c>
      <c r="BH40" s="62">
        <f t="shared" si="8"/>
        <v>578.6213796814842</v>
      </c>
      <c r="BI40" s="62">
        <f ca="1">AVERAGE(OFFSET($BH$3,0,0,'Données projet'!$E$11+1,1))-AVERAGE(OFFSET($H$3,0,0,'Données projet'!$E$11+1,1))</f>
        <v>243.51680047412441</v>
      </c>
      <c r="BJ40" s="62">
        <f t="shared" si="38"/>
        <v>224.00025638752402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163.19999999999993</v>
      </c>
      <c r="BZ40" s="14">
        <f>BY40*VLOOKUP('Données projet'!$B$12,Paramètres!$A$1:$I$89,3,0)*VLOOKUP('Données projet'!$B$12,Paramètres!$A$1:$I$89,5,0)</f>
        <v>119.65823999999995</v>
      </c>
      <c r="CA40" s="14">
        <f t="shared" si="39"/>
        <v>31.595276160231307</v>
      </c>
      <c r="CB40" s="22">
        <f t="shared" si="10"/>
        <v>263.43320731240277</v>
      </c>
      <c r="CC40" s="62">
        <f t="shared" si="11"/>
        <v>556.76654064573609</v>
      </c>
      <c r="CD40" s="62">
        <f ca="1">AVERAGE(OFFSET($CC$3,0,0,'Données projet'!$E$12+1,1))-AVERAGE(OFFSET($H$3,0,0,'Données projet'!$E$12+1,1))</f>
        <v>221.4629402571224</v>
      </c>
      <c r="CE40" s="62">
        <f t="shared" si="40"/>
        <v>204.26941562549416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7.8205128205128176</v>
      </c>
      <c r="CT40" s="13">
        <f>IF('Données projet'!$A$140&gt;35,CT39+CS40-DB39,IF(A40&lt;'Données projet'!$A$140,$CQ$205^A40,IF(A40='Données projet'!$A$140,'Données projet'!$B$140,CT39+CS40-DB39)))</f>
        <v>184.23076923076928</v>
      </c>
      <c r="CU40" s="18">
        <f>CT40*VLOOKUP('Données projet'!$B$13,Paramètres!$A$1:$I$89,3,0)*VLOOKUP('Données projet'!$B$13,Paramètres!$A$1:$I$89,5,0)</f>
        <v>192.55800000000008</v>
      </c>
      <c r="CV40" s="14">
        <f t="shared" si="41"/>
        <v>48.105049406468041</v>
      </c>
      <c r="CW40" s="22">
        <f t="shared" si="13"/>
        <v>419.15481104959866</v>
      </c>
      <c r="CX40" s="62">
        <f t="shared" si="14"/>
        <v>712.48814438293198</v>
      </c>
      <c r="CY40" s="62">
        <f ca="1">AVERAGE(OFFSET($CX$3,0,0,'Données projet'!$E$13+1,1))-AVERAGE(OFFSET($H$3,0,0,'Données projet'!$E$13+1,1))</f>
        <v>492.66134897013183</v>
      </c>
      <c r="CZ40" s="62">
        <f t="shared" si="42"/>
        <v>307.87428858945862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18.229670329670324</v>
      </c>
      <c r="N41" s="14">
        <f>IF('Données projet'!$A$36&gt;35,N40+M41-V40,IF(A41&lt;'Données projet'!$A$36,$K$205^A41,IF(A41='Données projet'!$A$36,'Données projet'!$B$36,N40+M41-V40)))</f>
        <v>289.68131868131871</v>
      </c>
      <c r="O41" s="14">
        <f>N41*VLOOKUP('Données projet'!$B$9,Paramètres!$A$1:$I$89,3,0)*VLOOKUP('Données projet'!$B$9,Paramètres!$A$1:$I$89,5,0)</f>
        <v>161.93185714285718</v>
      </c>
      <c r="P41" s="14">
        <f t="shared" si="33"/>
        <v>41.277946347593272</v>
      </c>
      <c r="Q41" s="22">
        <f t="shared" si="53"/>
        <v>353.92374107920119</v>
      </c>
      <c r="R41" s="62">
        <f t="shared" si="0"/>
        <v>647.25707441253451</v>
      </c>
      <c r="S41" s="62">
        <f ca="1">AVERAGE(OFFSET($R$3,0,0,'Données projet'!$E$9+1,1))-AVERAGE(OFFSET($H$3,0,0,'Données projet'!$E$9+1,1))</f>
        <v>256.47911362806866</v>
      </c>
      <c r="T41" s="62">
        <f t="shared" si="34"/>
        <v>230.93438491511529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3.8084999507013806</v>
      </c>
      <c r="AA41" s="23">
        <f>EXP(-LN(2)/25)*AA40+(1-EXP(-LN(2)/25))/(LN(2)/25)*Calculateur!V41*Calculateur!X41*VLOOKUP('Données projet'!$B$9,Paramètres!$A$1:$I$89,3,0)*0.475*44/12</f>
        <v>6.6066633139262843</v>
      </c>
      <c r="AB41" s="23">
        <f>EXP(-LN(2)/2)*AB40+(1-EXP(-LN(2)/2))/(LN(2)/2)*V41*Y41*VLOOKUP('Données projet'!$B$9,Paramètres!$A$1:$I$89,3,0)*0.475*44/12</f>
        <v>0.38048794872612629</v>
      </c>
      <c r="AC41" s="24">
        <f t="shared" si="3"/>
        <v>10.795651213353791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176.40000000000006</v>
      </c>
      <c r="AJ41" s="14">
        <f>AI41*VLOOKUP('Données projet'!$B$10,Paramètres!$A$1:$I$89,3,0)*VLOOKUP('Données projet'!$B$10,Paramètres!$A$1:$I$89,5,0)</f>
        <v>154.10304000000008</v>
      </c>
      <c r="AK41" s="14">
        <f t="shared" si="35"/>
        <v>39.509546668758176</v>
      </c>
      <c r="AL41" s="22">
        <f t="shared" si="4"/>
        <v>337.20858844808726</v>
      </c>
      <c r="AM41" s="62">
        <f t="shared" si="5"/>
        <v>630.54192178142057</v>
      </c>
      <c r="AN41" s="62">
        <f ca="1">AVERAGE(OFFSET($AM$3,0,0,'Données projet'!$E$10+1,1))-AVERAGE(OFFSET($H$3,0,0,'Données projet'!$E$10+1,1))</f>
        <v>255.68195973350799</v>
      </c>
      <c r="AO41" s="62">
        <f t="shared" si="36"/>
        <v>269.20928353552461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172.79999999999993</v>
      </c>
      <c r="BE41" s="14">
        <f>BD41*VLOOKUP('Données projet'!$B$11,Paramètres!$A$1:$I$89,3,0)*VLOOKUP('Données projet'!$B$11,Paramètres!$A$1:$I$89,5,0)</f>
        <v>137.47967999999995</v>
      </c>
      <c r="BF41" s="14">
        <f t="shared" si="37"/>
        <v>35.719026553355249</v>
      </c>
      <c r="BG41" s="22">
        <f t="shared" si="7"/>
        <v>301.65441391376027</v>
      </c>
      <c r="BH41" s="62">
        <f t="shared" si="8"/>
        <v>594.98774724709358</v>
      </c>
      <c r="BI41" s="62">
        <f ca="1">AVERAGE(OFFSET($BH$3,0,0,'Données projet'!$E$11+1,1))-AVERAGE(OFFSET($H$3,0,0,'Données projet'!$E$11+1,1))</f>
        <v>243.51680047412441</v>
      </c>
      <c r="BJ41" s="62">
        <f t="shared" si="38"/>
        <v>224.00025638752402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172.79999999999993</v>
      </c>
      <c r="BZ41" s="14">
        <f>BY41*VLOOKUP('Données projet'!$B$12,Paramètres!$A$1:$I$89,3,0)*VLOOKUP('Données projet'!$B$12,Paramètres!$A$1:$I$89,5,0)</f>
        <v>126.69695999999995</v>
      </c>
      <c r="CA41" s="14">
        <f t="shared" si="39"/>
        <v>33.231984319593479</v>
      </c>
      <c r="CB41" s="22">
        <f t="shared" si="10"/>
        <v>278.54291135662521</v>
      </c>
      <c r="CC41" s="62">
        <f t="shared" si="11"/>
        <v>571.87624468995853</v>
      </c>
      <c r="CD41" s="62">
        <f ca="1">AVERAGE(OFFSET($CC$3,0,0,'Données projet'!$E$12+1,1))-AVERAGE(OFFSET($H$3,0,0,'Données projet'!$E$12+1,1))</f>
        <v>221.4629402571224</v>
      </c>
      <c r="CE41" s="62">
        <f t="shared" si="40"/>
        <v>204.26941562549416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7.8205128205128176</v>
      </c>
      <c r="CT41" s="13">
        <f>IF('Données projet'!$A$140&gt;35,CT40+CS41-DB40,IF(A41&lt;'Données projet'!$A$140,$CQ$205^A41,IF(A41='Données projet'!$A$140,'Données projet'!$B$140,CT40+CS41-DB40)))</f>
        <v>192.0512820512821</v>
      </c>
      <c r="CU41" s="18">
        <f>CT41*VLOOKUP('Données projet'!$B$13,Paramètres!$A$1:$I$89,3,0)*VLOOKUP('Données projet'!$B$13,Paramètres!$A$1:$I$89,5,0)</f>
        <v>200.73200000000008</v>
      </c>
      <c r="CV41" s="14">
        <f t="shared" si="41"/>
        <v>49.905004948981436</v>
      </c>
      <c r="CW41" s="22">
        <f t="shared" si="13"/>
        <v>436.52611695280945</v>
      </c>
      <c r="CX41" s="62">
        <f t="shared" si="14"/>
        <v>729.85945028614276</v>
      </c>
      <c r="CY41" s="62">
        <f ca="1">AVERAGE(OFFSET($CX$3,0,0,'Données projet'!$E$13+1,1))-AVERAGE(OFFSET($H$3,0,0,'Données projet'!$E$13+1,1))</f>
        <v>492.66134897013183</v>
      </c>
      <c r="CZ41" s="62">
        <f t="shared" si="42"/>
        <v>307.87428858945862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18.229670329670324</v>
      </c>
      <c r="N42" s="14">
        <f>IF('Données projet'!$A$36&gt;35,N41+M42-V41,IF(A42&lt;'Données projet'!$A$36,$K$205^A42,IF(A42='Données projet'!$A$36,'Données projet'!$B$36,N41+M42-V41)))</f>
        <v>307.91098901098906</v>
      </c>
      <c r="O42" s="14">
        <f>N42*VLOOKUP('Données projet'!$B$9,Paramètres!$A$1:$I$89,3,0)*VLOOKUP('Données projet'!$B$9,Paramètres!$A$1:$I$89,5,0)</f>
        <v>172.12224285714288</v>
      </c>
      <c r="P42" s="14">
        <f t="shared" si="33"/>
        <v>43.564991640658711</v>
      </c>
      <c r="Q42" s="22">
        <f t="shared" si="53"/>
        <v>375.65526675033772</v>
      </c>
      <c r="R42" s="62">
        <f t="shared" si="0"/>
        <v>668.98860008367103</v>
      </c>
      <c r="S42" s="62">
        <f ca="1">AVERAGE(OFFSET($R$3,0,0,'Données projet'!$E$9+1,1))-AVERAGE(OFFSET($H$3,0,0,'Données projet'!$E$9+1,1))</f>
        <v>256.47911362806866</v>
      </c>
      <c r="T42" s="62">
        <f t="shared" si="34"/>
        <v>230.93438491511529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3.7338175896237238</v>
      </c>
      <c r="AA42" s="23">
        <f>EXP(-LN(2)/25)*AA41+(1-EXP(-LN(2)/25))/(LN(2)/25)*Calculateur!V42*Calculateur!X42*VLOOKUP('Données projet'!$B$9,Paramètres!$A$1:$I$89,3,0)*0.475*44/12</f>
        <v>6.4260037581776457</v>
      </c>
      <c r="AB42" s="23">
        <f>EXP(-LN(2)/2)*AB41+(1-EXP(-LN(2)/2))/(LN(2)/2)*V42*Y42*VLOOKUP('Données projet'!$B$9,Paramètres!$A$1:$I$89,3,0)*0.475*44/12</f>
        <v>0.26904560870400329</v>
      </c>
      <c r="AC42" s="24">
        <f t="shared" si="3"/>
        <v>10.428866956505372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184.20000000000007</v>
      </c>
      <c r="AJ42" s="14">
        <f>AI42*VLOOKUP('Données projet'!$B$10,Paramètres!$A$1:$I$89,3,0)*VLOOKUP('Données projet'!$B$10,Paramètres!$A$1:$I$89,5,0)</f>
        <v>160.9171200000001</v>
      </c>
      <c r="AK42" s="14">
        <f t="shared" si="35"/>
        <v>41.049305520788089</v>
      </c>
      <c r="AL42" s="22">
        <f t="shared" si="4"/>
        <v>351.75819111537271</v>
      </c>
      <c r="AM42" s="62">
        <f t="shared" si="5"/>
        <v>645.09152444870597</v>
      </c>
      <c r="AN42" s="62">
        <f ca="1">AVERAGE(OFFSET($AM$3,0,0,'Données projet'!$E$10+1,1))-AVERAGE(OFFSET($H$3,0,0,'Données projet'!$E$10+1,1))</f>
        <v>255.68195973350799</v>
      </c>
      <c r="AO42" s="62">
        <f t="shared" si="36"/>
        <v>269.20928353552461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182.39999999999992</v>
      </c>
      <c r="BE42" s="14">
        <f>BD42*VLOOKUP('Données projet'!$B$11,Paramètres!$A$1:$I$89,3,0)*VLOOKUP('Données projet'!$B$11,Paramètres!$A$1:$I$89,5,0)</f>
        <v>145.11743999999993</v>
      </c>
      <c r="BF42" s="14">
        <f t="shared" si="37"/>
        <v>37.466878406916173</v>
      </c>
      <c r="BG42" s="22">
        <f t="shared" si="7"/>
        <v>318.00102122537891</v>
      </c>
      <c r="BH42" s="62">
        <f t="shared" si="8"/>
        <v>611.33435455871222</v>
      </c>
      <c r="BI42" s="62">
        <f ca="1">AVERAGE(OFFSET($BH$3,0,0,'Données projet'!$E$11+1,1))-AVERAGE(OFFSET($H$3,0,0,'Données projet'!$E$11+1,1))</f>
        <v>243.51680047412441</v>
      </c>
      <c r="BJ42" s="62">
        <f t="shared" si="38"/>
        <v>224.00025638752402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182.39999999999992</v>
      </c>
      <c r="BZ42" s="14">
        <f>BY42*VLOOKUP('Données projet'!$B$12,Paramètres!$A$1:$I$89,3,0)*VLOOKUP('Données projet'!$B$12,Paramètres!$A$1:$I$89,5,0)</f>
        <v>133.73567999999992</v>
      </c>
      <c r="CA42" s="14">
        <f t="shared" si="39"/>
        <v>34.858136849359212</v>
      </c>
      <c r="CB42" s="22">
        <f t="shared" si="10"/>
        <v>293.63423101263379</v>
      </c>
      <c r="CC42" s="62">
        <f t="shared" si="11"/>
        <v>586.96756434596705</v>
      </c>
      <c r="CD42" s="62">
        <f ca="1">AVERAGE(OFFSET($CC$3,0,0,'Données projet'!$E$12+1,1))-AVERAGE(OFFSET($H$3,0,0,'Données projet'!$E$12+1,1))</f>
        <v>221.4629402571224</v>
      </c>
      <c r="CE42" s="62">
        <f t="shared" si="40"/>
        <v>204.26941562549416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7.8205128205128176</v>
      </c>
      <c r="CT42" s="13">
        <f>IF('Données projet'!$A$140&gt;35,CT41+CS42-DB41,IF(A42&lt;'Données projet'!$A$140,$CQ$205^A42,IF(A42='Données projet'!$A$140,'Données projet'!$B$140,CT41+CS42-DB41)))</f>
        <v>199.87179487179492</v>
      </c>
      <c r="CU42" s="18">
        <f>CT42*VLOOKUP('Données projet'!$B$13,Paramètres!$A$1:$I$89,3,0)*VLOOKUP('Données projet'!$B$13,Paramètres!$A$1:$I$89,5,0)</f>
        <v>208.90600000000006</v>
      </c>
      <c r="CV42" s="14">
        <f t="shared" si="41"/>
        <v>51.696446549149798</v>
      </c>
      <c r="CW42" s="22">
        <f t="shared" si="13"/>
        <v>453.882594406436</v>
      </c>
      <c r="CX42" s="62">
        <f t="shared" si="14"/>
        <v>747.21592773976931</v>
      </c>
      <c r="CY42" s="62">
        <f ca="1">AVERAGE(OFFSET($CX$3,0,0,'Données projet'!$E$13+1,1))-AVERAGE(OFFSET($H$3,0,0,'Données projet'!$E$13+1,1))</f>
        <v>492.66134897013183</v>
      </c>
      <c r="CZ42" s="62">
        <f t="shared" si="42"/>
        <v>307.87428858945862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18.229670329670324</v>
      </c>
      <c r="N43" s="14">
        <f>IF('Données projet'!$A$36&gt;35,N42+M43-V42,IF(A43&lt;'Données projet'!$A$36,$K$205^A43,IF(A43='Données projet'!$A$36,'Données projet'!$B$36,N42+M43-V42)))</f>
        <v>326.1406593406594</v>
      </c>
      <c r="O43" s="14">
        <f>N43*VLOOKUP('Données projet'!$B$9,Paramètres!$A$1:$I$89,3,0)*VLOOKUP('Données projet'!$B$9,Paramètres!$A$1:$I$89,5,0)</f>
        <v>182.31262857142863</v>
      </c>
      <c r="P43" s="14">
        <f t="shared" si="33"/>
        <v>45.836320512875446</v>
      </c>
      <c r="Q43" s="22">
        <f t="shared" si="53"/>
        <v>397.35941965516298</v>
      </c>
      <c r="R43" s="62">
        <f t="shared" si="0"/>
        <v>690.6927529884963</v>
      </c>
      <c r="S43" s="62">
        <f ca="1">AVERAGE(OFFSET($R$3,0,0,'Données projet'!$E$9+1,1))-AVERAGE(OFFSET($H$3,0,0,'Données projet'!$E$9+1,1))</f>
        <v>256.47911362806866</v>
      </c>
      <c r="T43" s="62">
        <f t="shared" si="34"/>
        <v>230.93438491511529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3.6605997040950573</v>
      </c>
      <c r="AA43" s="23">
        <f>EXP(-LN(2)/25)*AA42+(1-EXP(-LN(2)/25))/(LN(2)/25)*Calculateur!V43*Calculateur!X43*VLOOKUP('Données projet'!$B$9,Paramètres!$A$1:$I$89,3,0)*0.475*44/12</f>
        <v>6.2502843474814274</v>
      </c>
      <c r="AB43" s="23">
        <f>EXP(-LN(2)/2)*AB42+(1-EXP(-LN(2)/2))/(LN(2)/2)*V43*Y43*VLOOKUP('Données projet'!$B$9,Paramètres!$A$1:$I$89,3,0)*0.475*44/12</f>
        <v>0.19024397436306315</v>
      </c>
      <c r="AC43" s="24">
        <f t="shared" si="3"/>
        <v>10.101128025939548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192.00000000000009</v>
      </c>
      <c r="AJ43" s="14">
        <f>AI43*VLOOKUP('Données projet'!$B$10,Paramètres!$A$1:$I$89,3,0)*VLOOKUP('Données projet'!$B$10,Paramètres!$A$1:$I$89,5,0)</f>
        <v>167.73120000000009</v>
      </c>
      <c r="AK43" s="14">
        <f t="shared" si="35"/>
        <v>42.581491199832655</v>
      </c>
      <c r="AL43" s="22">
        <f t="shared" si="4"/>
        <v>366.29460383970871</v>
      </c>
      <c r="AM43" s="62">
        <f t="shared" si="5"/>
        <v>659.62793717304203</v>
      </c>
      <c r="AN43" s="62">
        <f ca="1">AVERAGE(OFFSET($AM$3,0,0,'Données projet'!$E$10+1,1))-AVERAGE(OFFSET($H$3,0,0,'Données projet'!$E$10+1,1))</f>
        <v>255.68195973350799</v>
      </c>
      <c r="AO43" s="62">
        <f t="shared" si="36"/>
        <v>269.20928353552461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47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191.99999999999991</v>
      </c>
      <c r="BE43" s="14">
        <f>BD43*VLOOKUP('Données projet'!$B$11,Paramètres!$A$1:$I$89,3,0)*VLOOKUP('Données projet'!$B$11,Paramètres!$A$1:$I$89,5,0)</f>
        <v>152.75519999999995</v>
      </c>
      <c r="BF43" s="14">
        <f t="shared" si="37"/>
        <v>39.204049895729561</v>
      </c>
      <c r="BG43" s="22">
        <f t="shared" si="7"/>
        <v>334.32902690172887</v>
      </c>
      <c r="BH43" s="62">
        <f t="shared" si="8"/>
        <v>627.66236023506212</v>
      </c>
      <c r="BI43" s="62">
        <f ca="1">AVERAGE(OFFSET($BH$3,0,0,'Données projet'!$E$11+1,1))-AVERAGE(OFFSET($H$3,0,0,'Données projet'!$E$11+1,1))</f>
        <v>243.51680047412441</v>
      </c>
      <c r="BJ43" s="62">
        <f t="shared" si="38"/>
        <v>224.00025638752402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191.99999999999991</v>
      </c>
      <c r="BZ43" s="14">
        <f>BY43*VLOOKUP('Données projet'!$B$12,Paramètres!$A$1:$I$89,3,0)*VLOOKUP('Données projet'!$B$12,Paramètres!$A$1:$I$89,5,0)</f>
        <v>140.77439999999993</v>
      </c>
      <c r="CA43" s="14">
        <f t="shared" si="39"/>
        <v>36.474352666172102</v>
      </c>
      <c r="CB43" s="22">
        <f t="shared" si="10"/>
        <v>308.70824422691629</v>
      </c>
      <c r="CC43" s="62">
        <f t="shared" si="11"/>
        <v>602.04157756024961</v>
      </c>
      <c r="CD43" s="62">
        <f ca="1">AVERAGE(OFFSET($CC$3,0,0,'Données projet'!$E$12+1,1))-AVERAGE(OFFSET($H$3,0,0,'Données projet'!$E$12+1,1))</f>
        <v>221.4629402571224</v>
      </c>
      <c r="CE43" s="62">
        <f t="shared" si="40"/>
        <v>204.26941562549416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207.69230769230768</v>
      </c>
      <c r="CR43" s="13">
        <f>VLOOKUP(A43,'Données projet'!$A$139:$I$159,9,0)</f>
        <v>7.8205128205128176</v>
      </c>
      <c r="CS43" s="13">
        <f t="array" ref="CS43">INDEX(CR:CR,MIN(IF(ISNUMBER(CR43:CR239),ROW(CR43:CR239),"")))</f>
        <v>7.8205128205128176</v>
      </c>
      <c r="CT43" s="13">
        <f>IF('Données projet'!$A$140&gt;35,CT42+CS43-DB42,IF(A43&lt;'Données projet'!$A$140,$CQ$205^A43,IF(A43='Données projet'!$A$140,'Données projet'!$B$140,CT42+CS43-DB42)))</f>
        <v>207.69230769230774</v>
      </c>
      <c r="CU43" s="18">
        <f>CT43*VLOOKUP('Données projet'!$B$13,Paramètres!$A$1:$I$89,3,0)*VLOOKUP('Données projet'!$B$13,Paramètres!$A$1:$I$89,5,0)</f>
        <v>217.08000000000007</v>
      </c>
      <c r="CV43" s="14">
        <f t="shared" si="41"/>
        <v>53.479745461216247</v>
      </c>
      <c r="CW43" s="22">
        <f t="shared" si="13"/>
        <v>471.22489001161836</v>
      </c>
      <c r="CX43" s="62">
        <f t="shared" si="14"/>
        <v>764.55822334495167</v>
      </c>
      <c r="CY43" s="62">
        <f ca="1">AVERAGE(OFFSET($CX$3,0,0,'Données projet'!$E$13+1,1))-AVERAGE(OFFSET($H$3,0,0,'Données projet'!$E$13+1,1))</f>
        <v>492.66134897013183</v>
      </c>
      <c r="CZ43" s="62">
        <f t="shared" si="42"/>
        <v>307.87428858945862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27.564102564102562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18.229670329670324</v>
      </c>
      <c r="N44" s="14">
        <f>IF('Données projet'!$A$36&gt;35,N43+M44-V43,IF(A44&lt;'Données projet'!$A$36,$K$205^A44,IF(A44='Données projet'!$A$36,'Données projet'!$B$36,N43+M44-V43)))</f>
        <v>344.37032967032974</v>
      </c>
      <c r="O44" s="14">
        <f>N44*VLOOKUP('Données projet'!$B$9,Paramètres!$A$1:$I$89,3,0)*VLOOKUP('Données projet'!$B$9,Paramètres!$A$1:$I$89,5,0)</f>
        <v>192.50301428571433</v>
      </c>
      <c r="P44" s="14">
        <f t="shared" si="33"/>
        <v>48.092911552862631</v>
      </c>
      <c r="Q44" s="22">
        <f t="shared" si="53"/>
        <v>419.03790416885482</v>
      </c>
      <c r="R44" s="62">
        <f t="shared" si="0"/>
        <v>712.37123750218814</v>
      </c>
      <c r="S44" s="62">
        <f ca="1">AVERAGE(OFFSET($R$3,0,0,'Données projet'!$E$9+1,1))-AVERAGE(OFFSET($H$3,0,0,'Données projet'!$E$9+1,1))</f>
        <v>256.47911362806866</v>
      </c>
      <c r="T44" s="62">
        <f t="shared" si="34"/>
        <v>230.93438491511529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3.5888175766431076</v>
      </c>
      <c r="AA44" s="23">
        <f>EXP(-LN(2)/25)*AA43+(1-EXP(-LN(2)/25))/(LN(2)/25)*Calculateur!V44*Calculateur!X44*VLOOKUP('Données projet'!$B$9,Paramètres!$A$1:$I$89,3,0)*0.475*44/12</f>
        <v>6.0793699933113787</v>
      </c>
      <c r="AB44" s="23">
        <f>EXP(-LN(2)/2)*AB43+(1-EXP(-LN(2)/2))/(LN(2)/2)*V44*Y44*VLOOKUP('Données projet'!$B$9,Paramètres!$A$1:$I$89,3,0)*0.475*44/12</f>
        <v>0.13452280435200165</v>
      </c>
      <c r="AC44" s="24">
        <f t="shared" si="3"/>
        <v>9.8027103743064892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152.00000000000009</v>
      </c>
      <c r="AJ44" s="14">
        <f>AI44*VLOOKUP('Données projet'!$B$10,Paramètres!$A$1:$I$89,3,0)*VLOOKUP('Données projet'!$B$10,Paramètres!$A$1:$I$89,5,0)</f>
        <v>132.7872000000001</v>
      </c>
      <c r="AK44" s="14">
        <f t="shared" si="35"/>
        <v>34.639602119854608</v>
      </c>
      <c r="AL44" s="22">
        <f t="shared" si="4"/>
        <v>291.60168035874693</v>
      </c>
      <c r="AM44" s="62">
        <f t="shared" si="5"/>
        <v>584.93501369208025</v>
      </c>
      <c r="AN44" s="62">
        <f ca="1">AVERAGE(OFFSET($AM$3,0,0,'Données projet'!$E$10+1,1))-AVERAGE(OFFSET($H$3,0,0,'Données projet'!$E$10+1,1))</f>
        <v>255.68195973350799</v>
      </c>
      <c r="AO44" s="62">
        <f t="shared" si="36"/>
        <v>269.20928353552461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200.1999999999999</v>
      </c>
      <c r="BE44" s="14">
        <f>BD44*VLOOKUP('Données projet'!$B$11,Paramètres!$A$1:$I$89,3,0)*VLOOKUP('Données projet'!$B$11,Paramètres!$A$1:$I$89,5,0)</f>
        <v>159.27911999999992</v>
      </c>
      <c r="BF44" s="14">
        <f t="shared" si="37"/>
        <v>40.679876202753306</v>
      </c>
      <c r="BG44" s="22">
        <f t="shared" si="7"/>
        <v>348.26191838646179</v>
      </c>
      <c r="BH44" s="62">
        <f t="shared" si="8"/>
        <v>641.5952517197951</v>
      </c>
      <c r="BI44" s="62">
        <f ca="1">AVERAGE(OFFSET($BH$3,0,0,'Données projet'!$E$11+1,1))-AVERAGE(OFFSET($H$3,0,0,'Données projet'!$E$11+1,1))</f>
        <v>243.51680047412441</v>
      </c>
      <c r="BJ44" s="62">
        <f t="shared" si="38"/>
        <v>224.00025638752402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200.1999999999999</v>
      </c>
      <c r="BZ44" s="14">
        <f>BY44*VLOOKUP('Données projet'!$B$12,Paramètres!$A$1:$I$89,3,0)*VLOOKUP('Données projet'!$B$12,Paramètres!$A$1:$I$89,5,0)</f>
        <v>146.78663999999992</v>
      </c>
      <c r="CA44" s="14">
        <f t="shared" si="39"/>
        <v>37.847420227803333</v>
      </c>
      <c r="CB44" s="22">
        <f t="shared" si="10"/>
        <v>321.57098823009062</v>
      </c>
      <c r="CC44" s="62">
        <f t="shared" si="11"/>
        <v>614.90432156342399</v>
      </c>
      <c r="CD44" s="62">
        <f ca="1">AVERAGE(OFFSET($CC$3,0,0,'Données projet'!$E$12+1,1))-AVERAGE(OFFSET($H$3,0,0,'Données projet'!$E$12+1,1))</f>
        <v>221.4629402571224</v>
      </c>
      <c r="CE44" s="62">
        <f t="shared" si="40"/>
        <v>204.26941562549416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7.5641025641025639</v>
      </c>
      <c r="CT44" s="13">
        <f>IF('Données projet'!$A$140&gt;35,CT43+CS44-DB43,IF(A44&lt;'Données projet'!$A$140,$CQ$205^A44,IF(A44='Données projet'!$A$140,'Données projet'!$B$140,CT43+CS44-DB43)))</f>
        <v>187.69230769230774</v>
      </c>
      <c r="CU44" s="18">
        <f>CT44*VLOOKUP('Données projet'!$B$13,Paramètres!$A$1:$I$89,3,0)*VLOOKUP('Données projet'!$B$13,Paramètres!$A$1:$I$89,5,0)</f>
        <v>196.17600000000007</v>
      </c>
      <c r="CV44" s="14">
        <f t="shared" si="41"/>
        <v>48.902826361146509</v>
      </c>
      <c r="CW44" s="22">
        <f t="shared" si="13"/>
        <v>426.84562257899694</v>
      </c>
      <c r="CX44" s="62">
        <f t="shared" si="14"/>
        <v>720.17895591233025</v>
      </c>
      <c r="CY44" s="62">
        <f ca="1">AVERAGE(OFFSET($CX$3,0,0,'Données projet'!$E$13+1,1))-AVERAGE(OFFSET($H$3,0,0,'Données projet'!$E$13+1,1))</f>
        <v>492.66134897013183</v>
      </c>
      <c r="CZ44" s="62">
        <f t="shared" si="42"/>
        <v>307.87428858945862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362.59999999999997</v>
      </c>
      <c r="L45" s="13">
        <f>VLOOKUP(A45,'Données projet'!$A$35:$I$55,9,0)</f>
        <v>18.229670329670324</v>
      </c>
      <c r="M45" s="13">
        <f t="array" ref="M45">INDEX(L:L,MIN(IF(ISNUMBER(L45:L241),ROW(L45:L241),"")))</f>
        <v>18.229670329670324</v>
      </c>
      <c r="N45" s="14">
        <f>IF('Données projet'!$A$36&gt;35,N44+M45-V44,IF(A45&lt;'Données projet'!$A$36,$K$205^A45,IF(A45='Données projet'!$A$36,'Données projet'!$B$36,N44+M45-V44)))</f>
        <v>362.60000000000008</v>
      </c>
      <c r="O45" s="14">
        <f>N45*VLOOKUP('Données projet'!$B$9,Paramètres!$A$1:$I$89,3,0)*VLOOKUP('Données projet'!$B$9,Paramètres!$A$1:$I$89,5,0)</f>
        <v>202.69340000000005</v>
      </c>
      <c r="P45" s="14">
        <f t="shared" si="33"/>
        <v>50.335633892078647</v>
      </c>
      <c r="Q45" s="22">
        <f t="shared" si="53"/>
        <v>440.69223402870375</v>
      </c>
      <c r="R45" s="62">
        <f t="shared" si="0"/>
        <v>734.02556736203701</v>
      </c>
      <c r="S45" s="62">
        <f ca="1">AVERAGE(OFFSET($R$3,0,0,'Données projet'!$E$9+1,1))-AVERAGE(OFFSET($H$3,0,0,'Données projet'!$E$9+1,1))</f>
        <v>256.47911362806866</v>
      </c>
      <c r="T45" s="62">
        <f t="shared" si="34"/>
        <v>230.93438491511529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80.669230769230765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3.518443052927716</v>
      </c>
      <c r="AA45" s="23">
        <f>EXP(-LN(2)/25)*AA44+(1-EXP(-LN(2)/25))/(LN(2)/25)*Calculateur!V45*Calculateur!X45*VLOOKUP('Données projet'!$B$9,Paramètres!$A$1:$I$89,3,0)*0.475*44/12</f>
        <v>5.9131293011441057</v>
      </c>
      <c r="AB45" s="23">
        <f>EXP(-LN(2)/2)*AB44+(1-EXP(-LN(2)/2))/(LN(2)/2)*V45*Y45*VLOOKUP('Données projet'!$B$9,Paramètres!$A$1:$I$89,3,0)*0.475*44/12</f>
        <v>9.5121987181531573E-2</v>
      </c>
      <c r="AC45" s="24">
        <f t="shared" si="3"/>
        <v>9.5266943412533536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159.00000000000009</v>
      </c>
      <c r="AJ45" s="14">
        <f>AI45*VLOOKUP('Données projet'!$B$10,Paramètres!$A$1:$I$89,3,0)*VLOOKUP('Données projet'!$B$10,Paramètres!$A$1:$I$89,5,0)</f>
        <v>138.90240000000011</v>
      </c>
      <c r="AK45" s="14">
        <f t="shared" si="35"/>
        <v>36.045445680666461</v>
      </c>
      <c r="AL45" s="22">
        <f t="shared" si="4"/>
        <v>304.7008312271609</v>
      </c>
      <c r="AM45" s="62">
        <f t="shared" si="5"/>
        <v>598.03416456049422</v>
      </c>
      <c r="AN45" s="62">
        <f ca="1">AVERAGE(OFFSET($AM$3,0,0,'Données projet'!$E$10+1,1))-AVERAGE(OFFSET($H$3,0,0,'Données projet'!$E$10+1,1))</f>
        <v>255.68195973350799</v>
      </c>
      <c r="AO45" s="62">
        <f t="shared" si="36"/>
        <v>269.20928353552461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208.39999999999989</v>
      </c>
      <c r="BE45" s="14">
        <f>BD45*VLOOKUP('Données projet'!$B$11,Paramètres!$A$1:$I$89,3,0)*VLOOKUP('Données projet'!$B$11,Paramètres!$A$1:$I$89,5,0)</f>
        <v>165.80303999999992</v>
      </c>
      <c r="BF45" s="14">
        <f t="shared" si="37"/>
        <v>42.148680985457837</v>
      </c>
      <c r="BG45" s="22">
        <f t="shared" si="7"/>
        <v>362.18258071633892</v>
      </c>
      <c r="BH45" s="62">
        <f t="shared" si="8"/>
        <v>655.51591404967223</v>
      </c>
      <c r="BI45" s="62">
        <f ca="1">AVERAGE(OFFSET($BH$3,0,0,'Données projet'!$E$11+1,1))-AVERAGE(OFFSET($H$3,0,0,'Données projet'!$E$11+1,1))</f>
        <v>243.51680047412441</v>
      </c>
      <c r="BJ45" s="62">
        <f t="shared" si="38"/>
        <v>224.00025638752402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208.39999999999989</v>
      </c>
      <c r="BZ45" s="14">
        <f>BY45*VLOOKUP('Données projet'!$B$12,Paramètres!$A$1:$I$89,3,0)*VLOOKUP('Données projet'!$B$12,Paramètres!$A$1:$I$89,5,0)</f>
        <v>152.79887999999994</v>
      </c>
      <c r="CA45" s="14">
        <f t="shared" si="39"/>
        <v>39.213955159388576</v>
      </c>
      <c r="CB45" s="22">
        <f t="shared" si="10"/>
        <v>334.42235456926829</v>
      </c>
      <c r="CC45" s="62">
        <f t="shared" si="11"/>
        <v>627.75568790260161</v>
      </c>
      <c r="CD45" s="62">
        <f ca="1">AVERAGE(OFFSET($CC$3,0,0,'Données projet'!$E$12+1,1))-AVERAGE(OFFSET($H$3,0,0,'Données projet'!$E$12+1,1))</f>
        <v>221.4629402571224</v>
      </c>
      <c r="CE45" s="62">
        <f t="shared" si="40"/>
        <v>204.26941562549416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7.5641025641025639</v>
      </c>
      <c r="CT45" s="13">
        <f>IF('Données projet'!$A$140&gt;35,CT44+CS45-DB44,IF(A45&lt;'Données projet'!$A$140,$CQ$205^A45,IF(A45='Données projet'!$A$140,'Données projet'!$B$140,CT44+CS45-DB44)))</f>
        <v>195.25641025641031</v>
      </c>
      <c r="CU45" s="18">
        <f>CT45*VLOOKUP('Données projet'!$B$13,Paramètres!$A$1:$I$89,3,0)*VLOOKUP('Données projet'!$B$13,Paramètres!$A$1:$I$89,5,0)</f>
        <v>204.08200000000005</v>
      </c>
      <c r="CV45" s="14">
        <f t="shared" si="41"/>
        <v>50.640210151891317</v>
      </c>
      <c r="CW45" s="22">
        <f t="shared" si="13"/>
        <v>443.64118268121075</v>
      </c>
      <c r="CX45" s="62">
        <f t="shared" si="14"/>
        <v>736.97451601454407</v>
      </c>
      <c r="CY45" s="62">
        <f ca="1">AVERAGE(OFFSET($CX$3,0,0,'Données projet'!$E$13+1,1))-AVERAGE(OFFSET($H$3,0,0,'Données projet'!$E$13+1,1))</f>
        <v>492.66134897013183</v>
      </c>
      <c r="CZ45" s="62">
        <f t="shared" si="42"/>
        <v>307.87428858945862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17.519780219780223</v>
      </c>
      <c r="N46" s="14">
        <f>IF('Données projet'!$A$36&gt;35,N45+M46-V45,IF(A46&lt;'Données projet'!$A$36,$K$205^A46,IF(A46='Données projet'!$A$36,'Données projet'!$B$36,N45+M46-V45)))</f>
        <v>299.45054945054954</v>
      </c>
      <c r="O46" s="14">
        <f>N46*VLOOKUP('Données projet'!$B$9,Paramètres!$A$1:$I$89,3,0)*VLOOKUP('Données projet'!$B$9,Paramètres!$A$1:$I$89,5,0)</f>
        <v>167.3928571428572</v>
      </c>
      <c r="P46" s="14">
        <f t="shared" si="33"/>
        <v>42.505586135425617</v>
      </c>
      <c r="Q46" s="22">
        <f t="shared" si="53"/>
        <v>365.57312204300916</v>
      </c>
      <c r="R46" s="62">
        <f t="shared" si="0"/>
        <v>658.90645537634248</v>
      </c>
      <c r="S46" s="62">
        <f ca="1">AVERAGE(OFFSET($R$3,0,0,'Données projet'!$E$9+1,1))-AVERAGE(OFFSET($H$3,0,0,'Données projet'!$E$9+1,1))</f>
        <v>256.47911362806866</v>
      </c>
      <c r="T46" s="62">
        <f t="shared" si="34"/>
        <v>230.93438491511529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3.4494485306981622</v>
      </c>
      <c r="AA46" s="23">
        <f>EXP(-LN(2)/25)*AA45+(1-EXP(-LN(2)/25))/(LN(2)/25)*Calculateur!V46*Calculateur!X46*VLOOKUP('Données projet'!$B$9,Paramètres!$A$1:$I$89,3,0)*0.475*44/12</f>
        <v>5.751434469446365</v>
      </c>
      <c r="AB46" s="23">
        <f>EXP(-LN(2)/2)*AB45+(1-EXP(-LN(2)/2))/(LN(2)/2)*V46*Y46*VLOOKUP('Données projet'!$B$9,Paramètres!$A$1:$I$89,3,0)*0.475*44/12</f>
        <v>6.7261402176000823E-2</v>
      </c>
      <c r="AC46" s="24">
        <f t="shared" si="3"/>
        <v>9.2681444023205284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166.00000000000009</v>
      </c>
      <c r="AJ46" s="14">
        <f>AI46*VLOOKUP('Données projet'!$B$10,Paramètres!$A$1:$I$89,3,0)*VLOOKUP('Données projet'!$B$10,Paramètres!$A$1:$I$89,5,0)</f>
        <v>145.01760000000007</v>
      </c>
      <c r="AK46" s="14">
        <f t="shared" si="35"/>
        <v>37.444100932065268</v>
      </c>
      <c r="AL46" s="22">
        <f t="shared" si="4"/>
        <v>317.78746245668049</v>
      </c>
      <c r="AM46" s="62">
        <f t="shared" si="5"/>
        <v>611.12079579001374</v>
      </c>
      <c r="AN46" s="62">
        <f ca="1">AVERAGE(OFFSET($AM$3,0,0,'Données projet'!$E$10+1,1))-AVERAGE(OFFSET($H$3,0,0,'Données projet'!$E$10+1,1))</f>
        <v>255.68195973350799</v>
      </c>
      <c r="AO46" s="62">
        <f t="shared" si="36"/>
        <v>269.20928353552461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216.59999999999988</v>
      </c>
      <c r="BE46" s="14">
        <f>BD46*VLOOKUP('Données projet'!$B$11,Paramètres!$A$1:$I$89,3,0)*VLOOKUP('Données projet'!$B$11,Paramètres!$A$1:$I$89,5,0)</f>
        <v>172.3269599999999</v>
      </c>
      <c r="BF46" s="14">
        <f t="shared" si="37"/>
        <v>43.610772138081288</v>
      </c>
      <c r="BG46" s="22">
        <f t="shared" si="7"/>
        <v>376.09155014049134</v>
      </c>
      <c r="BH46" s="62">
        <f t="shared" si="8"/>
        <v>669.42488347382459</v>
      </c>
      <c r="BI46" s="62">
        <f ca="1">AVERAGE(OFFSET($BH$3,0,0,'Données projet'!$E$11+1,1))-AVERAGE(OFFSET($H$3,0,0,'Données projet'!$E$11+1,1))</f>
        <v>243.51680047412441</v>
      </c>
      <c r="BJ46" s="62">
        <f t="shared" si="38"/>
        <v>224.00025638752402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216.59999999999988</v>
      </c>
      <c r="BZ46" s="14">
        <f>BY46*VLOOKUP('Données projet'!$B$12,Paramètres!$A$1:$I$89,3,0)*VLOOKUP('Données projet'!$B$12,Paramètres!$A$1:$I$89,5,0)</f>
        <v>158.8111199999999</v>
      </c>
      <c r="CA46" s="14">
        <f t="shared" si="39"/>
        <v>40.57424391712447</v>
      </c>
      <c r="CB46" s="22">
        <f t="shared" si="10"/>
        <v>347.26284215565829</v>
      </c>
      <c r="CC46" s="62">
        <f t="shared" si="11"/>
        <v>640.59617548899155</v>
      </c>
      <c r="CD46" s="62">
        <f ca="1">AVERAGE(OFFSET($CC$3,0,0,'Données projet'!$E$12+1,1))-AVERAGE(OFFSET($H$3,0,0,'Données projet'!$E$12+1,1))</f>
        <v>221.4629402571224</v>
      </c>
      <c r="CE46" s="62">
        <f t="shared" si="40"/>
        <v>204.26941562549416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7.5641025641025639</v>
      </c>
      <c r="CT46" s="13">
        <f>IF('Données projet'!$A$140&gt;35,CT45+CS46-DB45,IF(A46&lt;'Données projet'!$A$140,$CQ$205^A46,IF(A46='Données projet'!$A$140,'Données projet'!$B$140,CT45+CS46-DB45)))</f>
        <v>202.82051282051287</v>
      </c>
      <c r="CU46" s="18">
        <f>CT46*VLOOKUP('Données projet'!$B$13,Paramètres!$A$1:$I$89,3,0)*VLOOKUP('Données projet'!$B$13,Paramètres!$A$1:$I$89,5,0)</f>
        <v>211.98800000000008</v>
      </c>
      <c r="CV46" s="14">
        <f t="shared" si="41"/>
        <v>52.369775202198831</v>
      </c>
      <c r="CW46" s="22">
        <f t="shared" si="13"/>
        <v>460.42312514382979</v>
      </c>
      <c r="CX46" s="62">
        <f t="shared" si="14"/>
        <v>753.75645847716305</v>
      </c>
      <c r="CY46" s="62">
        <f ca="1">AVERAGE(OFFSET($CX$3,0,0,'Données projet'!$E$13+1,1))-AVERAGE(OFFSET($H$3,0,0,'Données projet'!$E$13+1,1))</f>
        <v>492.66134897013183</v>
      </c>
      <c r="CZ46" s="62">
        <f t="shared" si="42"/>
        <v>307.87428858945862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17.519780219780223</v>
      </c>
      <c r="N47" s="14">
        <f>IF('Données projet'!$A$36&gt;35,N46+M47-V46,IF(A47&lt;'Données projet'!$A$36,$K$205^A47,IF(A47='Données projet'!$A$36,'Données projet'!$B$36,N46+M47-V46)))</f>
        <v>316.97032967032976</v>
      </c>
      <c r="O47" s="14">
        <f>N47*VLOOKUP('Données projet'!$B$9,Paramètres!$A$1:$I$89,3,0)*VLOOKUP('Données projet'!$B$9,Paramètres!$A$1:$I$89,5,0)</f>
        <v>177.18641428571433</v>
      </c>
      <c r="P47" s="14">
        <f t="shared" si="33"/>
        <v>44.695642380138821</v>
      </c>
      <c r="Q47" s="22">
        <f t="shared" si="53"/>
        <v>386.44458202636088</v>
      </c>
      <c r="R47" s="62">
        <f t="shared" si="0"/>
        <v>679.77791535969413</v>
      </c>
      <c r="S47" s="62">
        <f ca="1">AVERAGE(OFFSET($R$3,0,0,'Données projet'!$E$9+1,1))-AVERAGE(OFFSET($H$3,0,0,'Données projet'!$E$9+1,1))</f>
        <v>256.47911362806866</v>
      </c>
      <c r="T47" s="62">
        <f t="shared" si="34"/>
        <v>230.93438491511529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3.3818069489670264</v>
      </c>
      <c r="AA47" s="23">
        <f>EXP(-LN(2)/25)*AA46+(1-EXP(-LN(2)/25))/(LN(2)/25)*Calculateur!V47*Calculateur!X47*VLOOKUP('Données projet'!$B$9,Paramètres!$A$1:$I$89,3,0)*0.475*44/12</f>
        <v>5.5941611914245604</v>
      </c>
      <c r="AB47" s="23">
        <f>EXP(-LN(2)/2)*AB46+(1-EXP(-LN(2)/2))/(LN(2)/2)*V47*Y47*VLOOKUP('Données projet'!$B$9,Paramètres!$A$1:$I$89,3,0)*0.475*44/12</f>
        <v>4.7560993590765786E-2</v>
      </c>
      <c r="AC47" s="24">
        <f t="shared" si="3"/>
        <v>9.0235291339823522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173.00000000000009</v>
      </c>
      <c r="AJ47" s="14">
        <f>AI47*VLOOKUP('Données projet'!$B$10,Paramètres!$A$1:$I$89,3,0)*VLOOKUP('Données projet'!$B$10,Paramètres!$A$1:$I$89,5,0)</f>
        <v>151.13280000000009</v>
      </c>
      <c r="AK47" s="14">
        <f t="shared" si="35"/>
        <v>38.835905653934461</v>
      </c>
      <c r="AL47" s="22">
        <f t="shared" si="4"/>
        <v>330.8621623472693</v>
      </c>
      <c r="AM47" s="62">
        <f t="shared" si="5"/>
        <v>624.19549568060256</v>
      </c>
      <c r="AN47" s="62">
        <f ca="1">AVERAGE(OFFSET($AM$3,0,0,'Données projet'!$E$10+1,1))-AVERAGE(OFFSET($H$3,0,0,'Données projet'!$E$10+1,1))</f>
        <v>255.68195973350799</v>
      </c>
      <c r="AO47" s="62">
        <f t="shared" si="36"/>
        <v>269.20928353552461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224.79999999999987</v>
      </c>
      <c r="BE47" s="14">
        <f>BD47*VLOOKUP('Données projet'!$B$11,Paramètres!$A$1:$I$89,3,0)*VLOOKUP('Données projet'!$B$11,Paramètres!$A$1:$I$89,5,0)</f>
        <v>178.8508799999999</v>
      </c>
      <c r="BF47" s="14">
        <f t="shared" si="37"/>
        <v>45.066432921978375</v>
      </c>
      <c r="BG47" s="22">
        <f t="shared" si="7"/>
        <v>389.98932000577884</v>
      </c>
      <c r="BH47" s="62">
        <f t="shared" si="8"/>
        <v>683.32265333911209</v>
      </c>
      <c r="BI47" s="62">
        <f ca="1">AVERAGE(OFFSET($BH$3,0,0,'Données projet'!$E$11+1,1))-AVERAGE(OFFSET($H$3,0,0,'Données projet'!$E$11+1,1))</f>
        <v>243.51680047412441</v>
      </c>
      <c r="BJ47" s="62">
        <f t="shared" si="38"/>
        <v>224.00025638752402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224.79999999999987</v>
      </c>
      <c r="BZ47" s="14">
        <f>BY47*VLOOKUP('Données projet'!$B$12,Paramètres!$A$1:$I$89,3,0)*VLOOKUP('Données projet'!$B$12,Paramètres!$A$1:$I$89,5,0)</f>
        <v>164.82335999999989</v>
      </c>
      <c r="CA47" s="14">
        <f t="shared" si="39"/>
        <v>41.928550039461143</v>
      </c>
      <c r="CB47" s="22">
        <f t="shared" si="10"/>
        <v>360.09290998539467</v>
      </c>
      <c r="CC47" s="62">
        <f t="shared" si="11"/>
        <v>653.42624331872798</v>
      </c>
      <c r="CD47" s="62">
        <f ca="1">AVERAGE(OFFSET($CC$3,0,0,'Données projet'!$E$12+1,1))-AVERAGE(OFFSET($H$3,0,0,'Données projet'!$E$12+1,1))</f>
        <v>221.4629402571224</v>
      </c>
      <c r="CE47" s="62">
        <f t="shared" si="40"/>
        <v>204.26941562549416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7.5641025641025639</v>
      </c>
      <c r="CT47" s="13">
        <f>IF('Données projet'!$A$140&gt;35,CT46+CS47-DB46,IF(A47&lt;'Données projet'!$A$140,$CQ$205^A47,IF(A47='Données projet'!$A$140,'Données projet'!$B$140,CT46+CS47-DB46)))</f>
        <v>210.38461538461544</v>
      </c>
      <c r="CU47" s="18">
        <f>CT47*VLOOKUP('Données projet'!$B$13,Paramètres!$A$1:$I$89,3,0)*VLOOKUP('Données projet'!$B$13,Paramètres!$A$1:$I$89,5,0)</f>
        <v>219.89400000000009</v>
      </c>
      <c r="CV47" s="14">
        <f t="shared" si="41"/>
        <v>54.091846498161985</v>
      </c>
      <c r="CW47" s="22">
        <f t="shared" si="13"/>
        <v>477.19201598429891</v>
      </c>
      <c r="CX47" s="62">
        <f t="shared" si="14"/>
        <v>770.52534931763216</v>
      </c>
      <c r="CY47" s="62">
        <f ca="1">AVERAGE(OFFSET($CX$3,0,0,'Données projet'!$E$13+1,1))-AVERAGE(OFFSET($H$3,0,0,'Données projet'!$E$13+1,1))</f>
        <v>492.66134897013183</v>
      </c>
      <c r="CZ47" s="62">
        <f t="shared" si="42"/>
        <v>307.87428858945862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17.519780219780223</v>
      </c>
      <c r="N48" s="14">
        <f>IF('Données projet'!$A$36&gt;35,N47+M48-V47,IF(A48&lt;'Données projet'!$A$36,$K$205^A48,IF(A48='Données projet'!$A$36,'Données projet'!$B$36,N47+M48-V47)))</f>
        <v>334.49010989010998</v>
      </c>
      <c r="O48" s="14">
        <f>N48*VLOOKUP('Données projet'!$B$9,Paramètres!$A$1:$I$89,3,0)*VLOOKUP('Données projet'!$B$9,Paramètres!$A$1:$I$89,5,0)</f>
        <v>186.9799714285715</v>
      </c>
      <c r="P48" s="14">
        <f t="shared" si="33"/>
        <v>46.871646064498115</v>
      </c>
      <c r="Q48" s="22">
        <f t="shared" si="53"/>
        <v>407.29156713376295</v>
      </c>
      <c r="R48" s="62">
        <f t="shared" si="0"/>
        <v>700.62490046709627</v>
      </c>
      <c r="S48" s="62">
        <f ca="1">AVERAGE(OFFSET($R$3,0,0,'Données projet'!$E$9+1,1))-AVERAGE(OFFSET($H$3,0,0,'Données projet'!$E$9+1,1))</f>
        <v>256.47911362806866</v>
      </c>
      <c r="T48" s="62">
        <f t="shared" si="34"/>
        <v>230.93438491511529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3.3154917773963475</v>
      </c>
      <c r="AA48" s="23">
        <f>EXP(-LN(2)/25)*AA47+(1-EXP(-LN(2)/25))/(LN(2)/25)*Calculateur!V48*Calculateur!X48*VLOOKUP('Données projet'!$B$9,Paramètres!$A$1:$I$89,3,0)*0.475*44/12</f>
        <v>5.4411885594609046</v>
      </c>
      <c r="AB48" s="23">
        <f>EXP(-LN(2)/2)*AB47+(1-EXP(-LN(2)/2))/(LN(2)/2)*V48*Y48*VLOOKUP('Données projet'!$B$9,Paramètres!$A$1:$I$89,3,0)*0.475*44/12</f>
        <v>3.3630701088000411E-2</v>
      </c>
      <c r="AC48" s="24">
        <f t="shared" si="3"/>
        <v>8.7903110379452531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180</v>
      </c>
      <c r="AG48" s="13">
        <f>VLOOKUP(A48,'Données projet'!$A$61:$I$81,9,0)</f>
        <v>7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180.00000000000009</v>
      </c>
      <c r="AJ48" s="14">
        <f>AI48*VLOOKUP('Données projet'!$B$10,Paramètres!$A$1:$I$89,3,0)*VLOOKUP('Données projet'!$B$10,Paramètres!$A$1:$I$89,5,0)</f>
        <v>157.24800000000008</v>
      </c>
      <c r="AK48" s="14">
        <f t="shared" si="35"/>
        <v>40.221168744348645</v>
      </c>
      <c r="AL48" s="22">
        <f t="shared" si="4"/>
        <v>343.92546889640738</v>
      </c>
      <c r="AM48" s="62">
        <f t="shared" si="5"/>
        <v>637.2588022297407</v>
      </c>
      <c r="AN48" s="62">
        <f ca="1">AVERAGE(OFFSET($AM$3,0,0,'Données projet'!$E$10+1,1))-AVERAGE(OFFSET($H$3,0,0,'Données projet'!$E$10+1,1))</f>
        <v>255.68195973350799</v>
      </c>
      <c r="AO48" s="62">
        <f t="shared" si="36"/>
        <v>269.20928353552461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233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232.99999999999986</v>
      </c>
      <c r="BE48" s="14">
        <f>BD48*VLOOKUP('Données projet'!$B$11,Paramètres!$A$1:$I$89,3,0)*VLOOKUP('Données projet'!$B$11,Paramètres!$A$1:$I$89,5,0)</f>
        <v>185.37479999999988</v>
      </c>
      <c r="BF48" s="14">
        <f t="shared" si="37"/>
        <v>46.515924762412688</v>
      </c>
      <c r="BG48" s="22">
        <f t="shared" si="7"/>
        <v>403.87634562786849</v>
      </c>
      <c r="BH48" s="62">
        <f t="shared" si="8"/>
        <v>697.2096789612018</v>
      </c>
      <c r="BI48" s="62">
        <f ca="1">AVERAGE(OFFSET($BH$3,0,0,'Données projet'!$E$11+1,1))-AVERAGE(OFFSET($H$3,0,0,'Données projet'!$E$11+1,1))</f>
        <v>243.51680047412441</v>
      </c>
      <c r="BJ48" s="62">
        <f t="shared" si="38"/>
        <v>224.00025638752402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233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232.99999999999986</v>
      </c>
      <c r="BZ48" s="14">
        <f>BY48*VLOOKUP('Données projet'!$B$12,Paramètres!$A$1:$I$89,3,0)*VLOOKUP('Données projet'!$B$12,Paramètres!$A$1:$I$89,5,0)</f>
        <v>170.83559999999991</v>
      </c>
      <c r="CA48" s="14">
        <f t="shared" si="39"/>
        <v>43.277116749159646</v>
      </c>
      <c r="CB48" s="22">
        <f t="shared" si="10"/>
        <v>372.91298167145288</v>
      </c>
      <c r="CC48" s="62">
        <f t="shared" si="11"/>
        <v>666.2463150047862</v>
      </c>
      <c r="CD48" s="62">
        <f ca="1">AVERAGE(OFFSET($CC$3,0,0,'Données projet'!$E$12+1,1))-AVERAGE(OFFSET($H$3,0,0,'Données projet'!$E$12+1,1))</f>
        <v>221.4629402571224</v>
      </c>
      <c r="CE48" s="62">
        <f t="shared" si="40"/>
        <v>204.26941562549416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217.94871794871793</v>
      </c>
      <c r="CR48" s="13">
        <f>VLOOKUP(A48,'Données projet'!$A$139:$I$159,9,0)</f>
        <v>7.5641025641025639</v>
      </c>
      <c r="CS48" s="13">
        <f t="array" ref="CS48">INDEX(CR:CR,MIN(IF(ISNUMBER(CR48:CR244),ROW(CR48:CR244),"")))</f>
        <v>7.5641025641025639</v>
      </c>
      <c r="CT48" s="13">
        <f>IF('Données projet'!$A$140&gt;35,CT47+CS48-DB47,IF(A48&lt;'Données projet'!$A$140,$CQ$205^A48,IF(A48='Données projet'!$A$140,'Données projet'!$B$140,CT47+CS48-DB47)))</f>
        <v>217.94871794871801</v>
      </c>
      <c r="CU48" s="18">
        <f>CT48*VLOOKUP('Données projet'!$B$13,Paramètres!$A$1:$I$89,3,0)*VLOOKUP('Données projet'!$B$13,Paramètres!$A$1:$I$89,5,0)</f>
        <v>227.8000000000001</v>
      </c>
      <c r="CV48" s="14">
        <f t="shared" si="41"/>
        <v>55.806724332359025</v>
      </c>
      <c r="CW48" s="22">
        <f t="shared" si="13"/>
        <v>493.94837821219221</v>
      </c>
      <c r="CX48" s="62">
        <f t="shared" si="14"/>
        <v>787.28171154552547</v>
      </c>
      <c r="CY48" s="62">
        <f ca="1">AVERAGE(OFFSET($CX$3,0,0,'Données projet'!$E$13+1,1))-AVERAGE(OFFSET($H$3,0,0,'Données projet'!$E$13+1,1))</f>
        <v>492.66134897013183</v>
      </c>
      <c r="CZ48" s="62">
        <f t="shared" si="42"/>
        <v>307.87428858945862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17.519780219780223</v>
      </c>
      <c r="N49" s="14">
        <f>IF('Données projet'!$A$36&gt;35,N48+M49-V48,IF(A49&lt;'Données projet'!$A$36,$K$205^A49,IF(A49='Données projet'!$A$36,'Données projet'!$B$36,N48+M49-V48)))</f>
        <v>352.00989010989019</v>
      </c>
      <c r="O49" s="14">
        <f>N49*VLOOKUP('Données projet'!$B$9,Paramètres!$A$1:$I$89,3,0)*VLOOKUP('Données projet'!$B$9,Paramètres!$A$1:$I$89,5,0)</f>
        <v>196.77352857142861</v>
      </c>
      <c r="P49" s="14">
        <f t="shared" si="33"/>
        <v>49.034417171503861</v>
      </c>
      <c r="Q49" s="22">
        <f t="shared" si="53"/>
        <v>428.11550550227406</v>
      </c>
      <c r="R49" s="62">
        <f t="shared" si="0"/>
        <v>721.44883883560738</v>
      </c>
      <c r="S49" s="62">
        <f ca="1">AVERAGE(OFFSET($R$3,0,0,'Données projet'!$E$9+1,1))-AVERAGE(OFFSET($H$3,0,0,'Données projet'!$E$9+1,1))</f>
        <v>256.47911362806866</v>
      </c>
      <c r="T49" s="62">
        <f t="shared" si="34"/>
        <v>230.93438491511529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3.2504770058919088</v>
      </c>
      <c r="AA49" s="23">
        <f>EXP(-LN(2)/25)*AA48+(1-EXP(-LN(2)/25))/(LN(2)/25)*Calculateur!V49*Calculateur!X49*VLOOKUP('Données projet'!$B$9,Paramètres!$A$1:$I$89,3,0)*0.475*44/12</f>
        <v>5.2923989721627756</v>
      </c>
      <c r="AB49" s="23">
        <f>EXP(-LN(2)/2)*AB48+(1-EXP(-LN(2)/2))/(LN(2)/2)*V49*Y49*VLOOKUP('Données projet'!$B$9,Paramètres!$A$1:$I$89,3,0)*0.475*44/12</f>
        <v>2.3780496795382893E-2</v>
      </c>
      <c r="AC49" s="24">
        <f t="shared" si="3"/>
        <v>8.5666564748500669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186.60000000000008</v>
      </c>
      <c r="AJ49" s="14">
        <f>AI49*VLOOKUP('Données projet'!$B$10,Paramètres!$A$1:$I$89,3,0)*VLOOKUP('Données projet'!$B$10,Paramètres!$A$1:$I$89,5,0)</f>
        <v>163.01376000000008</v>
      </c>
      <c r="AK49" s="14">
        <f t="shared" si="35"/>
        <v>41.5215373664754</v>
      </c>
      <c r="AL49" s="22">
        <f t="shared" si="4"/>
        <v>356.23230957994474</v>
      </c>
      <c r="AM49" s="62">
        <f t="shared" si="5"/>
        <v>649.565642913278</v>
      </c>
      <c r="AN49" s="62">
        <f ca="1">AVERAGE(OFFSET($AM$3,0,0,'Données projet'!$E$10+1,1))-AVERAGE(OFFSET($H$3,0,0,'Données projet'!$E$10+1,1))</f>
        <v>255.68195973350799</v>
      </c>
      <c r="AO49" s="62">
        <f t="shared" si="36"/>
        <v>269.20928353552461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189.99999999999986</v>
      </c>
      <c r="BE49" s="14">
        <f>BD49*VLOOKUP('Données projet'!$B$11,Paramètres!$A$1:$I$89,3,0)*VLOOKUP('Données projet'!$B$11,Paramètres!$A$1:$I$89,5,0)</f>
        <v>151.1639999999999</v>
      </c>
      <c r="BF49" s="14">
        <f t="shared" si="37"/>
        <v>38.842989674159945</v>
      </c>
      <c r="BG49" s="22">
        <f t="shared" si="7"/>
        <v>330.92884034916176</v>
      </c>
      <c r="BH49" s="62">
        <f t="shared" si="8"/>
        <v>624.26217368249513</v>
      </c>
      <c r="BI49" s="62">
        <f ca="1">AVERAGE(OFFSET($BH$3,0,0,'Données projet'!$E$11+1,1))-AVERAGE(OFFSET($H$3,0,0,'Données projet'!$E$11+1,1))</f>
        <v>243.51680047412441</v>
      </c>
      <c r="BJ49" s="62">
        <f t="shared" si="38"/>
        <v>224.00025638752402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189.99999999999986</v>
      </c>
      <c r="BZ49" s="14">
        <f>BY49*VLOOKUP('Données projet'!$B$12,Paramètres!$A$1:$I$89,3,0)*VLOOKUP('Données projet'!$B$12,Paramètres!$A$1:$I$89,5,0)</f>
        <v>139.30799999999988</v>
      </c>
      <c r="CA49" s="14">
        <f t="shared" si="39"/>
        <v>36.138432324006331</v>
      </c>
      <c r="CB49" s="22">
        <f t="shared" si="10"/>
        <v>305.56920296431076</v>
      </c>
      <c r="CC49" s="62">
        <f t="shared" si="11"/>
        <v>598.90253629764402</v>
      </c>
      <c r="CD49" s="62">
        <f ca="1">AVERAGE(OFFSET($CC$3,0,0,'Données projet'!$E$12+1,1))-AVERAGE(OFFSET($H$3,0,0,'Données projet'!$E$12+1,1))</f>
        <v>221.4629402571224</v>
      </c>
      <c r="CE49" s="62">
        <f t="shared" si="40"/>
        <v>204.26941562549416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7.3076923076923093</v>
      </c>
      <c r="CT49" s="13">
        <f>IF('Données projet'!$A$140&gt;35,CT48+CS49-DB48,IF(A49&lt;'Données projet'!$A$140,$CQ$205^A49,IF(A49='Données projet'!$A$140,'Données projet'!$B$140,CT48+CS49-DB48)))</f>
        <v>225.25641025641033</v>
      </c>
      <c r="CU49" s="18">
        <f>CT49*VLOOKUP('Données projet'!$B$13,Paramètres!$A$1:$I$89,3,0)*VLOOKUP('Données projet'!$B$13,Paramètres!$A$1:$I$89,5,0)</f>
        <v>235.4380000000001</v>
      </c>
      <c r="CV49" s="14">
        <f t="shared" si="41"/>
        <v>57.456900340643699</v>
      </c>
      <c r="CW49" s="22">
        <f t="shared" si="13"/>
        <v>510.12528475995458</v>
      </c>
      <c r="CX49" s="62">
        <f t="shared" si="14"/>
        <v>803.4586180932879</v>
      </c>
      <c r="CY49" s="62">
        <f ca="1">AVERAGE(OFFSET($CX$3,0,0,'Données projet'!$E$13+1,1))-AVERAGE(OFFSET($H$3,0,0,'Données projet'!$E$13+1,1))</f>
        <v>492.66134897013183</v>
      </c>
      <c r="CZ49" s="62">
        <f t="shared" si="42"/>
        <v>307.87428858945862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17.519780219780223</v>
      </c>
      <c r="N50" s="14">
        <f>IF('Données projet'!$A$36&gt;35,N49+M50-V49,IF(A50&lt;'Données projet'!$A$36,$K$205^A50,IF(A50='Données projet'!$A$36,'Données projet'!$B$36,N49+M50-V49)))</f>
        <v>369.52967032967041</v>
      </c>
      <c r="O50" s="14">
        <f>N50*VLOOKUP('Données projet'!$B$9,Paramètres!$A$1:$I$89,3,0)*VLOOKUP('Données projet'!$B$9,Paramètres!$A$1:$I$89,5,0)</f>
        <v>206.56708571428578</v>
      </c>
      <c r="P50" s="14">
        <f t="shared" si="33"/>
        <v>51.184689450990696</v>
      </c>
      <c r="Q50" s="22">
        <f t="shared" si="53"/>
        <v>448.91767507952318</v>
      </c>
      <c r="R50" s="62">
        <f t="shared" si="0"/>
        <v>742.25100841285644</v>
      </c>
      <c r="S50" s="62">
        <f ca="1">AVERAGE(OFFSET($R$3,0,0,'Données projet'!$E$9+1,1))-AVERAGE(OFFSET($H$3,0,0,'Données projet'!$E$9+1,1))</f>
        <v>256.47911362806866</v>
      </c>
      <c r="T50" s="62">
        <f t="shared" si="34"/>
        <v>230.93438491511529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3.1867371344015769</v>
      </c>
      <c r="AA50" s="23">
        <f>EXP(-LN(2)/25)*AA49+(1-EXP(-LN(2)/25))/(LN(2)/25)*Calculateur!V50*Calculateur!X50*VLOOKUP('Données projet'!$B$9,Paramètres!$A$1:$I$89,3,0)*0.475*44/12</f>
        <v>5.1476780439538183</v>
      </c>
      <c r="AB50" s="23">
        <f>EXP(-LN(2)/2)*AB49+(1-EXP(-LN(2)/2))/(LN(2)/2)*V50*Y50*VLOOKUP('Données projet'!$B$9,Paramètres!$A$1:$I$89,3,0)*0.475*44/12</f>
        <v>1.6815350544000206E-2</v>
      </c>
      <c r="AC50" s="24">
        <f t="shared" si="3"/>
        <v>8.3512305288993964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193.20000000000007</v>
      </c>
      <c r="AJ50" s="14">
        <f>AI50*VLOOKUP('Données projet'!$B$10,Paramètres!$A$1:$I$89,3,0)*VLOOKUP('Données projet'!$B$10,Paramètres!$A$1:$I$89,5,0)</f>
        <v>168.77952000000008</v>
      </c>
      <c r="AK50" s="14">
        <f t="shared" si="35"/>
        <v>42.816562145177066</v>
      </c>
      <c r="AL50" s="22">
        <f t="shared" si="4"/>
        <v>368.52984306951686</v>
      </c>
      <c r="AM50" s="62">
        <f t="shared" si="5"/>
        <v>661.86317640285017</v>
      </c>
      <c r="AN50" s="62">
        <f ca="1">AVERAGE(OFFSET($AM$3,0,0,'Données projet'!$E$10+1,1))-AVERAGE(OFFSET($H$3,0,0,'Données projet'!$E$10+1,1))</f>
        <v>255.68195973350799</v>
      </c>
      <c r="AO50" s="62">
        <f t="shared" si="36"/>
        <v>269.20928353552461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196.99999999999986</v>
      </c>
      <c r="BE50" s="14">
        <f>BD50*VLOOKUP('Données projet'!$B$11,Paramètres!$A$1:$I$89,3,0)*VLOOKUP('Données projet'!$B$11,Paramètres!$A$1:$I$89,5,0)</f>
        <v>156.7331999999999</v>
      </c>
      <c r="BF50" s="14">
        <f t="shared" si="37"/>
        <v>40.104797241533646</v>
      </c>
      <c r="BG50" s="22">
        <f t="shared" si="7"/>
        <v>342.82617852900427</v>
      </c>
      <c r="BH50" s="62">
        <f t="shared" si="8"/>
        <v>636.15951186233758</v>
      </c>
      <c r="BI50" s="62">
        <f ca="1">AVERAGE(OFFSET($BH$3,0,0,'Données projet'!$E$11+1,1))-AVERAGE(OFFSET($H$3,0,0,'Données projet'!$E$11+1,1))</f>
        <v>243.51680047412441</v>
      </c>
      <c r="BJ50" s="62">
        <f t="shared" si="38"/>
        <v>224.00025638752402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196.99999999999986</v>
      </c>
      <c r="BZ50" s="14">
        <f>BY50*VLOOKUP('Données projet'!$B$12,Paramètres!$A$1:$I$89,3,0)*VLOOKUP('Données projet'!$B$12,Paramètres!$A$1:$I$89,5,0)</f>
        <v>144.4403999999999</v>
      </c>
      <c r="CA50" s="14">
        <f t="shared" si="39"/>
        <v>37.312382829927053</v>
      </c>
      <c r="CB50" s="22">
        <f t="shared" si="10"/>
        <v>316.55276342878943</v>
      </c>
      <c r="CC50" s="62">
        <f t="shared" si="11"/>
        <v>609.88609676212275</v>
      </c>
      <c r="CD50" s="62">
        <f ca="1">AVERAGE(OFFSET($CC$3,0,0,'Données projet'!$E$12+1,1))-AVERAGE(OFFSET($H$3,0,0,'Données projet'!$E$12+1,1))</f>
        <v>221.4629402571224</v>
      </c>
      <c r="CE50" s="62">
        <f t="shared" si="40"/>
        <v>204.26941562549416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7.3076923076923093</v>
      </c>
      <c r="CT50" s="13">
        <f>IF('Données projet'!$A$140&gt;35,CT49+CS50-DB49,IF(A50&lt;'Données projet'!$A$140,$CQ$205^A50,IF(A50='Données projet'!$A$140,'Données projet'!$B$140,CT49+CS50-DB49)))</f>
        <v>232.56410256410265</v>
      </c>
      <c r="CU50" s="18">
        <f>CT50*VLOOKUP('Données projet'!$B$13,Paramètres!$A$1:$I$89,3,0)*VLOOKUP('Données projet'!$B$13,Paramètres!$A$1:$I$89,5,0)</f>
        <v>243.07600000000011</v>
      </c>
      <c r="CV50" s="14">
        <f t="shared" si="41"/>
        <v>59.100855536637525</v>
      </c>
      <c r="CW50" s="22">
        <f t="shared" si="13"/>
        <v>526.29135672631048</v>
      </c>
      <c r="CX50" s="62">
        <f t="shared" si="14"/>
        <v>819.62469005964385</v>
      </c>
      <c r="CY50" s="62">
        <f ca="1">AVERAGE(OFFSET($CX$3,0,0,'Données projet'!$E$13+1,1))-AVERAGE(OFFSET($H$3,0,0,'Données projet'!$E$13+1,1))</f>
        <v>492.66134897013183</v>
      </c>
      <c r="CZ50" s="62">
        <f t="shared" si="42"/>
        <v>307.87428858945862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17.519780219780223</v>
      </c>
      <c r="N51" s="14">
        <f>IF('Données projet'!$A$36&gt;35,N50+M51-V50,IF(A51&lt;'Données projet'!$A$36,$K$205^A51,IF(A51='Données projet'!$A$36,'Données projet'!$B$36,N50+M51-V50)))</f>
        <v>387.04945054945063</v>
      </c>
      <c r="O51" s="14">
        <f>N51*VLOOKUP('Données projet'!$B$9,Paramètres!$A$1:$I$89,3,0)*VLOOKUP('Données projet'!$B$9,Paramètres!$A$1:$I$89,5,0)</f>
        <v>216.36064285714289</v>
      </c>
      <c r="P51" s="14">
        <f t="shared" si="33"/>
        <v>53.323123145592824</v>
      </c>
      <c r="Q51" s="22">
        <f t="shared" si="53"/>
        <v>469.69922578809798</v>
      </c>
      <c r="R51" s="62">
        <f t="shared" si="0"/>
        <v>763.03255912143129</v>
      </c>
      <c r="S51" s="62">
        <f ca="1">AVERAGE(OFFSET($R$3,0,0,'Données projet'!$E$9+1,1))-AVERAGE(OFFSET($H$3,0,0,'Données projet'!$E$9+1,1))</f>
        <v>256.47911362806866</v>
      </c>
      <c r="T51" s="62">
        <f t="shared" si="34"/>
        <v>230.93438491511529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3.1242471629136879</v>
      </c>
      <c r="AA51" s="23">
        <f>EXP(-LN(2)/25)*AA50+(1-EXP(-LN(2)/25))/(LN(2)/25)*Calculateur!V51*Calculateur!X51*VLOOKUP('Données projet'!$B$9,Paramètres!$A$1:$I$89,3,0)*0.475*44/12</f>
        <v>5.006914517137278</v>
      </c>
      <c r="AB51" s="23">
        <f>EXP(-LN(2)/2)*AB50+(1-EXP(-LN(2)/2))/(LN(2)/2)*V51*Y51*VLOOKUP('Données projet'!$B$9,Paramètres!$A$1:$I$89,3,0)*0.475*44/12</f>
        <v>1.1890248397691447E-2</v>
      </c>
      <c r="AC51" s="24">
        <f t="shared" si="3"/>
        <v>8.1430519284486564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199.80000000000007</v>
      </c>
      <c r="AJ51" s="14">
        <f>AI51*VLOOKUP('Données projet'!$B$10,Paramètres!$A$1:$I$89,3,0)*VLOOKUP('Données projet'!$B$10,Paramètres!$A$1:$I$89,5,0)</f>
        <v>174.54528000000008</v>
      </c>
      <c r="AK51" s="14">
        <f t="shared" si="35"/>
        <v>44.106446559112001</v>
      </c>
      <c r="AL51" s="22">
        <f t="shared" si="4"/>
        <v>380.81842375712017</v>
      </c>
      <c r="AM51" s="62">
        <f t="shared" si="5"/>
        <v>674.15175709045343</v>
      </c>
      <c r="AN51" s="62">
        <f ca="1">AVERAGE(OFFSET($AM$3,0,0,'Données projet'!$E$10+1,1))-AVERAGE(OFFSET($H$3,0,0,'Données projet'!$E$10+1,1))</f>
        <v>255.68195973350799</v>
      </c>
      <c r="AO51" s="62">
        <f t="shared" si="36"/>
        <v>269.20928353552461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203.99999999999986</v>
      </c>
      <c r="BE51" s="14">
        <f>BD51*VLOOKUP('Données projet'!$B$11,Paramètres!$A$1:$I$89,3,0)*VLOOKUP('Données projet'!$B$11,Paramètres!$A$1:$I$89,5,0)</f>
        <v>162.30239999999989</v>
      </c>
      <c r="BF51" s="14">
        <f t="shared" si="37"/>
        <v>41.36139554151432</v>
      </c>
      <c r="BG51" s="22">
        <f t="shared" si="7"/>
        <v>354.71444390147059</v>
      </c>
      <c r="BH51" s="62">
        <f t="shared" si="8"/>
        <v>648.0477772348039</v>
      </c>
      <c r="BI51" s="62">
        <f ca="1">AVERAGE(OFFSET($BH$3,0,0,'Données projet'!$E$11+1,1))-AVERAGE(OFFSET($H$3,0,0,'Données projet'!$E$11+1,1))</f>
        <v>243.51680047412441</v>
      </c>
      <c r="BJ51" s="62">
        <f t="shared" si="38"/>
        <v>224.00025638752402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203.99999999999986</v>
      </c>
      <c r="BZ51" s="14">
        <f>BY51*VLOOKUP('Données projet'!$B$12,Paramètres!$A$1:$I$89,3,0)*VLOOKUP('Données projet'!$B$12,Paramètres!$A$1:$I$89,5,0)</f>
        <v>149.57279999999989</v>
      </c>
      <c r="CA51" s="14">
        <f t="shared" si="39"/>
        <v>38.481486779011689</v>
      </c>
      <c r="CB51" s="22">
        <f t="shared" si="10"/>
        <v>327.52788280677856</v>
      </c>
      <c r="CC51" s="62">
        <f t="shared" si="11"/>
        <v>620.86121614011188</v>
      </c>
      <c r="CD51" s="62">
        <f ca="1">AVERAGE(OFFSET($CC$3,0,0,'Données projet'!$E$12+1,1))-AVERAGE(OFFSET($H$3,0,0,'Données projet'!$E$12+1,1))</f>
        <v>221.4629402571224</v>
      </c>
      <c r="CE51" s="62">
        <f t="shared" si="40"/>
        <v>204.26941562549416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7.3076923076923093</v>
      </c>
      <c r="CT51" s="13">
        <f>IF('Données projet'!$A$140&gt;35,CT50+CS51-DB50,IF(A51&lt;'Données projet'!$A$140,$CQ$205^A51,IF(A51='Données projet'!$A$140,'Données projet'!$B$140,CT50+CS51-DB50)))</f>
        <v>239.87179487179498</v>
      </c>
      <c r="CU51" s="18">
        <f>CT51*VLOOKUP('Données projet'!$B$13,Paramètres!$A$1:$I$89,3,0)*VLOOKUP('Données projet'!$B$13,Paramètres!$A$1:$I$89,5,0)</f>
        <v>250.71400000000011</v>
      </c>
      <c r="CV51" s="14">
        <f t="shared" si="41"/>
        <v>60.738807819504103</v>
      </c>
      <c r="CW51" s="22">
        <f t="shared" si="13"/>
        <v>542.44697361896976</v>
      </c>
      <c r="CX51" s="62">
        <f t="shared" si="14"/>
        <v>835.78030695230314</v>
      </c>
      <c r="CY51" s="62">
        <f ca="1">AVERAGE(OFFSET($CX$3,0,0,'Données projet'!$E$13+1,1))-AVERAGE(OFFSET($H$3,0,0,'Données projet'!$E$13+1,1))</f>
        <v>492.66134897013183</v>
      </c>
      <c r="CZ51" s="62">
        <f t="shared" si="42"/>
        <v>307.87428858945862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404.56923076923078</v>
      </c>
      <c r="L52" s="13">
        <f>VLOOKUP(A52,'Données projet'!$A$35:$I$55,9,0)</f>
        <v>17.519780219780223</v>
      </c>
      <c r="M52" s="13">
        <f t="array" ref="M52">INDEX(L:L,MIN(IF(ISNUMBER(L52:L248),ROW(L52:L248),"")))</f>
        <v>17.519780219780223</v>
      </c>
      <c r="N52" s="14">
        <f>IF('Données projet'!$A$36&gt;35,N51+M52-V51,IF(A52&lt;'Données projet'!$A$36,$K$205^A52,IF(A52='Données projet'!$A$36,'Données projet'!$B$36,N51+M52-V51)))</f>
        <v>404.56923076923084</v>
      </c>
      <c r="O52" s="14">
        <f>N52*VLOOKUP('Données projet'!$B$9,Paramètres!$A$1:$I$89,3,0)*VLOOKUP('Données projet'!$B$9,Paramètres!$A$1:$I$89,5,0)</f>
        <v>226.15420000000006</v>
      </c>
      <c r="P52" s="14">
        <f t="shared" si="33"/>
        <v>55.450315347427065</v>
      </c>
      <c r="Q52" s="22">
        <f t="shared" si="53"/>
        <v>490.46119756343563</v>
      </c>
      <c r="R52" s="62">
        <f t="shared" si="0"/>
        <v>783.79453089676895</v>
      </c>
      <c r="S52" s="62">
        <f ca="1">AVERAGE(OFFSET($R$3,0,0,'Données projet'!$E$9+1,1))-AVERAGE(OFFSET($H$3,0,0,'Données projet'!$E$9+1,1))</f>
        <v>256.47911362806866</v>
      </c>
      <c r="T52" s="62">
        <f t="shared" si="34"/>
        <v>230.93438491511529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90.453846153846158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3.062982581651557</v>
      </c>
      <c r="AA52" s="23">
        <f>EXP(-LN(2)/25)*AA51+(1-EXP(-LN(2)/25))/(LN(2)/25)*Calculateur!V52*Calculateur!X52*VLOOKUP('Données projet'!$B$9,Paramètres!$A$1:$I$89,3,0)*0.475*44/12</f>
        <v>4.870000176363968</v>
      </c>
      <c r="AB52" s="23">
        <f>EXP(-LN(2)/2)*AB51+(1-EXP(-LN(2)/2))/(LN(2)/2)*V52*Y52*VLOOKUP('Données projet'!$B$9,Paramètres!$A$1:$I$89,3,0)*0.475*44/12</f>
        <v>8.4076752720001029E-3</v>
      </c>
      <c r="AC52" s="24">
        <f t="shared" si="3"/>
        <v>7.9413904332875251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206.40000000000006</v>
      </c>
      <c r="AJ52" s="14">
        <f>AI52*VLOOKUP('Données projet'!$B$10,Paramètres!$A$1:$I$89,3,0)*VLOOKUP('Données projet'!$B$10,Paramètres!$A$1:$I$89,5,0)</f>
        <v>180.31104000000008</v>
      </c>
      <c r="AK52" s="14">
        <f t="shared" si="35"/>
        <v>45.391379880979613</v>
      </c>
      <c r="AL52" s="22">
        <f t="shared" si="4"/>
        <v>393.09838129270628</v>
      </c>
      <c r="AM52" s="62">
        <f t="shared" si="5"/>
        <v>686.43171462603959</v>
      </c>
      <c r="AN52" s="62">
        <f ca="1">AVERAGE(OFFSET($AM$3,0,0,'Données projet'!$E$10+1,1))-AVERAGE(OFFSET($H$3,0,0,'Données projet'!$E$10+1,1))</f>
        <v>255.68195973350799</v>
      </c>
      <c r="AO52" s="62">
        <f t="shared" si="36"/>
        <v>269.20928353552461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210.99999999999986</v>
      </c>
      <c r="BE52" s="14">
        <f>BD52*VLOOKUP('Données projet'!$B$11,Paramètres!$A$1:$I$89,3,0)*VLOOKUP('Données projet'!$B$11,Paramètres!$A$1:$I$89,5,0)</f>
        <v>167.87159999999989</v>
      </c>
      <c r="BF52" s="14">
        <f t="shared" si="37"/>
        <v>42.612983811358006</v>
      </c>
      <c r="BG52" s="22">
        <f t="shared" si="7"/>
        <v>366.59398347144833</v>
      </c>
      <c r="BH52" s="62">
        <f t="shared" si="8"/>
        <v>659.92731680478164</v>
      </c>
      <c r="BI52" s="62">
        <f ca="1">AVERAGE(OFFSET($BH$3,0,0,'Données projet'!$E$11+1,1))-AVERAGE(OFFSET($H$3,0,0,'Données projet'!$E$11+1,1))</f>
        <v>243.51680047412441</v>
      </c>
      <c r="BJ52" s="62">
        <f t="shared" si="38"/>
        <v>224.00025638752402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210.99999999999986</v>
      </c>
      <c r="BZ52" s="14">
        <f>BY52*VLOOKUP('Données projet'!$B$12,Paramètres!$A$1:$I$89,3,0)*VLOOKUP('Données projet'!$B$12,Paramètres!$A$1:$I$89,5,0)</f>
        <v>154.70519999999991</v>
      </c>
      <c r="CA52" s="14">
        <f t="shared" si="39"/>
        <v>39.645929536036498</v>
      </c>
      <c r="CB52" s="22">
        <f t="shared" si="10"/>
        <v>338.49488394193003</v>
      </c>
      <c r="CC52" s="62">
        <f t="shared" si="11"/>
        <v>631.82821727526334</v>
      </c>
      <c r="CD52" s="62">
        <f ca="1">AVERAGE(OFFSET($CC$3,0,0,'Données projet'!$E$12+1,1))-AVERAGE(OFFSET($H$3,0,0,'Données projet'!$E$12+1,1))</f>
        <v>221.4629402571224</v>
      </c>
      <c r="CE52" s="62">
        <f t="shared" si="40"/>
        <v>204.26941562549416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7.3076923076923093</v>
      </c>
      <c r="CT52" s="13">
        <f>IF('Données projet'!$A$140&gt;35,CT51+CS52-DB51,IF(A52&lt;'Données projet'!$A$140,$CQ$205^A52,IF(A52='Données projet'!$A$140,'Données projet'!$B$140,CT51+CS52-DB51)))</f>
        <v>247.1794871794873</v>
      </c>
      <c r="CU52" s="18">
        <f>CT52*VLOOKUP('Données projet'!$B$13,Paramètres!$A$1:$I$89,3,0)*VLOOKUP('Données projet'!$B$13,Paramètres!$A$1:$I$89,5,0)</f>
        <v>258.35200000000015</v>
      </c>
      <c r="CV52" s="14">
        <f t="shared" si="41"/>
        <v>62.370961057417801</v>
      </c>
      <c r="CW52" s="22">
        <f t="shared" si="13"/>
        <v>558.59249050833625</v>
      </c>
      <c r="CX52" s="62">
        <f t="shared" si="14"/>
        <v>851.92582384166963</v>
      </c>
      <c r="CY52" s="62">
        <f ca="1">AVERAGE(OFFSET($CX$3,0,0,'Données projet'!$E$13+1,1))-AVERAGE(OFFSET($H$3,0,0,'Données projet'!$E$13+1,1))</f>
        <v>492.66134897013183</v>
      </c>
      <c r="CZ52" s="62">
        <f t="shared" si="42"/>
        <v>307.87428858945862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16.227472527472521</v>
      </c>
      <c r="N53" s="14">
        <f>IF('Données projet'!$A$36&gt;35,N52+M53-V52,IF(A53&lt;'Données projet'!$A$36,$K$205^A53,IF(A53='Données projet'!$A$36,'Données projet'!$B$36,N52+M53-V52)))</f>
        <v>330.34285714285721</v>
      </c>
      <c r="O53" s="14">
        <f>N53*VLOOKUP('Données projet'!$B$9,Paramètres!$A$1:$I$89,3,0)*VLOOKUP('Données projet'!$B$9,Paramètres!$A$1:$I$89,5,0)</f>
        <v>184.66165714285719</v>
      </c>
      <c r="P53" s="14">
        <f t="shared" si="33"/>
        <v>46.357770619215231</v>
      </c>
      <c r="Q53" s="22">
        <f t="shared" si="53"/>
        <v>402.3588366856095</v>
      </c>
      <c r="R53" s="62">
        <f t="shared" si="0"/>
        <v>695.69217001894276</v>
      </c>
      <c r="S53" s="62">
        <f ca="1">AVERAGE(OFFSET($R$3,0,0,'Données projet'!$E$9+1,1))-AVERAGE(OFFSET($H$3,0,0,'Données projet'!$E$9+1,1))</f>
        <v>256.47911362806866</v>
      </c>
      <c r="T53" s="62">
        <f t="shared" si="34"/>
        <v>230.93438491511529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3.0029193614602718</v>
      </c>
      <c r="AA53" s="23">
        <f>EXP(-LN(2)/25)*AA52+(1-EXP(-LN(2)/25))/(LN(2)/25)*Calculateur!V53*Calculateur!X53*VLOOKUP('Données projet'!$B$9,Paramètres!$A$1:$I$89,3,0)*0.475*44/12</f>
        <v>4.7368297654391167</v>
      </c>
      <c r="AB53" s="23">
        <f>EXP(-LN(2)/2)*AB52+(1-EXP(-LN(2)/2))/(LN(2)/2)*V53*Y53*VLOOKUP('Données projet'!$B$9,Paramètres!$A$1:$I$89,3,0)*0.475*44/12</f>
        <v>5.9451241988457233E-3</v>
      </c>
      <c r="AC53" s="24">
        <f t="shared" si="3"/>
        <v>7.7456942510982341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213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213.00000000000006</v>
      </c>
      <c r="AJ53" s="14">
        <f>AI53*VLOOKUP('Données projet'!$B$10,Paramètres!$A$1:$I$89,3,0)*VLOOKUP('Données projet'!$B$10,Paramètres!$A$1:$I$89,5,0)</f>
        <v>186.07680000000008</v>
      </c>
      <c r="AK53" s="14">
        <f t="shared" si="35"/>
        <v>46.671538591528716</v>
      </c>
      <c r="AL53" s="22">
        <f t="shared" si="4"/>
        <v>405.37002304691265</v>
      </c>
      <c r="AM53" s="62">
        <f t="shared" si="5"/>
        <v>698.70335638024596</v>
      </c>
      <c r="AN53" s="62">
        <f ca="1">AVERAGE(OFFSET($AM$3,0,0,'Données projet'!$E$10+1,1))-AVERAGE(OFFSET($H$3,0,0,'Données projet'!$E$10+1,1))</f>
        <v>255.68195973350799</v>
      </c>
      <c r="AO53" s="62">
        <f t="shared" si="36"/>
        <v>269.20928353552461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217.99999999999986</v>
      </c>
      <c r="BE53" s="14">
        <f>BD53*VLOOKUP('Données projet'!$B$11,Paramètres!$A$1:$I$89,3,0)*VLOOKUP('Données projet'!$B$11,Paramètres!$A$1:$I$89,5,0)</f>
        <v>173.44079999999991</v>
      </c>
      <c r="BF53" s="14">
        <f t="shared" si="37"/>
        <v>43.859747318594444</v>
      </c>
      <c r="BG53" s="22">
        <f t="shared" si="7"/>
        <v>378.46511991321842</v>
      </c>
      <c r="BH53" s="62">
        <f t="shared" si="8"/>
        <v>671.79845324655173</v>
      </c>
      <c r="BI53" s="62">
        <f ca="1">AVERAGE(OFFSET($BH$3,0,0,'Données projet'!$E$11+1,1))-AVERAGE(OFFSET($H$3,0,0,'Données projet'!$E$11+1,1))</f>
        <v>243.51680047412441</v>
      </c>
      <c r="BJ53" s="62">
        <f t="shared" si="38"/>
        <v>224.00025638752402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218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217.99999999999986</v>
      </c>
      <c r="BZ53" s="14">
        <f>BY53*VLOOKUP('Données projet'!$B$12,Paramètres!$A$1:$I$89,3,0)*VLOOKUP('Données projet'!$B$12,Paramètres!$A$1:$I$89,5,0)</f>
        <v>159.8375999999999</v>
      </c>
      <c r="CA53" s="14">
        <f t="shared" si="39"/>
        <v>40.805883468734919</v>
      </c>
      <c r="CB53" s="22">
        <f t="shared" si="10"/>
        <v>349.4540670413798</v>
      </c>
      <c r="CC53" s="62">
        <f t="shared" si="11"/>
        <v>642.78740037471312</v>
      </c>
      <c r="CD53" s="62">
        <f ca="1">AVERAGE(OFFSET($CC$3,0,0,'Données projet'!$E$12+1,1))-AVERAGE(OFFSET($H$3,0,0,'Données projet'!$E$12+1,1))</f>
        <v>221.4629402571224</v>
      </c>
      <c r="CE53" s="62">
        <f t="shared" si="40"/>
        <v>204.26941562549416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254.48717948717947</v>
      </c>
      <c r="CR53" s="13">
        <f>VLOOKUP(A53,'Données projet'!$A$139:$I$159,9,0)</f>
        <v>7.3076923076923093</v>
      </c>
      <c r="CS53" s="13">
        <f t="array" ref="CS53">INDEX(CR:CR,MIN(IF(ISNUMBER(CR53:CR249),ROW(CR53:CR249),"")))</f>
        <v>7.3076923076923093</v>
      </c>
      <c r="CT53" s="13">
        <f>IF('Données projet'!$A$140&gt;35,CT52+CS53-DB52,IF(A53&lt;'Données projet'!$A$140,$CQ$205^A53,IF(A53='Données projet'!$A$140,'Données projet'!$B$140,CT52+CS53-DB52)))</f>
        <v>254.48717948717962</v>
      </c>
      <c r="CU53" s="18">
        <f>CT53*VLOOKUP('Données projet'!$B$13,Paramètres!$A$1:$I$89,3,0)*VLOOKUP('Données projet'!$B$13,Paramètres!$A$1:$I$89,5,0)</f>
        <v>265.99000000000018</v>
      </c>
      <c r="CV53" s="14">
        <f t="shared" si="41"/>
        <v>63.997506378840363</v>
      </c>
      <c r="CW53" s="22">
        <f t="shared" si="13"/>
        <v>574.72824027648051</v>
      </c>
      <c r="CX53" s="62">
        <f t="shared" si="14"/>
        <v>868.06157360981388</v>
      </c>
      <c r="CY53" s="62">
        <f ca="1">AVERAGE(OFFSET($CX$3,0,0,'Données projet'!$E$13+1,1))-AVERAGE(OFFSET($H$3,0,0,'Données projet'!$E$13+1,1))</f>
        <v>492.66134897013183</v>
      </c>
      <c r="CZ53" s="62">
        <f t="shared" si="42"/>
        <v>307.87428858945862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28.846153846153847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16.227472527472521</v>
      </c>
      <c r="N54" s="14">
        <f>IF('Données projet'!$A$36&gt;35,N53+M54-V53,IF(A54&lt;'Données projet'!$A$36,$K$205^A54,IF(A54='Données projet'!$A$36,'Données projet'!$B$36,N53+M54-V53)))</f>
        <v>346.57032967032973</v>
      </c>
      <c r="O54" s="14">
        <f>N54*VLOOKUP('Données projet'!$B$9,Paramètres!$A$1:$I$89,3,0)*VLOOKUP('Données projet'!$B$9,Paramètres!$A$1:$I$89,5,0)</f>
        <v>193.73281428571431</v>
      </c>
      <c r="P54" s="14">
        <f t="shared" si="33"/>
        <v>48.364288285880889</v>
      </c>
      <c r="Q54" s="22">
        <f t="shared" si="53"/>
        <v>421.65245364552828</v>
      </c>
      <c r="R54" s="62">
        <f t="shared" si="0"/>
        <v>714.9857869788616</v>
      </c>
      <c r="S54" s="62">
        <f ca="1">AVERAGE(OFFSET($R$3,0,0,'Données projet'!$E$9+1,1))-AVERAGE(OFFSET($H$3,0,0,'Données projet'!$E$9+1,1))</f>
        <v>256.47911362806866</v>
      </c>
      <c r="T54" s="62">
        <f t="shared" si="34"/>
        <v>230.93438491511529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2.944033944381991</v>
      </c>
      <c r="AA54" s="23">
        <f>EXP(-LN(2)/25)*AA53+(1-EXP(-LN(2)/25))/(LN(2)/25)*Calculateur!V54*Calculateur!X54*VLOOKUP('Données projet'!$B$9,Paramètres!$A$1:$I$89,3,0)*0.475*44/12</f>
        <v>4.6073009064041326</v>
      </c>
      <c r="AB54" s="23">
        <f>EXP(-LN(2)/2)*AB53+(1-EXP(-LN(2)/2))/(LN(2)/2)*V54*Y54*VLOOKUP('Données projet'!$B$9,Paramètres!$A$1:$I$89,3,0)*0.475*44/12</f>
        <v>4.2038376360000514E-3</v>
      </c>
      <c r="AC54" s="24">
        <f t="shared" si="3"/>
        <v>7.5555386884221232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6.2</v>
      </c>
      <c r="AI54" s="14">
        <f>IF('Données projet'!$A$62&gt;35,AI53+AH54-AQ53,IF(A54&lt;'Données projet'!$A$62,$AF$205^A54,IF(A54='Données projet'!$A$62,'Données projet'!$B$62,AI53+AH54-AQ53)))</f>
        <v>176.20000000000005</v>
      </c>
      <c r="AJ54" s="14">
        <f>AI54*VLOOKUP('Données projet'!$B$10,Paramètres!$A$1:$I$89,3,0)*VLOOKUP('Données projet'!$B$10,Paramètres!$A$1:$I$89,5,0)</f>
        <v>153.92832000000007</v>
      </c>
      <c r="AK54" s="14">
        <f t="shared" si="35"/>
        <v>39.46996283651783</v>
      </c>
      <c r="AL54" s="22">
        <f t="shared" si="4"/>
        <v>336.83534260693528</v>
      </c>
      <c r="AM54" s="62">
        <f t="shared" si="5"/>
        <v>630.1686759402686</v>
      </c>
      <c r="AN54" s="62">
        <f ca="1">AVERAGE(OFFSET($AM$3,0,0,'Données projet'!$E$10+1,1))-AVERAGE(OFFSET($H$3,0,0,'Données projet'!$E$10+1,1))</f>
        <v>255.68195973350799</v>
      </c>
      <c r="AO54" s="62">
        <f t="shared" si="36"/>
        <v>269.20928353552461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6.4</v>
      </c>
      <c r="BD54" s="13">
        <f>IF('Données projet'!$A$88&gt;35,BD53+BC54-BL53,IF(A54&lt;'Données projet'!$A$88,$BA$205^A54,IF(A54='Données projet'!$A$88,'Données projet'!$B$88,BD53+BC54-BL53)))</f>
        <v>224.39999999999986</v>
      </c>
      <c r="BE54" s="14">
        <f>BD54*VLOOKUP('Données projet'!$B$11,Paramètres!$A$1:$I$89,3,0)*VLOOKUP('Données projet'!$B$11,Paramètres!$A$1:$I$89,5,0)</f>
        <v>178.5326399999999</v>
      </c>
      <c r="BF54" s="14">
        <f t="shared" si="37"/>
        <v>44.99557024111764</v>
      </c>
      <c r="BG54" s="22">
        <f t="shared" si="7"/>
        <v>389.311632836613</v>
      </c>
      <c r="BH54" s="62">
        <f t="shared" si="8"/>
        <v>682.64496616994631</v>
      </c>
      <c r="BI54" s="62">
        <f ca="1">AVERAGE(OFFSET($BH$3,0,0,'Données projet'!$E$11+1,1))-AVERAGE(OFFSET($H$3,0,0,'Données projet'!$E$11+1,1))</f>
        <v>243.51680047412441</v>
      </c>
      <c r="BJ54" s="62">
        <f t="shared" si="38"/>
        <v>224.00025638752402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224.39999999999986</v>
      </c>
      <c r="BZ54" s="14">
        <f>BY54*VLOOKUP('Données projet'!$B$12,Paramètres!$A$1:$I$89,3,0)*VLOOKUP('Données projet'!$B$12,Paramètres!$A$1:$I$89,5,0)</f>
        <v>164.53007999999991</v>
      </c>
      <c r="CA54" s="14">
        <f t="shared" si="39"/>
        <v>41.862621381083777</v>
      </c>
      <c r="CB54" s="22">
        <f t="shared" si="10"/>
        <v>359.46728823872076</v>
      </c>
      <c r="CC54" s="62">
        <f t="shared" si="11"/>
        <v>652.80062157205407</v>
      </c>
      <c r="CD54" s="62">
        <f ca="1">AVERAGE(OFFSET($CC$3,0,0,'Données projet'!$E$12+1,1))-AVERAGE(OFFSET($H$3,0,0,'Données projet'!$E$12+1,1))</f>
        <v>221.4629402571224</v>
      </c>
      <c r="CE54" s="62">
        <f t="shared" si="40"/>
        <v>204.26941562549416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6.6666666666666625</v>
      </c>
      <c r="CT54" s="13">
        <f>IF('Données projet'!$A$140&gt;35,CT53+CS54-DB53,IF(A54&lt;'Données projet'!$A$140,$CQ$205^A54,IF(A54='Données projet'!$A$140,'Données projet'!$B$140,CT53+CS54-DB53)))</f>
        <v>232.30769230769246</v>
      </c>
      <c r="CU54" s="18">
        <f>CT54*VLOOKUP('Données projet'!$B$13,Paramètres!$A$1:$I$89,3,0)*VLOOKUP('Données projet'!$B$13,Paramètres!$A$1:$I$89,5,0)</f>
        <v>242.80800000000019</v>
      </c>
      <c r="CV54" s="14">
        <f t="shared" si="41"/>
        <v>59.043275748041687</v>
      </c>
      <c r="CW54" s="22">
        <f t="shared" si="13"/>
        <v>525.72430526117284</v>
      </c>
      <c r="CX54" s="62">
        <f t="shared" si="14"/>
        <v>819.05763859450622</v>
      </c>
      <c r="CY54" s="62">
        <f ca="1">AVERAGE(OFFSET($CX$3,0,0,'Données projet'!$E$13+1,1))-AVERAGE(OFFSET($H$3,0,0,'Données projet'!$E$13+1,1))</f>
        <v>492.66134897013183</v>
      </c>
      <c r="CZ54" s="62">
        <f t="shared" si="42"/>
        <v>307.87428858945862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16.227472527472521</v>
      </c>
      <c r="N55" s="14">
        <f>IF('Données projet'!$A$36&gt;35,N54+M55-V54,IF(A55&lt;'Données projet'!$A$36,$K$205^A55,IF(A55='Données projet'!$A$36,'Données projet'!$B$36,N54+M55-V54)))</f>
        <v>362.79780219780224</v>
      </c>
      <c r="O55" s="14">
        <f>N55*VLOOKUP('Données projet'!$B$9,Paramètres!$A$1:$I$89,3,0)*VLOOKUP('Données projet'!$B$9,Paramètres!$A$1:$I$89,5,0)</f>
        <v>202.80397142857146</v>
      </c>
      <c r="P55" s="14">
        <f t="shared" si="33"/>
        <v>50.359895566849652</v>
      </c>
      <c r="Q55" s="22">
        <f t="shared" si="53"/>
        <v>440.92706835035841</v>
      </c>
      <c r="R55" s="62">
        <f t="shared" si="0"/>
        <v>734.26040168369173</v>
      </c>
      <c r="S55" s="62">
        <f ca="1">AVERAGE(OFFSET($R$3,0,0,'Données projet'!$E$9+1,1))-AVERAGE(OFFSET($H$3,0,0,'Données projet'!$E$9+1,1))</f>
        <v>256.47911362806866</v>
      </c>
      <c r="T55" s="62">
        <f t="shared" si="34"/>
        <v>230.93438491511529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2.8863032344160571</v>
      </c>
      <c r="AA55" s="23">
        <f>EXP(-LN(2)/25)*AA54+(1-EXP(-LN(2)/25))/(LN(2)/25)*Calculateur!V55*Calculateur!X55*VLOOKUP('Données projet'!$B$9,Paramètres!$A$1:$I$89,3,0)*0.475*44/12</f>
        <v>4.4813140208310873</v>
      </c>
      <c r="AB55" s="23">
        <f>EXP(-LN(2)/2)*AB54+(1-EXP(-LN(2)/2))/(LN(2)/2)*V55*Y55*VLOOKUP('Données projet'!$B$9,Paramètres!$A$1:$I$89,3,0)*0.475*44/12</f>
        <v>2.9725620994228616E-3</v>
      </c>
      <c r="AC55" s="24">
        <f t="shared" si="3"/>
        <v>7.3705898173465672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6.2</v>
      </c>
      <c r="AI55" s="14">
        <f>IF('Données projet'!$A$62&gt;35,AI54+AH55-AQ54,IF(A55&lt;'Données projet'!$A$62,$AF$205^A55,IF(A55='Données projet'!$A$62,'Données projet'!$B$62,AI54+AH55-AQ54)))</f>
        <v>182.40000000000003</v>
      </c>
      <c r="AJ55" s="14">
        <f>AI55*VLOOKUP('Données projet'!$B$10,Paramètres!$A$1:$I$89,3,0)*VLOOKUP('Données projet'!$B$10,Paramètres!$A$1:$I$89,5,0)</f>
        <v>159.34464000000006</v>
      </c>
      <c r="AK55" s="14">
        <f t="shared" si="35"/>
        <v>40.694661837553809</v>
      </c>
      <c r="AL55" s="22">
        <f t="shared" si="4"/>
        <v>348.40178403373966</v>
      </c>
      <c r="AM55" s="62">
        <f t="shared" si="5"/>
        <v>641.73511736707292</v>
      </c>
      <c r="AN55" s="62">
        <f ca="1">AVERAGE(OFFSET($AM$3,0,0,'Données projet'!$E$10+1,1))-AVERAGE(OFFSET($H$3,0,0,'Données projet'!$E$10+1,1))</f>
        <v>255.68195973350799</v>
      </c>
      <c r="AO55" s="62">
        <f t="shared" si="36"/>
        <v>269.20928353552461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6.4</v>
      </c>
      <c r="BD55" s="13">
        <f>IF('Données projet'!$A$88&gt;35,BD54+BC55-BL54,IF(A55&lt;'Données projet'!$A$88,$BA$205^A55,IF(A55='Données projet'!$A$88,'Données projet'!$B$88,BD54+BC55-BL54)))</f>
        <v>230.79999999999987</v>
      </c>
      <c r="BE55" s="14">
        <f>BD55*VLOOKUP('Données projet'!$B$11,Paramètres!$A$1:$I$89,3,0)*VLOOKUP('Données projet'!$B$11,Paramètres!$A$1:$I$89,5,0)</f>
        <v>183.62447999999992</v>
      </c>
      <c r="BF55" s="14">
        <f t="shared" si="37"/>
        <v>46.127628187181493</v>
      </c>
      <c r="BG55" s="22">
        <f t="shared" si="7"/>
        <v>400.15158842600766</v>
      </c>
      <c r="BH55" s="62">
        <f t="shared" si="8"/>
        <v>693.48492175934098</v>
      </c>
      <c r="BI55" s="62">
        <f ca="1">AVERAGE(OFFSET($BH$3,0,0,'Données projet'!$E$11+1,1))-AVERAGE(OFFSET($H$3,0,0,'Données projet'!$E$11+1,1))</f>
        <v>243.51680047412441</v>
      </c>
      <c r="BJ55" s="62">
        <f t="shared" si="38"/>
        <v>224.00025638752402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230.79999999999987</v>
      </c>
      <c r="BZ55" s="14">
        <f>BY55*VLOOKUP('Données projet'!$B$12,Paramètres!$A$1:$I$89,3,0)*VLOOKUP('Données projet'!$B$12,Paramètres!$A$1:$I$89,5,0)</f>
        <v>169.2225599999999</v>
      </c>
      <c r="CA55" s="14">
        <f t="shared" si="39"/>
        <v>42.915856464527835</v>
      </c>
      <c r="CB55" s="22">
        <f t="shared" si="10"/>
        <v>369.47440867571908</v>
      </c>
      <c r="CC55" s="62">
        <f t="shared" si="11"/>
        <v>662.80774200905239</v>
      </c>
      <c r="CD55" s="62">
        <f ca="1">AVERAGE(OFFSET($CC$3,0,0,'Données projet'!$E$12+1,1))-AVERAGE(OFFSET($H$3,0,0,'Données projet'!$E$12+1,1))</f>
        <v>221.4629402571224</v>
      </c>
      <c r="CE55" s="62">
        <f t="shared" si="40"/>
        <v>204.26941562549416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6.6666666666666625</v>
      </c>
      <c r="CT55" s="13">
        <f>IF('Données projet'!$A$140&gt;35,CT54+CS55-DB54,IF(A55&lt;'Données projet'!$A$140,$CQ$205^A55,IF(A55='Données projet'!$A$140,'Données projet'!$B$140,CT54+CS55-DB54)))</f>
        <v>238.97435897435912</v>
      </c>
      <c r="CU55" s="18">
        <f>CT55*VLOOKUP('Données projet'!$B$13,Paramètres!$A$1:$I$89,3,0)*VLOOKUP('Données projet'!$B$13,Paramètres!$A$1:$I$89,5,0)</f>
        <v>249.77600000000021</v>
      </c>
      <c r="CV55" s="14">
        <f t="shared" si="41"/>
        <v>60.537972121551782</v>
      </c>
      <c r="CW55" s="22">
        <f t="shared" si="13"/>
        <v>540.4635014450364</v>
      </c>
      <c r="CX55" s="62">
        <f t="shared" si="14"/>
        <v>833.79683477836966</v>
      </c>
      <c r="CY55" s="62">
        <f ca="1">AVERAGE(OFFSET($CX$3,0,0,'Données projet'!$E$13+1,1))-AVERAGE(OFFSET($H$3,0,0,'Données projet'!$E$13+1,1))</f>
        <v>492.66134897013183</v>
      </c>
      <c r="CZ55" s="62">
        <f t="shared" si="42"/>
        <v>307.87428858945862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16.227472527472521</v>
      </c>
      <c r="N56" s="14">
        <f>IF('Données projet'!$A$36&gt;35,N55+M56-V55,IF(A56&lt;'Données projet'!$A$36,$K$205^A56,IF(A56='Données projet'!$A$36,'Données projet'!$B$36,N55+M56-V55)))</f>
        <v>379.02527472527476</v>
      </c>
      <c r="O56" s="14">
        <f>N56*VLOOKUP('Données projet'!$B$9,Paramètres!$A$1:$I$89,3,0)*VLOOKUP('Données projet'!$B$9,Paramètres!$A$1:$I$89,5,0)</f>
        <v>211.87512857142858</v>
      </c>
      <c r="P56" s="14">
        <f t="shared" si="33"/>
        <v>52.345136228066735</v>
      </c>
      <c r="Q56" s="22">
        <f t="shared" si="53"/>
        <v>460.18362785912103</v>
      </c>
      <c r="R56" s="62">
        <f t="shared" si="0"/>
        <v>753.51696119245435</v>
      </c>
      <c r="S56" s="62">
        <f ca="1">AVERAGE(OFFSET($R$3,0,0,'Données projet'!$E$9+1,1))-AVERAGE(OFFSET($H$3,0,0,'Données projet'!$E$9+1,1))</f>
        <v>256.47911362806866</v>
      </c>
      <c r="T56" s="62">
        <f t="shared" si="34"/>
        <v>230.93438491511529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2.8297045884602992</v>
      </c>
      <c r="AA56" s="23">
        <f>EXP(-LN(2)/25)*AA55+(1-EXP(-LN(2)/25))/(LN(2)/25)*Calculateur!V56*Calculateur!X56*VLOOKUP('Données projet'!$B$9,Paramètres!$A$1:$I$89,3,0)*0.475*44/12</f>
        <v>4.3587722532693993</v>
      </c>
      <c r="AB56" s="23">
        <f>EXP(-LN(2)/2)*AB55+(1-EXP(-LN(2)/2))/(LN(2)/2)*V56*Y56*VLOOKUP('Données projet'!$B$9,Paramètres!$A$1:$I$89,3,0)*0.475*44/12</f>
        <v>2.1019188180000257E-3</v>
      </c>
      <c r="AC56" s="24">
        <f t="shared" si="3"/>
        <v>7.190578760547699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6.2</v>
      </c>
      <c r="AI56" s="14">
        <f>IF('Données projet'!$A$62&gt;35,AI55+AH56-AQ55,IF(A56&lt;'Données projet'!$A$62,$AF$205^A56,IF(A56='Données projet'!$A$62,'Données projet'!$B$62,AI55+AH56-AQ55)))</f>
        <v>188.60000000000002</v>
      </c>
      <c r="AJ56" s="14">
        <f>AI56*VLOOKUP('Données projet'!$B$10,Paramètres!$A$1:$I$89,3,0)*VLOOKUP('Données projet'!$B$10,Paramètres!$A$1:$I$89,5,0)</f>
        <v>164.76096000000004</v>
      </c>
      <c r="AK56" s="14">
        <f t="shared" si="35"/>
        <v>41.914523809719945</v>
      </c>
      <c r="AL56" s="22">
        <f t="shared" si="4"/>
        <v>359.95980096859563</v>
      </c>
      <c r="AM56" s="62">
        <f t="shared" si="5"/>
        <v>653.29313430192894</v>
      </c>
      <c r="AN56" s="62">
        <f ca="1">AVERAGE(OFFSET($AM$3,0,0,'Données projet'!$E$10+1,1))-AVERAGE(OFFSET($H$3,0,0,'Données projet'!$E$10+1,1))</f>
        <v>255.68195973350799</v>
      </c>
      <c r="AO56" s="62">
        <f t="shared" si="36"/>
        <v>269.20928353552461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6.4</v>
      </c>
      <c r="BD56" s="13">
        <f>IF('Données projet'!$A$88&gt;35,BD55+BC56-BL55,IF(A56&lt;'Données projet'!$A$88,$BA$205^A56,IF(A56='Données projet'!$A$88,'Données projet'!$B$88,BD55+BC56-BL55)))</f>
        <v>237.19999999999987</v>
      </c>
      <c r="BE56" s="14">
        <f>BD56*VLOOKUP('Données projet'!$B$11,Paramètres!$A$1:$I$89,3,0)*VLOOKUP('Données projet'!$B$11,Paramètres!$A$1:$I$89,5,0)</f>
        <v>188.71631999999991</v>
      </c>
      <c r="BF56" s="14">
        <f t="shared" si="37"/>
        <v>47.256037552855531</v>
      </c>
      <c r="BG56" s="22">
        <f t="shared" si="7"/>
        <v>410.98518940455659</v>
      </c>
      <c r="BH56" s="62">
        <f t="shared" si="8"/>
        <v>704.31852273788991</v>
      </c>
      <c r="BI56" s="62">
        <f ca="1">AVERAGE(OFFSET($BH$3,0,0,'Données projet'!$E$11+1,1))-AVERAGE(OFFSET($H$3,0,0,'Données projet'!$E$11+1,1))</f>
        <v>243.51680047412441</v>
      </c>
      <c r="BJ56" s="62">
        <f t="shared" si="38"/>
        <v>224.00025638752402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237.19999999999987</v>
      </c>
      <c r="BZ56" s="14">
        <f>BY56*VLOOKUP('Données projet'!$B$12,Paramètres!$A$1:$I$89,3,0)*VLOOKUP('Données projet'!$B$12,Paramètres!$A$1:$I$89,5,0)</f>
        <v>173.91503999999992</v>
      </c>
      <c r="CA56" s="14">
        <f t="shared" si="39"/>
        <v>43.965697010718181</v>
      </c>
      <c r="CB56" s="22">
        <f t="shared" si="10"/>
        <v>379.47561696033398</v>
      </c>
      <c r="CC56" s="62">
        <f t="shared" si="11"/>
        <v>672.80895029366729</v>
      </c>
      <c r="CD56" s="62">
        <f ca="1">AVERAGE(OFFSET($CC$3,0,0,'Données projet'!$E$12+1,1))-AVERAGE(OFFSET($H$3,0,0,'Données projet'!$E$12+1,1))</f>
        <v>221.4629402571224</v>
      </c>
      <c r="CE56" s="62">
        <f t="shared" si="40"/>
        <v>204.26941562549416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6.6666666666666625</v>
      </c>
      <c r="CT56" s="13">
        <f>IF('Données projet'!$A$140&gt;35,CT55+CS56-DB55,IF(A56&lt;'Données projet'!$A$140,$CQ$205^A56,IF(A56='Données projet'!$A$140,'Données projet'!$B$140,CT55+CS56-DB55)))</f>
        <v>245.64102564102578</v>
      </c>
      <c r="CU56" s="18">
        <f>CT56*VLOOKUP('Données projet'!$B$13,Paramètres!$A$1:$I$89,3,0)*VLOOKUP('Données projet'!$B$13,Paramètres!$A$1:$I$89,5,0)</f>
        <v>256.74400000000014</v>
      </c>
      <c r="CV56" s="14">
        <f t="shared" si="41"/>
        <v>62.027822109156943</v>
      </c>
      <c r="CW56" s="22">
        <f t="shared" si="13"/>
        <v>555.19425684011514</v>
      </c>
      <c r="CX56" s="62">
        <f t="shared" si="14"/>
        <v>848.52759017344852</v>
      </c>
      <c r="CY56" s="62">
        <f ca="1">AVERAGE(OFFSET($CX$3,0,0,'Données projet'!$E$13+1,1))-AVERAGE(OFFSET($H$3,0,0,'Données projet'!$E$13+1,1))</f>
        <v>492.66134897013183</v>
      </c>
      <c r="CZ56" s="62">
        <f t="shared" si="42"/>
        <v>307.87428858945862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16.227472527472521</v>
      </c>
      <c r="N57" s="14">
        <f>IF('Données projet'!$A$36&gt;35,N56+M57-V56,IF(A57&lt;'Données projet'!$A$36,$K$205^A57,IF(A57='Données projet'!$A$36,'Données projet'!$B$36,N56+M57-V56)))</f>
        <v>395.25274725274727</v>
      </c>
      <c r="O57" s="14">
        <f>N57*VLOOKUP('Données projet'!$B$9,Paramètres!$A$1:$I$89,3,0)*VLOOKUP('Données projet'!$B$9,Paramètres!$A$1:$I$89,5,0)</f>
        <v>220.94628571428572</v>
      </c>
      <c r="P57" s="14">
        <f t="shared" si="33"/>
        <v>54.320504840756463</v>
      </c>
      <c r="Q57" s="22">
        <f t="shared" si="53"/>
        <v>479.42299355003178</v>
      </c>
      <c r="R57" s="62">
        <f t="shared" si="0"/>
        <v>772.75632688336509</v>
      </c>
      <c r="S57" s="62">
        <f ca="1">AVERAGE(OFFSET($R$3,0,0,'Données projet'!$E$9+1,1))-AVERAGE(OFFSET($H$3,0,0,'Données projet'!$E$9+1,1))</f>
        <v>256.47911362806866</v>
      </c>
      <c r="T57" s="62">
        <f t="shared" si="34"/>
        <v>230.93438491511529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2.7742158074299681</v>
      </c>
      <c r="AA57" s="23">
        <f>EXP(-LN(2)/25)*AA56+(1-EXP(-LN(2)/25))/(LN(2)/25)*Calculateur!V57*Calculateur!X57*VLOOKUP('Données projet'!$B$9,Paramètres!$A$1:$I$89,3,0)*0.475*44/12</f>
        <v>4.2395813967858773</v>
      </c>
      <c r="AB57" s="23">
        <f>EXP(-LN(2)/2)*AB56+(1-EXP(-LN(2)/2))/(LN(2)/2)*V57*Y57*VLOOKUP('Données projet'!$B$9,Paramètres!$A$1:$I$89,3,0)*0.475*44/12</f>
        <v>1.4862810497114308E-3</v>
      </c>
      <c r="AC57" s="24">
        <f t="shared" si="3"/>
        <v>7.0152834852655568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6.2</v>
      </c>
      <c r="AI57" s="14">
        <f>IF('Données projet'!$A$62&gt;35,AI56+AH57-AQ56,IF(A57&lt;'Données projet'!$A$62,$AF$205^A57,IF(A57='Données projet'!$A$62,'Données projet'!$B$62,AI56+AH57-AQ56)))</f>
        <v>194.8</v>
      </c>
      <c r="AJ57" s="14">
        <f>AI57*VLOOKUP('Données projet'!$B$10,Paramètres!$A$1:$I$89,3,0)*VLOOKUP('Données projet'!$B$10,Paramètres!$A$1:$I$89,5,0)</f>
        <v>170.17728000000005</v>
      </c>
      <c r="AK57" s="14">
        <f t="shared" si="35"/>
        <v>43.129725999134671</v>
      </c>
      <c r="AL57" s="22">
        <f t="shared" si="4"/>
        <v>371.50970211515966</v>
      </c>
      <c r="AM57" s="62">
        <f t="shared" si="5"/>
        <v>664.84303544849297</v>
      </c>
      <c r="AN57" s="62">
        <f ca="1">AVERAGE(OFFSET($AM$3,0,0,'Données projet'!$E$10+1,1))-AVERAGE(OFFSET($H$3,0,0,'Données projet'!$E$10+1,1))</f>
        <v>255.68195973350799</v>
      </c>
      <c r="AO57" s="62">
        <f t="shared" si="36"/>
        <v>269.20928353552461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6.4</v>
      </c>
      <c r="BD57" s="13">
        <f>IF('Données projet'!$A$88&gt;35,BD56+BC57-BL56,IF(A57&lt;'Données projet'!$A$88,$BA$205^A57,IF(A57='Données projet'!$A$88,'Données projet'!$B$88,BD56+BC57-BL56)))</f>
        <v>243.59999999999988</v>
      </c>
      <c r="BE57" s="14">
        <f>BD57*VLOOKUP('Données projet'!$B$11,Paramètres!$A$1:$I$89,3,0)*VLOOKUP('Données projet'!$B$11,Paramètres!$A$1:$I$89,5,0)</f>
        <v>193.80815999999993</v>
      </c>
      <c r="BF57" s="14">
        <f t="shared" si="37"/>
        <v>48.380908095574689</v>
      </c>
      <c r="BG57" s="22">
        <f t="shared" si="7"/>
        <v>421.81262693312578</v>
      </c>
      <c r="BH57" s="62">
        <f t="shared" si="8"/>
        <v>715.14596026645904</v>
      </c>
      <c r="BI57" s="62">
        <f ca="1">AVERAGE(OFFSET($BH$3,0,0,'Données projet'!$E$11+1,1))-AVERAGE(OFFSET($H$3,0,0,'Données projet'!$E$11+1,1))</f>
        <v>243.51680047412441</v>
      </c>
      <c r="BJ57" s="62">
        <f t="shared" si="38"/>
        <v>224.00025638752402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243.59999999999988</v>
      </c>
      <c r="BZ57" s="14">
        <f>BY57*VLOOKUP('Données projet'!$B$12,Paramètres!$A$1:$I$89,3,0)*VLOOKUP('Données projet'!$B$12,Paramètres!$A$1:$I$89,5,0)</f>
        <v>178.60751999999991</v>
      </c>
      <c r="CA57" s="14">
        <f t="shared" si="39"/>
        <v>45.012245134905633</v>
      </c>
      <c r="CB57" s="22">
        <f t="shared" si="10"/>
        <v>389.4710909432938</v>
      </c>
      <c r="CC57" s="62">
        <f t="shared" si="11"/>
        <v>682.80442427662706</v>
      </c>
      <c r="CD57" s="62">
        <f ca="1">AVERAGE(OFFSET($CC$3,0,0,'Données projet'!$E$12+1,1))-AVERAGE(OFFSET($H$3,0,0,'Données projet'!$E$12+1,1))</f>
        <v>221.4629402571224</v>
      </c>
      <c r="CE57" s="62">
        <f t="shared" si="40"/>
        <v>204.26941562549416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6.6666666666666625</v>
      </c>
      <c r="CT57" s="13">
        <f>IF('Données projet'!$A$140&gt;35,CT56+CS57-DB56,IF(A57&lt;'Données projet'!$A$140,$CQ$205^A57,IF(A57='Données projet'!$A$140,'Données projet'!$B$140,CT56+CS57-DB56)))</f>
        <v>252.30769230769243</v>
      </c>
      <c r="CU57" s="18">
        <f>CT57*VLOOKUP('Données projet'!$B$13,Paramètres!$A$1:$I$89,3,0)*VLOOKUP('Données projet'!$B$13,Paramètres!$A$1:$I$89,5,0)</f>
        <v>263.71200000000016</v>
      </c>
      <c r="CV57" s="14">
        <f t="shared" si="41"/>
        <v>63.51297235605125</v>
      </c>
      <c r="CW57" s="22">
        <f t="shared" si="13"/>
        <v>569.9168268534562</v>
      </c>
      <c r="CX57" s="62">
        <f t="shared" si="14"/>
        <v>863.25016018678957</v>
      </c>
      <c r="CY57" s="62">
        <f ca="1">AVERAGE(OFFSET($CX$3,0,0,'Données projet'!$E$13+1,1))-AVERAGE(OFFSET($H$3,0,0,'Données projet'!$E$13+1,1))</f>
        <v>492.66134897013183</v>
      </c>
      <c r="CZ57" s="62">
        <f t="shared" si="42"/>
        <v>307.87428858945862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16.227472527472521</v>
      </c>
      <c r="N58" s="14">
        <f>IF('Données projet'!$A$36&gt;35,N57+M58-V57,IF(A58&lt;'Données projet'!$A$36,$K$205^A58,IF(A58='Données projet'!$A$36,'Données projet'!$B$36,N57+M58-V57)))</f>
        <v>411.48021978021978</v>
      </c>
      <c r="O58" s="14">
        <f>N58*VLOOKUP('Données projet'!$B$9,Paramètres!$A$1:$I$89,3,0)*VLOOKUP('Données projet'!$B$9,Paramètres!$A$1:$I$89,5,0)</f>
        <v>230.01744285714284</v>
      </c>
      <c r="P58" s="14">
        <f t="shared" si="33"/>
        <v>56.286453068022915</v>
      </c>
      <c r="Q58" s="22">
        <f t="shared" si="53"/>
        <v>498.64595206966368</v>
      </c>
      <c r="R58" s="62">
        <f t="shared" si="0"/>
        <v>791.97928540299699</v>
      </c>
      <c r="S58" s="62">
        <f ca="1">AVERAGE(OFFSET($R$3,0,0,'Données projet'!$E$9+1,1))-AVERAGE(OFFSET($H$3,0,0,'Données projet'!$E$9+1,1))</f>
        <v>256.47911362806866</v>
      </c>
      <c r="T58" s="62">
        <f t="shared" si="34"/>
        <v>230.93438491511529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2.7198151275508273</v>
      </c>
      <c r="AA58" s="23">
        <f>EXP(-LN(2)/25)*AA57+(1-EXP(-LN(2)/25))/(LN(2)/25)*Calculateur!V58*Calculateur!X58*VLOOKUP('Données projet'!$B$9,Paramètres!$A$1:$I$89,3,0)*0.475*44/12</f>
        <v>4.1236498205408711</v>
      </c>
      <c r="AB58" s="23">
        <f>EXP(-LN(2)/2)*AB57+(1-EXP(-LN(2)/2))/(LN(2)/2)*V58*Y58*VLOOKUP('Données projet'!$B$9,Paramètres!$A$1:$I$89,3,0)*0.475*44/12</f>
        <v>1.0509594090000129E-3</v>
      </c>
      <c r="AC58" s="24">
        <f t="shared" si="3"/>
        <v>6.844515907500698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201</v>
      </c>
      <c r="AG58" s="13">
        <f>VLOOKUP(A58,'Données projet'!$A$61:$I$81,9,0)</f>
        <v>6.2</v>
      </c>
      <c r="AH58" s="13">
        <f t="array" ref="AH58">INDEX(AG:AG,MIN(IF(ISNUMBER(AG58:AG254),ROW(AG58:AG254),"")))</f>
        <v>6.2</v>
      </c>
      <c r="AI58" s="14">
        <f>IF('Données projet'!$A$62&gt;35,AI57+AH58-AQ57,IF(A58&lt;'Données projet'!$A$62,$AF$205^A58,IF(A58='Données projet'!$A$62,'Données projet'!$B$62,AI57+AH58-AQ57)))</f>
        <v>201</v>
      </c>
      <c r="AJ58" s="14">
        <f>AI58*VLOOKUP('Données projet'!$B$10,Paramètres!$A$1:$I$89,3,0)*VLOOKUP('Données projet'!$B$10,Paramètres!$A$1:$I$89,5,0)</f>
        <v>175.59360000000004</v>
      </c>
      <c r="AK58" s="14">
        <f t="shared" si="35"/>
        <v>44.340433728638573</v>
      </c>
      <c r="AL58" s="22">
        <f t="shared" si="4"/>
        <v>383.05177541071225</v>
      </c>
      <c r="AM58" s="62">
        <f t="shared" si="5"/>
        <v>676.38510874404551</v>
      </c>
      <c r="AN58" s="62">
        <f ca="1">AVERAGE(OFFSET($AM$3,0,0,'Données projet'!$E$10+1,1))-AVERAGE(OFFSET($H$3,0,0,'Données projet'!$E$10+1,1))</f>
        <v>255.68195973350799</v>
      </c>
      <c r="AO58" s="62">
        <f t="shared" si="36"/>
        <v>269.20928353552461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250</v>
      </c>
      <c r="BB58" s="13">
        <f>VLOOKUP(A58,'Données projet'!$A$87:$I$107,9,0)</f>
        <v>6.4</v>
      </c>
      <c r="BC58" s="13">
        <f t="array" ref="BC58">INDEX(BB:BB,MIN(IF(ISNUMBER(BB58:BB254),ROW(BB58:BB254),"")))</f>
        <v>6.4</v>
      </c>
      <c r="BD58" s="13">
        <f>IF('Données projet'!$A$88&gt;35,BD57+BC58-BL57,IF(A58&lt;'Données projet'!$A$88,$BA$205^A58,IF(A58='Données projet'!$A$88,'Données projet'!$B$88,BD57+BC58-BL57)))</f>
        <v>249.99999999999989</v>
      </c>
      <c r="BE58" s="14">
        <f>BD58*VLOOKUP('Données projet'!$B$11,Paramètres!$A$1:$I$89,3,0)*VLOOKUP('Données projet'!$B$11,Paramètres!$A$1:$I$89,5,0)</f>
        <v>198.89999999999992</v>
      </c>
      <c r="BF58" s="14">
        <f t="shared" si="37"/>
        <v>49.502343477105526</v>
      </c>
      <c r="BG58" s="22">
        <f t="shared" si="7"/>
        <v>432.63408155595857</v>
      </c>
      <c r="BH58" s="62">
        <f t="shared" si="8"/>
        <v>725.96741488929183</v>
      </c>
      <c r="BI58" s="62">
        <f ca="1">AVERAGE(OFFSET($BH$3,0,0,'Données projet'!$E$11+1,1))-AVERAGE(OFFSET($H$3,0,0,'Données projet'!$E$11+1,1))</f>
        <v>243.51680047412441</v>
      </c>
      <c r="BJ58" s="62">
        <f t="shared" si="38"/>
        <v>224.00025638752402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250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249.99999999999989</v>
      </c>
      <c r="BZ58" s="14">
        <f>BY58*VLOOKUP('Données projet'!$B$12,Paramètres!$A$1:$I$89,3,0)*VLOOKUP('Données projet'!$B$12,Paramètres!$A$1:$I$89,5,0)</f>
        <v>183.29999999999993</v>
      </c>
      <c r="CA58" s="14">
        <f t="shared" si="39"/>
        <v>46.055597281101534</v>
      </c>
      <c r="CB58" s="22">
        <f t="shared" si="10"/>
        <v>399.46099859791838</v>
      </c>
      <c r="CC58" s="62">
        <f t="shared" si="11"/>
        <v>692.79433193125169</v>
      </c>
      <c r="CD58" s="62">
        <f ca="1">AVERAGE(OFFSET($CC$3,0,0,'Données projet'!$E$12+1,1))-AVERAGE(OFFSET($H$3,0,0,'Données projet'!$E$12+1,1))</f>
        <v>221.4629402571224</v>
      </c>
      <c r="CE58" s="62">
        <f t="shared" si="40"/>
        <v>204.26941562549416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30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258.97435897435895</v>
      </c>
      <c r="CR58" s="13">
        <f>VLOOKUP(A58,'Données projet'!$A$139:$I$159,9,0)</f>
        <v>6.6666666666666625</v>
      </c>
      <c r="CS58" s="13">
        <f t="array" ref="CS58">INDEX(CR:CR,MIN(IF(ISNUMBER(CR58:CR254),ROW(CR58:CR254),"")))</f>
        <v>6.6666666666666625</v>
      </c>
      <c r="CT58" s="13">
        <f>IF('Données projet'!$A$140&gt;35,CT57+CS58-DB57,IF(A58&lt;'Données projet'!$A$140,$CQ$205^A58,IF(A58='Données projet'!$A$140,'Données projet'!$B$140,CT57+CS58-DB57)))</f>
        <v>258.97435897435912</v>
      </c>
      <c r="CU58" s="18">
        <f>CT58*VLOOKUP('Données projet'!$B$13,Paramètres!$A$1:$I$89,3,0)*VLOOKUP('Données projet'!$B$13,Paramètres!$A$1:$I$89,5,0)</f>
        <v>270.68000000000018</v>
      </c>
      <c r="CV58" s="14">
        <f t="shared" si="41"/>
        <v>64.993561316583325</v>
      </c>
      <c r="CW58" s="22">
        <f t="shared" si="13"/>
        <v>584.63145262638295</v>
      </c>
      <c r="CX58" s="62">
        <f t="shared" si="14"/>
        <v>877.96478595971621</v>
      </c>
      <c r="CY58" s="62">
        <f ca="1">AVERAGE(OFFSET($CX$3,0,0,'Données projet'!$E$13+1,1))-AVERAGE(OFFSET($H$3,0,0,'Données projet'!$E$13+1,1))</f>
        <v>492.66134897013183</v>
      </c>
      <c r="CZ58" s="62">
        <f t="shared" si="42"/>
        <v>307.87428858945862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427.7076923076923</v>
      </c>
      <c r="L59" s="13">
        <f>VLOOKUP(A59,'Données projet'!$A$35:$I$55,9,0)</f>
        <v>16.227472527472521</v>
      </c>
      <c r="M59" s="13">
        <f t="array" ref="M59">INDEX(L:L,MIN(IF(ISNUMBER(L59:L255),ROW(L59:L255),"")))</f>
        <v>16.227472527472521</v>
      </c>
      <c r="N59" s="14">
        <f>IF('Données projet'!$A$36&gt;35,N58+M59-V58,IF(A59&lt;'Données projet'!$A$36,$K$205^A59,IF(A59='Données projet'!$A$36,'Données projet'!$B$36,N58+M59-V58)))</f>
        <v>427.7076923076923</v>
      </c>
      <c r="O59" s="14">
        <f>N59*VLOOKUP('Données projet'!$B$9,Paramètres!$A$1:$I$89,3,0)*VLOOKUP('Données projet'!$B$9,Paramètres!$A$1:$I$89,5,0)</f>
        <v>239.08860000000001</v>
      </c>
      <c r="P59" s="14">
        <f t="shared" si="33"/>
        <v>58.243394931850105</v>
      </c>
      <c r="Q59" s="22">
        <f t="shared" si="53"/>
        <v>517.85322450630554</v>
      </c>
      <c r="R59" s="62">
        <f t="shared" si="0"/>
        <v>811.18655783963891</v>
      </c>
      <c r="S59" s="62">
        <f ca="1">AVERAGE(OFFSET($R$3,0,0,'Données projet'!$E$9+1,1))-AVERAGE(OFFSET($H$3,0,0,'Données projet'!$E$9+1,1))</f>
        <v>256.47911362806866</v>
      </c>
      <c r="T59" s="62">
        <f t="shared" si="34"/>
        <v>230.93438491511529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75.869230769230768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2.6664812118229784</v>
      </c>
      <c r="AA59" s="23">
        <f>EXP(-LN(2)/25)*AA58+(1-EXP(-LN(2)/25))/(LN(2)/25)*Calculateur!V59*Calculateur!X59*VLOOKUP('Données projet'!$B$9,Paramètres!$A$1:$I$89,3,0)*0.475*44/12</f>
        <v>4.0108883993448616</v>
      </c>
      <c r="AB59" s="23">
        <f>EXP(-LN(2)/2)*AB58+(1-EXP(-LN(2)/2))/(LN(2)/2)*V59*Y59*VLOOKUP('Données projet'!$B$9,Paramètres!$A$1:$I$89,3,0)*0.475*44/12</f>
        <v>7.4314052485571541E-4</v>
      </c>
      <c r="AC59" s="24">
        <f t="shared" si="3"/>
        <v>6.6781127516926961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206.2</v>
      </c>
      <c r="AJ59" s="14">
        <f>AI59*VLOOKUP('Données projet'!$B$10,Paramètres!$A$1:$I$89,3,0)*VLOOKUP('Données projet'!$B$10,Paramètres!$A$1:$I$89,5,0)</f>
        <v>180.13632000000001</v>
      </c>
      <c r="AK59" s="14">
        <f t="shared" si="35"/>
        <v>45.352513518602102</v>
      </c>
      <c r="AL59" s="22">
        <f t="shared" si="4"/>
        <v>392.72638504489868</v>
      </c>
      <c r="AM59" s="62">
        <f t="shared" si="5"/>
        <v>686.05971837823199</v>
      </c>
      <c r="AN59" s="62">
        <f ca="1">AVERAGE(OFFSET($AM$3,0,0,'Données projet'!$E$10+1,1))-AVERAGE(OFFSET($H$3,0,0,'Données projet'!$E$10+1,1))</f>
        <v>255.68195973350799</v>
      </c>
      <c r="AO59" s="62">
        <f t="shared" si="36"/>
        <v>269.20928353552461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224.99999999999989</v>
      </c>
      <c r="BE59" s="14">
        <f>BD59*VLOOKUP('Données projet'!$B$11,Paramètres!$A$1:$I$89,3,0)*VLOOKUP('Données projet'!$B$11,Paramètres!$A$1:$I$89,5,0)</f>
        <v>179.00999999999991</v>
      </c>
      <c r="BF59" s="14">
        <f t="shared" si="37"/>
        <v>45.101858757318098</v>
      </c>
      <c r="BG59" s="22">
        <f t="shared" si="7"/>
        <v>390.32815400232886</v>
      </c>
      <c r="BH59" s="62">
        <f t="shared" si="8"/>
        <v>683.66148733566217</v>
      </c>
      <c r="BI59" s="62">
        <f ca="1">AVERAGE(OFFSET($BH$3,0,0,'Données projet'!$E$11+1,1))-AVERAGE(OFFSET($H$3,0,0,'Données projet'!$E$11+1,1))</f>
        <v>243.51680047412441</v>
      </c>
      <c r="BJ59" s="62">
        <f t="shared" si="38"/>
        <v>224.00025638752402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224.99999999999989</v>
      </c>
      <c r="BZ59" s="14">
        <f>BY59*VLOOKUP('Données projet'!$B$12,Paramètres!$A$1:$I$89,3,0)*VLOOKUP('Données projet'!$B$12,Paramètres!$A$1:$I$89,5,0)</f>
        <v>164.96999999999991</v>
      </c>
      <c r="CA59" s="14">
        <f t="shared" si="39"/>
        <v>41.961509246867301</v>
      </c>
      <c r="CB59" s="22">
        <f t="shared" si="10"/>
        <v>360.40571193829373</v>
      </c>
      <c r="CC59" s="62">
        <f t="shared" si="11"/>
        <v>653.73904527162699</v>
      </c>
      <c r="CD59" s="62">
        <f ca="1">AVERAGE(OFFSET($CC$3,0,0,'Données projet'!$E$12+1,1))-AVERAGE(OFFSET($H$3,0,0,'Données projet'!$E$12+1,1))</f>
        <v>221.4629402571224</v>
      </c>
      <c r="CE59" s="62">
        <f t="shared" si="40"/>
        <v>204.26941562549416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6.4102564102564088</v>
      </c>
      <c r="CT59" s="13">
        <f>IF('Données projet'!$A$140&gt;35,CT58+CS59-DB58,IF(A59&lt;'Données projet'!$A$140,$CQ$205^A59,IF(A59='Données projet'!$A$140,'Données projet'!$B$140,CT58+CS59-DB58)))</f>
        <v>265.38461538461553</v>
      </c>
      <c r="CU59" s="18">
        <f>CT59*VLOOKUP('Données projet'!$B$13,Paramètres!$A$1:$I$89,3,0)*VLOOKUP('Données projet'!$B$13,Paramètres!$A$1:$I$89,5,0)</f>
        <v>277.38000000000017</v>
      </c>
      <c r="CV59" s="14">
        <f t="shared" si="41"/>
        <v>66.413024982910088</v>
      </c>
      <c r="CW59" s="22">
        <f t="shared" si="13"/>
        <v>598.77285184523532</v>
      </c>
      <c r="CX59" s="62">
        <f t="shared" si="14"/>
        <v>892.10618517856869</v>
      </c>
      <c r="CY59" s="62">
        <f ca="1">AVERAGE(OFFSET($CX$3,0,0,'Données projet'!$E$13+1,1))-AVERAGE(OFFSET($H$3,0,0,'Données projet'!$E$13+1,1))</f>
        <v>492.66134897013183</v>
      </c>
      <c r="CZ59" s="62">
        <f t="shared" si="42"/>
        <v>307.87428858945862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14.839560439560435</v>
      </c>
      <c r="N60" s="14">
        <f>IF('Données projet'!$A$36&gt;35,N59+M60-V59,IF(A60&lt;'Données projet'!$A$36,$K$205^A60,IF(A60='Données projet'!$A$36,'Données projet'!$B$36,N59+M60-V59)))</f>
        <v>366.678021978022</v>
      </c>
      <c r="O60" s="14">
        <f>N60*VLOOKUP('Données projet'!$B$9,Paramètres!$A$1:$I$89,3,0)*VLOOKUP('Données projet'!$B$9,Paramètres!$A$1:$I$89,5,0)</f>
        <v>204.9730142857143</v>
      </c>
      <c r="P60" s="14">
        <f t="shared" si="33"/>
        <v>50.835518579260878</v>
      </c>
      <c r="Q60" s="22">
        <f t="shared" si="53"/>
        <v>445.53319473983174</v>
      </c>
      <c r="R60" s="62">
        <f t="shared" si="0"/>
        <v>738.866528073165</v>
      </c>
      <c r="S60" s="62">
        <f ca="1">AVERAGE(OFFSET($R$3,0,0,'Données projet'!$E$9+1,1))-AVERAGE(OFFSET($H$3,0,0,'Données projet'!$E$9+1,1))</f>
        <v>256.47911362806866</v>
      </c>
      <c r="T60" s="62">
        <f t="shared" si="34"/>
        <v>230.93438491511529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2.6141931416520761</v>
      </c>
      <c r="AA60" s="23">
        <f>EXP(-LN(2)/25)*AA59+(1-EXP(-LN(2)/25))/(LN(2)/25)*Calculateur!V60*Calculateur!X60*VLOOKUP('Données projet'!$B$9,Paramètres!$A$1:$I$89,3,0)*0.475*44/12</f>
        <v>3.9012104451413223</v>
      </c>
      <c r="AB60" s="23">
        <f>EXP(-LN(2)/2)*AB59+(1-EXP(-LN(2)/2))/(LN(2)/2)*V60*Y60*VLOOKUP('Données projet'!$B$9,Paramètres!$A$1:$I$89,3,0)*0.475*44/12</f>
        <v>5.2547970450000643E-4</v>
      </c>
      <c r="AC60" s="24">
        <f t="shared" si="3"/>
        <v>6.5159290664978986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211.39999999999998</v>
      </c>
      <c r="AJ60" s="14">
        <f>AI60*VLOOKUP('Données projet'!$B$10,Paramètres!$A$1:$I$89,3,0)*VLOOKUP('Données projet'!$B$10,Paramètres!$A$1:$I$89,5,0)</f>
        <v>184.67904000000001</v>
      </c>
      <c r="AK60" s="14">
        <f t="shared" si="35"/>
        <v>46.361626470742223</v>
      </c>
      <c r="AL60" s="22">
        <f t="shared" si="4"/>
        <v>402.39582743654267</v>
      </c>
      <c r="AM60" s="62">
        <f t="shared" si="5"/>
        <v>695.72916076987599</v>
      </c>
      <c r="AN60" s="62">
        <f ca="1">AVERAGE(OFFSET($AM$3,0,0,'Données projet'!$E$10+1,1))-AVERAGE(OFFSET($H$3,0,0,'Données projet'!$E$10+1,1))</f>
        <v>255.68195973350799</v>
      </c>
      <c r="AO60" s="62">
        <f t="shared" si="36"/>
        <v>269.20928353552461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229.99999999999989</v>
      </c>
      <c r="BE60" s="14">
        <f>BD60*VLOOKUP('Données projet'!$B$11,Paramètres!$A$1:$I$89,3,0)*VLOOKUP('Données projet'!$B$11,Paramètres!$A$1:$I$89,5,0)</f>
        <v>182.98799999999991</v>
      </c>
      <c r="BF60" s="14">
        <f t="shared" si="37"/>
        <v>45.986322796524831</v>
      </c>
      <c r="BG60" s="22">
        <f t="shared" si="7"/>
        <v>398.79694553728058</v>
      </c>
      <c r="BH60" s="62">
        <f t="shared" si="8"/>
        <v>692.13027887061389</v>
      </c>
      <c r="BI60" s="62">
        <f ca="1">AVERAGE(OFFSET($BH$3,0,0,'Données projet'!$E$11+1,1))-AVERAGE(OFFSET($H$3,0,0,'Données projet'!$E$11+1,1))</f>
        <v>243.51680047412441</v>
      </c>
      <c r="BJ60" s="62">
        <f t="shared" si="38"/>
        <v>224.00025638752402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229.99999999999989</v>
      </c>
      <c r="BZ60" s="14">
        <f>BY60*VLOOKUP('Données projet'!$B$12,Paramètres!$A$1:$I$89,3,0)*VLOOKUP('Données projet'!$B$12,Paramètres!$A$1:$I$89,5,0)</f>
        <v>168.63599999999991</v>
      </c>
      <c r="CA60" s="14">
        <f t="shared" si="39"/>
        <v>42.784389877117853</v>
      </c>
      <c r="CB60" s="22">
        <f t="shared" si="10"/>
        <v>368.22384570264677</v>
      </c>
      <c r="CC60" s="62">
        <f t="shared" si="11"/>
        <v>661.55717903598008</v>
      </c>
      <c r="CD60" s="62">
        <f ca="1">AVERAGE(OFFSET($CC$3,0,0,'Données projet'!$E$12+1,1))-AVERAGE(OFFSET($H$3,0,0,'Données projet'!$E$12+1,1))</f>
        <v>221.4629402571224</v>
      </c>
      <c r="CE60" s="62">
        <f t="shared" si="40"/>
        <v>204.26941562549416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6.4102564102564088</v>
      </c>
      <c r="CT60" s="13">
        <f>IF('Données projet'!$A$140&gt;35,CT59+CS60-DB59,IF(A60&lt;'Données projet'!$A$140,$CQ$205^A60,IF(A60='Données projet'!$A$140,'Données projet'!$B$140,CT59+CS60-DB59)))</f>
        <v>271.79487179487194</v>
      </c>
      <c r="CU60" s="18">
        <f>CT60*VLOOKUP('Données projet'!$B$13,Paramètres!$A$1:$I$89,3,0)*VLOOKUP('Données projet'!$B$13,Paramètres!$A$1:$I$89,5,0)</f>
        <v>284.08000000000015</v>
      </c>
      <c r="CV60" s="14">
        <f t="shared" si="41"/>
        <v>67.828502889024321</v>
      </c>
      <c r="CW60" s="22">
        <f t="shared" si="13"/>
        <v>612.90730919838427</v>
      </c>
      <c r="CX60" s="62">
        <f t="shared" si="14"/>
        <v>906.24064253171764</v>
      </c>
      <c r="CY60" s="62">
        <f ca="1">AVERAGE(OFFSET($CX$3,0,0,'Données projet'!$E$13+1,1))-AVERAGE(OFFSET($H$3,0,0,'Données projet'!$E$13+1,1))</f>
        <v>492.66134897013183</v>
      </c>
      <c r="CZ60" s="62">
        <f t="shared" si="42"/>
        <v>307.87428858945862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14.839560439560435</v>
      </c>
      <c r="N61" s="14">
        <f>IF('Données projet'!$A$36&gt;35,N60+M61-V60,IF(A61&lt;'Données projet'!$A$36,$K$205^A61,IF(A61='Données projet'!$A$36,'Données projet'!$B$36,N60+M61-V60)))</f>
        <v>381.51758241758245</v>
      </c>
      <c r="O61" s="14">
        <f>N61*VLOOKUP('Données projet'!$B$9,Paramètres!$A$1:$I$89,3,0)*VLOOKUP('Données projet'!$B$9,Paramètres!$A$1:$I$89,5,0)</f>
        <v>213.26832857142858</v>
      </c>
      <c r="P61" s="14">
        <f t="shared" si="33"/>
        <v>52.649154508451623</v>
      </c>
      <c r="Q61" s="22">
        <f t="shared" si="53"/>
        <v>463.13961636412461</v>
      </c>
      <c r="R61" s="62">
        <f t="shared" si="0"/>
        <v>756.47294969745792</v>
      </c>
      <c r="S61" s="62">
        <f ca="1">AVERAGE(OFFSET($R$3,0,0,'Données projet'!$E$9+1,1))-AVERAGE(OFFSET($H$3,0,0,'Données projet'!$E$9+1,1))</f>
        <v>256.47911362806866</v>
      </c>
      <c r="T61" s="62">
        <f t="shared" si="34"/>
        <v>230.93438491511529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2.5629304086446516</v>
      </c>
      <c r="AA61" s="23">
        <f>EXP(-LN(2)/25)*AA60+(1-EXP(-LN(2)/25))/(LN(2)/25)*Calculateur!V61*Calculateur!X61*VLOOKUP('Données projet'!$B$9,Paramètres!$A$1:$I$89,3,0)*0.475*44/12</f>
        <v>3.7945316403631919</v>
      </c>
      <c r="AB61" s="23">
        <f>EXP(-LN(2)/2)*AB60+(1-EXP(-LN(2)/2))/(LN(2)/2)*V61*Y61*VLOOKUP('Données projet'!$B$9,Paramètres!$A$1:$I$89,3,0)*0.475*44/12</f>
        <v>3.7157026242785771E-4</v>
      </c>
      <c r="AC61" s="24">
        <f t="shared" si="3"/>
        <v>6.3578336192702709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216.59999999999997</v>
      </c>
      <c r="AJ61" s="14">
        <f>AI61*VLOOKUP('Données projet'!$B$10,Paramètres!$A$1:$I$89,3,0)*VLOOKUP('Données projet'!$B$10,Paramètres!$A$1:$I$89,5,0)</f>
        <v>189.22175999999999</v>
      </c>
      <c r="AK61" s="14">
        <f t="shared" si="35"/>
        <v>47.367853957810077</v>
      </c>
      <c r="AL61" s="22">
        <f t="shared" si="4"/>
        <v>412.06024430985252</v>
      </c>
      <c r="AM61" s="62">
        <f t="shared" si="5"/>
        <v>705.39357764318584</v>
      </c>
      <c r="AN61" s="62">
        <f ca="1">AVERAGE(OFFSET($AM$3,0,0,'Données projet'!$E$10+1,1))-AVERAGE(OFFSET($H$3,0,0,'Données projet'!$E$10+1,1))</f>
        <v>255.68195973350799</v>
      </c>
      <c r="AO61" s="62">
        <f t="shared" si="36"/>
        <v>269.20928353552461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234.99999999999989</v>
      </c>
      <c r="BE61" s="14">
        <f>BD61*VLOOKUP('Données projet'!$B$11,Paramètres!$A$1:$I$89,3,0)*VLOOKUP('Données projet'!$B$11,Paramètres!$A$1:$I$89,5,0)</f>
        <v>186.96599999999992</v>
      </c>
      <c r="BF61" s="14">
        <f t="shared" si="37"/>
        <v>46.868551400324606</v>
      </c>
      <c r="BG61" s="22">
        <f t="shared" si="7"/>
        <v>407.26184368889852</v>
      </c>
      <c r="BH61" s="62">
        <f t="shared" si="8"/>
        <v>700.59517702223184</v>
      </c>
      <c r="BI61" s="62">
        <f ca="1">AVERAGE(OFFSET($BH$3,0,0,'Données projet'!$E$11+1,1))-AVERAGE(OFFSET($H$3,0,0,'Données projet'!$E$11+1,1))</f>
        <v>243.51680047412441</v>
      </c>
      <c r="BJ61" s="62">
        <f t="shared" si="38"/>
        <v>224.00025638752402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234.99999999999989</v>
      </c>
      <c r="BZ61" s="14">
        <f>BY61*VLOOKUP('Données projet'!$B$12,Paramètres!$A$1:$I$89,3,0)*VLOOKUP('Données projet'!$B$12,Paramètres!$A$1:$I$89,5,0)</f>
        <v>172.30199999999994</v>
      </c>
      <c r="CA61" s="14">
        <f t="shared" si="39"/>
        <v>43.605190720723655</v>
      </c>
      <c r="CB61" s="22">
        <f t="shared" si="10"/>
        <v>376.03835717192686</v>
      </c>
      <c r="CC61" s="62">
        <f t="shared" si="11"/>
        <v>669.37169050526018</v>
      </c>
      <c r="CD61" s="62">
        <f ca="1">AVERAGE(OFFSET($CC$3,0,0,'Données projet'!$E$12+1,1))-AVERAGE(OFFSET($H$3,0,0,'Données projet'!$E$12+1,1))</f>
        <v>221.4629402571224</v>
      </c>
      <c r="CE61" s="62">
        <f t="shared" si="40"/>
        <v>204.26941562549416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6.4102564102564088</v>
      </c>
      <c r="CT61" s="13">
        <f>IF('Données projet'!$A$140&gt;35,CT60+CS61-DB60,IF(A61&lt;'Données projet'!$A$140,$CQ$205^A61,IF(A61='Données projet'!$A$140,'Données projet'!$B$140,CT60+CS61-DB60)))</f>
        <v>278.20512820512835</v>
      </c>
      <c r="CU61" s="18">
        <f>CT61*VLOOKUP('Données projet'!$B$13,Paramètres!$A$1:$I$89,3,0)*VLOOKUP('Données projet'!$B$13,Paramètres!$A$1:$I$89,5,0)</f>
        <v>290.78000000000014</v>
      </c>
      <c r="CV61" s="14">
        <f t="shared" si="41"/>
        <v>69.240099856469072</v>
      </c>
      <c r="CW61" s="22">
        <f t="shared" si="13"/>
        <v>627.0350072500172</v>
      </c>
      <c r="CX61" s="62">
        <f t="shared" si="14"/>
        <v>920.36834058335057</v>
      </c>
      <c r="CY61" s="62">
        <f ca="1">AVERAGE(OFFSET($CX$3,0,0,'Données projet'!$E$13+1,1))-AVERAGE(OFFSET($H$3,0,0,'Données projet'!$E$13+1,1))</f>
        <v>492.66134897013183</v>
      </c>
      <c r="CZ61" s="62">
        <f t="shared" si="42"/>
        <v>307.87428858945862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14.839560439560435</v>
      </c>
      <c r="N62" s="14">
        <f>IF('Données projet'!$A$36&gt;35,N61+M62-V61,IF(A62&lt;'Données projet'!$A$36,$K$205^A62,IF(A62='Données projet'!$A$36,'Données projet'!$B$36,N61+M62-V61)))</f>
        <v>396.35714285714289</v>
      </c>
      <c r="O62" s="14">
        <f>N62*VLOOKUP('Données projet'!$B$9,Paramètres!$A$1:$I$89,3,0)*VLOOKUP('Données projet'!$B$9,Paramètres!$A$1:$I$89,5,0)</f>
        <v>221.56364285714287</v>
      </c>
      <c r="P62" s="14">
        <f t="shared" si="33"/>
        <v>54.45459555983345</v>
      </c>
      <c r="Q62" s="22">
        <f t="shared" si="53"/>
        <v>480.73176524290039</v>
      </c>
      <c r="R62" s="62">
        <f t="shared" si="0"/>
        <v>774.06509857623371</v>
      </c>
      <c r="S62" s="62">
        <f ca="1">AVERAGE(OFFSET($R$3,0,0,'Données projet'!$E$9+1,1))-AVERAGE(OFFSET($H$3,0,0,'Données projet'!$E$9+1,1))</f>
        <v>256.47911362806866</v>
      </c>
      <c r="T62" s="62">
        <f t="shared" si="34"/>
        <v>230.93438491511529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2.512672906564323</v>
      </c>
      <c r="AA62" s="23">
        <f>EXP(-LN(2)/25)*AA61+(1-EXP(-LN(2)/25))/(LN(2)/25)*Calculateur!V62*Calculateur!X62*VLOOKUP('Données projet'!$B$9,Paramètres!$A$1:$I$89,3,0)*0.475*44/12</f>
        <v>3.6907699731117138</v>
      </c>
      <c r="AB62" s="23">
        <f>EXP(-LN(2)/2)*AB61+(1-EXP(-LN(2)/2))/(LN(2)/2)*V62*Y62*VLOOKUP('Données projet'!$B$9,Paramètres!$A$1:$I$89,3,0)*0.475*44/12</f>
        <v>2.6273985225000321E-4</v>
      </c>
      <c r="AC62" s="24">
        <f t="shared" si="3"/>
        <v>6.2037056195282867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221.79999999999995</v>
      </c>
      <c r="AJ62" s="14">
        <f>AI62*VLOOKUP('Données projet'!$B$10,Paramètres!$A$1:$I$89,3,0)*VLOOKUP('Données projet'!$B$10,Paramètres!$A$1:$I$89,5,0)</f>
        <v>193.76447999999999</v>
      </c>
      <c r="AK62" s="14">
        <f t="shared" si="35"/>
        <v>48.371273222646451</v>
      </c>
      <c r="AL62" s="22">
        <f t="shared" si="4"/>
        <v>421.71977019610921</v>
      </c>
      <c r="AM62" s="62">
        <f t="shared" si="5"/>
        <v>715.05310352944252</v>
      </c>
      <c r="AN62" s="62">
        <f ca="1">AVERAGE(OFFSET($AM$3,0,0,'Données projet'!$E$10+1,1))-AVERAGE(OFFSET($H$3,0,0,'Données projet'!$E$10+1,1))</f>
        <v>255.68195973350799</v>
      </c>
      <c r="AO62" s="62">
        <f t="shared" si="36"/>
        <v>269.20928353552461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239.99999999999989</v>
      </c>
      <c r="BE62" s="14">
        <f>BD62*VLOOKUP('Données projet'!$B$11,Paramètres!$A$1:$I$89,3,0)*VLOOKUP('Données projet'!$B$11,Paramètres!$A$1:$I$89,5,0)</f>
        <v>190.94399999999993</v>
      </c>
      <c r="BF62" s="14">
        <f t="shared" si="37"/>
        <v>47.748597609826554</v>
      </c>
      <c r="BG62" s="22">
        <f t="shared" si="7"/>
        <v>415.72294083711444</v>
      </c>
      <c r="BH62" s="62">
        <f t="shared" si="8"/>
        <v>709.05627417044775</v>
      </c>
      <c r="BI62" s="62">
        <f ca="1">AVERAGE(OFFSET($BH$3,0,0,'Données projet'!$E$11+1,1))-AVERAGE(OFFSET($H$3,0,0,'Données projet'!$E$11+1,1))</f>
        <v>243.51680047412441</v>
      </c>
      <c r="BJ62" s="62">
        <f t="shared" si="38"/>
        <v>224.00025638752402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239.99999999999989</v>
      </c>
      <c r="BZ62" s="14">
        <f>BY62*VLOOKUP('Données projet'!$B$12,Paramètres!$A$1:$I$89,3,0)*VLOOKUP('Données projet'!$B$12,Paramètres!$A$1:$I$89,5,0)</f>
        <v>175.9679999999999</v>
      </c>
      <c r="CA62" s="14">
        <f t="shared" si="39"/>
        <v>44.423961125650585</v>
      </c>
      <c r="CB62" s="22">
        <f t="shared" si="10"/>
        <v>383.8493322938412</v>
      </c>
      <c r="CC62" s="62">
        <f t="shared" si="11"/>
        <v>677.18266562717452</v>
      </c>
      <c r="CD62" s="62">
        <f ca="1">AVERAGE(OFFSET($CC$3,0,0,'Données projet'!$E$12+1,1))-AVERAGE(OFFSET($H$3,0,0,'Données projet'!$E$12+1,1))</f>
        <v>221.4629402571224</v>
      </c>
      <c r="CE62" s="62">
        <f t="shared" si="40"/>
        <v>204.26941562549416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6.4102564102564088</v>
      </c>
      <c r="CT62" s="13">
        <f>IF('Données projet'!$A$140&gt;35,CT61+CS62-DB61,IF(A62&lt;'Données projet'!$A$140,$CQ$205^A62,IF(A62='Données projet'!$A$140,'Données projet'!$B$140,CT61+CS62-DB61)))</f>
        <v>284.61538461538476</v>
      </c>
      <c r="CU62" s="18">
        <f>CT62*VLOOKUP('Données projet'!$B$13,Paramètres!$A$1:$I$89,3,0)*VLOOKUP('Données projet'!$B$13,Paramètres!$A$1:$I$89,5,0)</f>
        <v>297.48000000000019</v>
      </c>
      <c r="CV62" s="14">
        <f t="shared" si="41"/>
        <v>70.647915600656972</v>
      </c>
      <c r="CW62" s="22">
        <f t="shared" si="13"/>
        <v>641.15611967114455</v>
      </c>
      <c r="CX62" s="62">
        <f t="shared" si="14"/>
        <v>934.48945300447781</v>
      </c>
      <c r="CY62" s="62">
        <f ca="1">AVERAGE(OFFSET($CX$3,0,0,'Données projet'!$E$13+1,1))-AVERAGE(OFFSET($H$3,0,0,'Données projet'!$E$13+1,1))</f>
        <v>492.66134897013183</v>
      </c>
      <c r="CZ62" s="62">
        <f t="shared" si="42"/>
        <v>307.87428858945862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14.839560439560435</v>
      </c>
      <c r="N63" s="14">
        <f>IF('Données projet'!$A$36&gt;35,N62+M63-V62,IF(A63&lt;'Données projet'!$A$36,$K$205^A63,IF(A63='Données projet'!$A$36,'Données projet'!$B$36,N62+M63-V62)))</f>
        <v>411.19670329670333</v>
      </c>
      <c r="O63" s="14">
        <f>N63*VLOOKUP('Données projet'!$B$9,Paramètres!$A$1:$I$89,3,0)*VLOOKUP('Données projet'!$B$9,Paramètres!$A$1:$I$89,5,0)</f>
        <v>229.85895714285718</v>
      </c>
      <c r="P63" s="14">
        <f t="shared" si="33"/>
        <v>56.252183679167004</v>
      </c>
      <c r="Q63" s="22">
        <f t="shared" si="53"/>
        <v>498.31023693169209</v>
      </c>
      <c r="R63" s="62">
        <f t="shared" si="0"/>
        <v>791.64357026502535</v>
      </c>
      <c r="S63" s="62">
        <f ca="1">AVERAGE(OFFSET($R$3,0,0,'Données projet'!$E$9+1,1))-AVERAGE(OFFSET($H$3,0,0,'Données projet'!$E$9+1,1))</f>
        <v>256.47911362806866</v>
      </c>
      <c r="T63" s="62">
        <f t="shared" si="34"/>
        <v>230.93438491511529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2.4634009234457399</v>
      </c>
      <c r="AA63" s="23">
        <f>EXP(-LN(2)/25)*AA62+(1-EXP(-LN(2)/25))/(LN(2)/25)*Calculateur!V63*Calculateur!X63*VLOOKUP('Données projet'!$B$9,Paramètres!$A$1:$I$89,3,0)*0.475*44/12</f>
        <v>3.5898456741078166</v>
      </c>
      <c r="AB63" s="23">
        <f>EXP(-LN(2)/2)*AB62+(1-EXP(-LN(2)/2))/(LN(2)/2)*V63*Y63*VLOOKUP('Données projet'!$B$9,Paramètres!$A$1:$I$89,3,0)*0.475*44/12</f>
        <v>1.8578513121392885E-4</v>
      </c>
      <c r="AC63" s="24">
        <f t="shared" si="3"/>
        <v>6.0534323826847709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227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226.99999999999994</v>
      </c>
      <c r="AJ63" s="14">
        <f>AI63*VLOOKUP('Données projet'!$B$10,Paramètres!$A$1:$I$89,3,0)*VLOOKUP('Données projet'!$B$10,Paramètres!$A$1:$I$89,5,0)</f>
        <v>198.30719999999997</v>
      </c>
      <c r="AK63" s="14">
        <f t="shared" si="35"/>
        <v>49.371957679623371</v>
      </c>
      <c r="AL63" s="22">
        <f t="shared" si="4"/>
        <v>431.37453295867726</v>
      </c>
      <c r="AM63" s="62">
        <f t="shared" si="5"/>
        <v>724.70786629201052</v>
      </c>
      <c r="AN63" s="62">
        <f ca="1">AVERAGE(OFFSET($AM$3,0,0,'Données projet'!$E$10+1,1))-AVERAGE(OFFSET($H$3,0,0,'Données projet'!$E$10+1,1))</f>
        <v>255.68195973350799</v>
      </c>
      <c r="AO63" s="62">
        <f t="shared" si="36"/>
        <v>269.20928353552461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244.99999999999989</v>
      </c>
      <c r="BE63" s="14">
        <f>BD63*VLOOKUP('Données projet'!$B$11,Paramètres!$A$1:$I$89,3,0)*VLOOKUP('Données projet'!$B$11,Paramètres!$A$1:$I$89,5,0)</f>
        <v>194.92199999999991</v>
      </c>
      <c r="BF63" s="14">
        <f t="shared" si="37"/>
        <v>48.626512129794925</v>
      </c>
      <c r="BG63" s="22">
        <f t="shared" si="7"/>
        <v>424.18032529272597</v>
      </c>
      <c r="BH63" s="62">
        <f t="shared" si="8"/>
        <v>717.51365862605928</v>
      </c>
      <c r="BI63" s="62">
        <f ca="1">AVERAGE(OFFSET($BH$3,0,0,'Données projet'!$E$11+1,1))-AVERAGE(OFFSET($H$3,0,0,'Données projet'!$E$11+1,1))</f>
        <v>243.51680047412441</v>
      </c>
      <c r="BJ63" s="62">
        <f t="shared" si="38"/>
        <v>224.00025638752402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245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244.99999999999989</v>
      </c>
      <c r="BZ63" s="14">
        <f>BY63*VLOOKUP('Données projet'!$B$12,Paramètres!$A$1:$I$89,3,0)*VLOOKUP('Données projet'!$B$12,Paramètres!$A$1:$I$89,5,0)</f>
        <v>179.6339999999999</v>
      </c>
      <c r="CA63" s="14">
        <f t="shared" si="39"/>
        <v>45.240748266194686</v>
      </c>
      <c r="CB63" s="22">
        <f t="shared" si="10"/>
        <v>391.65685323028885</v>
      </c>
      <c r="CC63" s="62">
        <f t="shared" si="11"/>
        <v>684.99018656362216</v>
      </c>
      <c r="CD63" s="62">
        <f ca="1">AVERAGE(OFFSET($CC$3,0,0,'Données projet'!$E$12+1,1))-AVERAGE(OFFSET($H$3,0,0,'Données projet'!$E$12+1,1))</f>
        <v>221.4629402571224</v>
      </c>
      <c r="CE63" s="62">
        <f t="shared" si="40"/>
        <v>204.26941562549416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291.02564102564099</v>
      </c>
      <c r="CR63" s="13">
        <f>VLOOKUP(A63,'Données projet'!$A$139:$I$159,9,0)</f>
        <v>6.4102564102564088</v>
      </c>
      <c r="CS63" s="13">
        <f t="array" ref="CS63">INDEX(CR:CR,MIN(IF(ISNUMBER(CR63:CR259),ROW(CR63:CR259),"")))</f>
        <v>6.4102564102564088</v>
      </c>
      <c r="CT63" s="13">
        <f>IF('Données projet'!$A$140&gt;35,CT62+CS63-DB62,IF(A63&lt;'Données projet'!$A$140,$CQ$205^A63,IF(A63='Données projet'!$A$140,'Données projet'!$B$140,CT62+CS63-DB62)))</f>
        <v>291.02564102564116</v>
      </c>
      <c r="CU63" s="18">
        <f>CT63*VLOOKUP('Données projet'!$B$13,Paramètres!$A$1:$I$89,3,0)*VLOOKUP('Données projet'!$B$13,Paramètres!$A$1:$I$89,5,0)</f>
        <v>304.18000000000018</v>
      </c>
      <c r="CV63" s="14">
        <f t="shared" si="41"/>
        <v>72.052045088916685</v>
      </c>
      <c r="CW63" s="22">
        <f t="shared" si="13"/>
        <v>655.27081186319685</v>
      </c>
      <c r="CX63" s="62">
        <f t="shared" si="14"/>
        <v>948.60414519653023</v>
      </c>
      <c r="CY63" s="62">
        <f ca="1">AVERAGE(OFFSET($CX$3,0,0,'Données projet'!$E$13+1,1))-AVERAGE(OFFSET($H$3,0,0,'Données projet'!$E$13+1,1))</f>
        <v>492.66134897013183</v>
      </c>
      <c r="CZ63" s="62">
        <f t="shared" si="42"/>
        <v>307.87428858945862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29.487179487179485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14.839560439560435</v>
      </c>
      <c r="N64" s="14">
        <f>IF('Données projet'!$A$36&gt;35,N63+M64-V63,IF(A64&lt;'Données projet'!$A$36,$K$205^A64,IF(A64='Données projet'!$A$36,'Données projet'!$B$36,N63+M64-V63)))</f>
        <v>426.03626373626378</v>
      </c>
      <c r="O64" s="14">
        <f>N64*VLOOKUP('Données projet'!$B$9,Paramètres!$A$1:$I$89,3,0)*VLOOKUP('Données projet'!$B$9,Paramètres!$A$1:$I$89,5,0)</f>
        <v>238.15427142857146</v>
      </c>
      <c r="P64" s="14">
        <f t="shared" si="33"/>
        <v>58.042234732541061</v>
      </c>
      <c r="Q64" s="22">
        <f t="shared" si="53"/>
        <v>515.87558156393777</v>
      </c>
      <c r="R64" s="62">
        <f t="shared" si="0"/>
        <v>809.20891489727114</v>
      </c>
      <c r="S64" s="62">
        <f ca="1">AVERAGE(OFFSET($R$3,0,0,'Données projet'!$E$9+1,1))-AVERAGE(OFFSET($H$3,0,0,'Données projet'!$E$9+1,1))</f>
        <v>256.47911362806866</v>
      </c>
      <c r="T64" s="62">
        <f t="shared" si="34"/>
        <v>230.93438491511529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2.4150951338631703</v>
      </c>
      <c r="AA64" s="23">
        <f>EXP(-LN(2)/25)*AA63+(1-EXP(-LN(2)/25))/(LN(2)/25)*Calculateur!V64*Calculateur!X64*VLOOKUP('Données projet'!$B$9,Paramètres!$A$1:$I$89,3,0)*0.475*44/12</f>
        <v>3.4916811553675591</v>
      </c>
      <c r="AB64" s="23">
        <f>EXP(-LN(2)/2)*AB63+(1-EXP(-LN(2)/2))/(LN(2)/2)*V64*Y64*VLOOKUP('Données projet'!$B$9,Paramètres!$A$1:$I$89,3,0)*0.475*44/12</f>
        <v>1.3136992612500161E-4</v>
      </c>
      <c r="AC64" s="24">
        <f t="shared" si="3"/>
        <v>5.9069076591568539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</v>
      </c>
      <c r="AI64" s="14">
        <f>IF('Données projet'!$A$62&gt;35,AI63+AH64-AQ63,IF(A64&lt;'Données projet'!$A$62,$AF$205^A64,IF(A64='Données projet'!$A$62,'Données projet'!$B$62,AI63+AH64-AQ63)))</f>
        <v>193.99999999999994</v>
      </c>
      <c r="AJ64" s="14">
        <f>AI64*VLOOKUP('Données projet'!$B$10,Paramètres!$A$1:$I$89,3,0)*VLOOKUP('Données projet'!$B$10,Paramètres!$A$1:$I$89,5,0)</f>
        <v>169.47839999999997</v>
      </c>
      <c r="AK64" s="14">
        <f t="shared" si="35"/>
        <v>42.973181651930297</v>
      </c>
      <c r="AL64" s="22">
        <f t="shared" si="4"/>
        <v>370.01983804377852</v>
      </c>
      <c r="AM64" s="62">
        <f t="shared" si="5"/>
        <v>663.35317137711183</v>
      </c>
      <c r="AN64" s="62">
        <f ca="1">AVERAGE(OFFSET($AM$3,0,0,'Données projet'!$E$10+1,1))-AVERAGE(OFFSET($H$3,0,0,'Données projet'!$E$10+1,1))</f>
        <v>255.68195973350799</v>
      </c>
      <c r="AO64" s="62">
        <f t="shared" si="36"/>
        <v>269.20928353552461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249.39999999999989</v>
      </c>
      <c r="BE64" s="14">
        <f>BD64*VLOOKUP('Données projet'!$B$11,Paramètres!$A$1:$I$89,3,0)*VLOOKUP('Données projet'!$B$11,Paramètres!$A$1:$I$89,5,0)</f>
        <v>198.42263999999992</v>
      </c>
      <c r="BF64" s="14">
        <f t="shared" si="37"/>
        <v>49.397352151183256</v>
      </c>
      <c r="BG64" s="22">
        <f t="shared" si="7"/>
        <v>431.61981966331064</v>
      </c>
      <c r="BH64" s="62">
        <f t="shared" si="8"/>
        <v>724.95315299664389</v>
      </c>
      <c r="BI64" s="62">
        <f ca="1">AVERAGE(OFFSET($BH$3,0,0,'Données projet'!$E$11+1,1))-AVERAGE(OFFSET($H$3,0,0,'Données projet'!$E$11+1,1))</f>
        <v>243.51680047412441</v>
      </c>
      <c r="BJ64" s="62">
        <f t="shared" si="38"/>
        <v>224.00025638752402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249.39999999999989</v>
      </c>
      <c r="BZ64" s="14">
        <f>BY64*VLOOKUP('Données projet'!$B$12,Paramètres!$A$1:$I$89,3,0)*VLOOKUP('Données projet'!$B$12,Paramètres!$A$1:$I$89,5,0)</f>
        <v>182.86007999999993</v>
      </c>
      <c r="CA64" s="14">
        <f t="shared" si="39"/>
        <v>45.957916284909473</v>
      </c>
      <c r="CB64" s="22">
        <f t="shared" si="10"/>
        <v>398.52467686288384</v>
      </c>
      <c r="CC64" s="62">
        <f t="shared" si="11"/>
        <v>691.85801019621715</v>
      </c>
      <c r="CD64" s="62">
        <f ca="1">AVERAGE(OFFSET($CC$3,0,0,'Données projet'!$E$12+1,1))-AVERAGE(OFFSET($H$3,0,0,'Données projet'!$E$12+1,1))</f>
        <v>221.4629402571224</v>
      </c>
      <c r="CE64" s="62">
        <f t="shared" si="40"/>
        <v>204.26941562549416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6.0256410256410273</v>
      </c>
      <c r="CT64" s="13">
        <f>IF('Données projet'!$A$140&gt;35,CT63+CS64-DB63,IF(A64&lt;'Données projet'!$A$140,$CQ$205^A64,IF(A64='Données projet'!$A$140,'Données projet'!$B$140,CT63+CS64-DB63)))</f>
        <v>267.56410256410271</v>
      </c>
      <c r="CU64" s="18">
        <f>CT64*VLOOKUP('Données projet'!$B$13,Paramètres!$A$1:$I$89,3,0)*VLOOKUP('Données projet'!$B$13,Paramètres!$A$1:$I$89,5,0)</f>
        <v>279.65800000000019</v>
      </c>
      <c r="CV64" s="14">
        <f t="shared" si="41"/>
        <v>66.894729309652021</v>
      </c>
      <c r="CW64" s="22">
        <f t="shared" si="13"/>
        <v>603.57933688097762</v>
      </c>
      <c r="CX64" s="62">
        <f t="shared" si="14"/>
        <v>896.91267021431099</v>
      </c>
      <c r="CY64" s="62">
        <f ca="1">AVERAGE(OFFSET($CX$3,0,0,'Données projet'!$E$13+1,1))-AVERAGE(OFFSET($H$3,0,0,'Données projet'!$E$13+1,1))</f>
        <v>492.66134897013183</v>
      </c>
      <c r="CZ64" s="62">
        <f t="shared" si="42"/>
        <v>307.87428858945862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14.839560439560435</v>
      </c>
      <c r="N65" s="14">
        <f>IF('Données projet'!$A$36&gt;35,N64+M65-V64,IF(A65&lt;'Données projet'!$A$36,$K$205^A65,IF(A65='Données projet'!$A$36,'Données projet'!$B$36,N64+M65-V64)))</f>
        <v>440.87582417582422</v>
      </c>
      <c r="O65" s="14">
        <f>N65*VLOOKUP('Données projet'!$B$9,Paramètres!$A$1:$I$89,3,0)*VLOOKUP('Données projet'!$B$9,Paramètres!$A$1:$I$89,5,0)</f>
        <v>246.44958571428575</v>
      </c>
      <c r="P65" s="14">
        <f t="shared" si="33"/>
        <v>59.825041333918982</v>
      </c>
      <c r="Q65" s="22">
        <f t="shared" si="53"/>
        <v>533.42830877562324</v>
      </c>
      <c r="R65" s="62">
        <f t="shared" si="0"/>
        <v>826.76164210895649</v>
      </c>
      <c r="S65" s="62">
        <f ca="1">AVERAGE(OFFSET($R$3,0,0,'Données projet'!$E$9+1,1))-AVERAGE(OFFSET($H$3,0,0,'Données projet'!$E$9+1,1))</f>
        <v>256.47911362806866</v>
      </c>
      <c r="T65" s="62">
        <f t="shared" si="34"/>
        <v>230.93438491511529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2.3677365913506923</v>
      </c>
      <c r="AA65" s="23">
        <f>EXP(-LN(2)/25)*AA64+(1-EXP(-LN(2)/25))/(LN(2)/25)*Calculateur!V65*Calculateur!X65*VLOOKUP('Données projet'!$B$9,Paramètres!$A$1:$I$89,3,0)*0.475*44/12</f>
        <v>3.3962009505545017</v>
      </c>
      <c r="AB65" s="23">
        <f>EXP(-LN(2)/2)*AB64+(1-EXP(-LN(2)/2))/(LN(2)/2)*V65*Y65*VLOOKUP('Données projet'!$B$9,Paramètres!$A$1:$I$89,3,0)*0.475*44/12</f>
        <v>9.2892565606964426E-5</v>
      </c>
      <c r="AC65" s="24">
        <f t="shared" si="3"/>
        <v>5.7640304344708007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</v>
      </c>
      <c r="AI65" s="14">
        <f>IF('Données projet'!$A$62&gt;35,AI64+AH65-AQ64,IF(A65&lt;'Données projet'!$A$62,$AF$205^A65,IF(A65='Données projet'!$A$62,'Données projet'!$B$62,AI64+AH65-AQ64)))</f>
        <v>198.99999999999994</v>
      </c>
      <c r="AJ65" s="14">
        <f>AI65*VLOOKUP('Données projet'!$B$10,Paramètres!$A$1:$I$89,3,0)*VLOOKUP('Données projet'!$B$10,Paramètres!$A$1:$I$89,5,0)</f>
        <v>173.84639999999999</v>
      </c>
      <c r="AK65" s="14">
        <f t="shared" si="35"/>
        <v>43.950364270382295</v>
      </c>
      <c r="AL65" s="22">
        <f t="shared" si="4"/>
        <v>379.32936443758246</v>
      </c>
      <c r="AM65" s="62">
        <f t="shared" si="5"/>
        <v>672.66269777091577</v>
      </c>
      <c r="AN65" s="62">
        <f ca="1">AVERAGE(OFFSET($AM$3,0,0,'Données projet'!$E$10+1,1))-AVERAGE(OFFSET($H$3,0,0,'Données projet'!$E$10+1,1))</f>
        <v>255.68195973350799</v>
      </c>
      <c r="AO65" s="62">
        <f t="shared" si="36"/>
        <v>269.20928353552461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253.7999999999999</v>
      </c>
      <c r="BE65" s="14">
        <f>BD65*VLOOKUP('Données projet'!$B$11,Paramètres!$A$1:$I$89,3,0)*VLOOKUP('Données projet'!$B$11,Paramètres!$A$1:$I$89,5,0)</f>
        <v>201.92327999999995</v>
      </c>
      <c r="BF65" s="14">
        <f t="shared" si="37"/>
        <v>50.166610737265309</v>
      </c>
      <c r="BG65" s="22">
        <f t="shared" si="7"/>
        <v>439.05655970073695</v>
      </c>
      <c r="BH65" s="62">
        <f t="shared" si="8"/>
        <v>732.38989303407027</v>
      </c>
      <c r="BI65" s="62">
        <f ca="1">AVERAGE(OFFSET($BH$3,0,0,'Données projet'!$E$11+1,1))-AVERAGE(OFFSET($H$3,0,0,'Données projet'!$E$11+1,1))</f>
        <v>243.51680047412441</v>
      </c>
      <c r="BJ65" s="62">
        <f t="shared" si="38"/>
        <v>224.00025638752402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253.7999999999999</v>
      </c>
      <c r="BZ65" s="14">
        <f>BY65*VLOOKUP('Données projet'!$B$12,Paramètres!$A$1:$I$89,3,0)*VLOOKUP('Données projet'!$B$12,Paramètres!$A$1:$I$89,5,0)</f>
        <v>186.08615999999992</v>
      </c>
      <c r="CA65" s="14">
        <f t="shared" si="39"/>
        <v>46.67361298040047</v>
      </c>
      <c r="CB65" s="22">
        <f t="shared" si="10"/>
        <v>405.389937940864</v>
      </c>
      <c r="CC65" s="62">
        <f t="shared" si="11"/>
        <v>698.72327127419726</v>
      </c>
      <c r="CD65" s="62">
        <f ca="1">AVERAGE(OFFSET($CC$3,0,0,'Données projet'!$E$12+1,1))-AVERAGE(OFFSET($H$3,0,0,'Données projet'!$E$12+1,1))</f>
        <v>221.4629402571224</v>
      </c>
      <c r="CE65" s="62">
        <f t="shared" si="40"/>
        <v>204.26941562549416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6.0256410256410273</v>
      </c>
      <c r="CT65" s="13">
        <f>IF('Données projet'!$A$140&gt;35,CT64+CS65-DB64,IF(A65&lt;'Données projet'!$A$140,$CQ$205^A65,IF(A65='Données projet'!$A$140,'Données projet'!$B$140,CT64+CS65-DB64)))</f>
        <v>273.58974358974376</v>
      </c>
      <c r="CU65" s="18">
        <f>CT65*VLOOKUP('Données projet'!$B$13,Paramètres!$A$1:$I$89,3,0)*VLOOKUP('Données projet'!$B$13,Paramètres!$A$1:$I$89,5,0)</f>
        <v>285.95600000000024</v>
      </c>
      <c r="CV65" s="14">
        <f t="shared" si="41"/>
        <v>68.224136858687629</v>
      </c>
      <c r="CW65" s="22">
        <f t="shared" si="13"/>
        <v>616.8637383622148</v>
      </c>
      <c r="CX65" s="62">
        <f t="shared" si="14"/>
        <v>910.19707169554817</v>
      </c>
      <c r="CY65" s="62">
        <f ca="1">AVERAGE(OFFSET($CX$3,0,0,'Données projet'!$E$13+1,1))-AVERAGE(OFFSET($H$3,0,0,'Données projet'!$E$13+1,1))</f>
        <v>492.66134897013183</v>
      </c>
      <c r="CZ65" s="62">
        <f t="shared" si="42"/>
        <v>307.87428858945862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455.71538461538455</v>
      </c>
      <c r="L66" s="13">
        <f>VLOOKUP(A66,'Données projet'!$A$35:$I$55,9,0)</f>
        <v>14.839560439560435</v>
      </c>
      <c r="M66" s="13">
        <f t="array" ref="M66">INDEX(L:L,MIN(IF(ISNUMBER(L66:L262),ROW(L66:L262),"")))</f>
        <v>14.839560439560435</v>
      </c>
      <c r="N66" s="14">
        <f>IF('Données projet'!$A$36&gt;35,N65+M66-V65,IF(A66&lt;'Données projet'!$A$36,$K$205^A66,IF(A66='Données projet'!$A$36,'Données projet'!$B$36,N65+M66-V65)))</f>
        <v>455.71538461538466</v>
      </c>
      <c r="O66" s="14">
        <f>N66*VLOOKUP('Données projet'!$B$9,Paramètres!$A$1:$I$89,3,0)*VLOOKUP('Données projet'!$B$9,Paramètres!$A$1:$I$89,5,0)</f>
        <v>254.74490000000003</v>
      </c>
      <c r="P66" s="14">
        <f t="shared" si="33"/>
        <v>61.600875281297732</v>
      </c>
      <c r="Q66" s="22">
        <f t="shared" si="53"/>
        <v>550.96889194826019</v>
      </c>
      <c r="R66" s="62">
        <f t="shared" si="0"/>
        <v>844.30222528159356</v>
      </c>
      <c r="S66" s="62">
        <f ca="1">AVERAGE(OFFSET($R$3,0,0,'Données projet'!$E$9+1,1))-AVERAGE(OFFSET($H$3,0,0,'Données projet'!$E$9+1,1))</f>
        <v>256.47911362806866</v>
      </c>
      <c r="T66" s="62">
        <f t="shared" si="34"/>
        <v>230.93438491511529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79.723076923076917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2.3213067209710254</v>
      </c>
      <c r="AA66" s="23">
        <f>EXP(-LN(2)/25)*AA65+(1-EXP(-LN(2)/25))/(LN(2)/25)*Calculateur!V66*Calculateur!X66*VLOOKUP('Données projet'!$B$9,Paramètres!$A$1:$I$89,3,0)*0.475*44/12</f>
        <v>3.303331656963143</v>
      </c>
      <c r="AB66" s="23">
        <f>EXP(-LN(2)/2)*AB65+(1-EXP(-LN(2)/2))/(LN(2)/2)*V66*Y66*VLOOKUP('Données projet'!$B$9,Paramètres!$A$1:$I$89,3,0)*0.475*44/12</f>
        <v>6.5684963062500804E-5</v>
      </c>
      <c r="AC66" s="24">
        <f t="shared" si="3"/>
        <v>5.6247040628972309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</v>
      </c>
      <c r="AI66" s="14">
        <f>IF('Données projet'!$A$62&gt;35,AI65+AH66-AQ65,IF(A66&lt;'Données projet'!$A$62,$AF$205^A66,IF(A66='Données projet'!$A$62,'Données projet'!$B$62,AI65+AH66-AQ65)))</f>
        <v>203.99999999999994</v>
      </c>
      <c r="AJ66" s="14">
        <f>AI66*VLOOKUP('Données projet'!$B$10,Paramètres!$A$1:$I$89,3,0)*VLOOKUP('Données projet'!$B$10,Paramètres!$A$1:$I$89,5,0)</f>
        <v>178.21439999999998</v>
      </c>
      <c r="AK66" s="14">
        <f t="shared" si="35"/>
        <v>44.924692855664368</v>
      </c>
      <c r="AL66" s="22">
        <f t="shared" si="4"/>
        <v>388.63392005694874</v>
      </c>
      <c r="AM66" s="62">
        <f t="shared" si="5"/>
        <v>681.96725339028205</v>
      </c>
      <c r="AN66" s="62">
        <f ca="1">AVERAGE(OFFSET($AM$3,0,0,'Données projet'!$E$10+1,1))-AVERAGE(OFFSET($H$3,0,0,'Données projet'!$E$10+1,1))</f>
        <v>255.68195973350799</v>
      </c>
      <c r="AO66" s="62">
        <f t="shared" si="36"/>
        <v>269.20928353552461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258.19999999999987</v>
      </c>
      <c r="BE66" s="14">
        <f>BD66*VLOOKUP('Données projet'!$B$11,Paramètres!$A$1:$I$89,3,0)*VLOOKUP('Données projet'!$B$11,Paramètres!$A$1:$I$89,5,0)</f>
        <v>205.4239199999999</v>
      </c>
      <c r="BF66" s="14">
        <f t="shared" si="37"/>
        <v>50.934318468081216</v>
      </c>
      <c r="BG66" s="22">
        <f t="shared" si="7"/>
        <v>446.49059866524129</v>
      </c>
      <c r="BH66" s="62">
        <f t="shared" si="8"/>
        <v>739.82393199857461</v>
      </c>
      <c r="BI66" s="62">
        <f ca="1">AVERAGE(OFFSET($BH$3,0,0,'Données projet'!$E$11+1,1))-AVERAGE(OFFSET($H$3,0,0,'Données projet'!$E$11+1,1))</f>
        <v>243.51680047412441</v>
      </c>
      <c r="BJ66" s="62">
        <f t="shared" si="38"/>
        <v>224.00025638752402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258.19999999999987</v>
      </c>
      <c r="BZ66" s="14">
        <f>BY66*VLOOKUP('Données projet'!$B$12,Paramètres!$A$1:$I$89,3,0)*VLOOKUP('Données projet'!$B$12,Paramètres!$A$1:$I$89,5,0)</f>
        <v>189.31223999999989</v>
      </c>
      <c r="CA66" s="14">
        <f t="shared" si="39"/>
        <v>47.387866803482567</v>
      </c>
      <c r="CB66" s="22">
        <f t="shared" si="10"/>
        <v>412.2526860160653</v>
      </c>
      <c r="CC66" s="62">
        <f t="shared" si="11"/>
        <v>705.58601934939861</v>
      </c>
      <c r="CD66" s="62">
        <f ca="1">AVERAGE(OFFSET($CC$3,0,0,'Données projet'!$E$12+1,1))-AVERAGE(OFFSET($H$3,0,0,'Données projet'!$E$12+1,1))</f>
        <v>221.4629402571224</v>
      </c>
      <c r="CE66" s="62">
        <f t="shared" si="40"/>
        <v>204.26941562549416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6.0256410256410273</v>
      </c>
      <c r="CT66" s="13">
        <f>IF('Données projet'!$A$140&gt;35,CT65+CS66-DB65,IF(A66&lt;'Données projet'!$A$140,$CQ$205^A66,IF(A66='Données projet'!$A$140,'Données projet'!$B$140,CT65+CS66-DB65)))</f>
        <v>279.61538461538481</v>
      </c>
      <c r="CU66" s="18">
        <f>CT66*VLOOKUP('Données projet'!$B$13,Paramètres!$A$1:$I$89,3,0)*VLOOKUP('Données projet'!$B$13,Paramètres!$A$1:$I$89,5,0)</f>
        <v>292.25400000000025</v>
      </c>
      <c r="CV66" s="14">
        <f t="shared" si="41"/>
        <v>69.550140364165401</v>
      </c>
      <c r="CW66" s="22">
        <f t="shared" si="13"/>
        <v>630.14221113425515</v>
      </c>
      <c r="CX66" s="62">
        <f t="shared" si="14"/>
        <v>923.47554446758841</v>
      </c>
      <c r="CY66" s="62">
        <f ca="1">AVERAGE(OFFSET($CX$3,0,0,'Données projet'!$E$13+1,1))-AVERAGE(OFFSET($H$3,0,0,'Données projet'!$E$13+1,1))</f>
        <v>492.66134897013183</v>
      </c>
      <c r="CZ66" s="62">
        <f t="shared" si="42"/>
        <v>307.87428858945862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13.373076923076932</v>
      </c>
      <c r="N67" s="14">
        <f>IF('Données projet'!$A$36&gt;35,N66+M67-V66,IF(A67&lt;'Données projet'!$A$36,$K$205^A67,IF(A67='Données projet'!$A$36,'Données projet'!$B$36,N66+M67-V66)))</f>
        <v>389.3653846153847</v>
      </c>
      <c r="O67" s="14">
        <f>N67*VLOOKUP('Données projet'!$B$9,Paramètres!$A$1:$I$89,3,0)*VLOOKUP('Données projet'!$B$9,Paramètres!$A$1:$I$89,5,0)</f>
        <v>217.65525000000002</v>
      </c>
      <c r="P67" s="14">
        <f t="shared" si="33"/>
        <v>53.604948518581054</v>
      </c>
      <c r="Q67" s="22">
        <f t="shared" ref="Q67:Q98" si="54">(O67+P67)*0.475*44/12</f>
        <v>472.44484575319535</v>
      </c>
      <c r="R67" s="62">
        <f t="shared" ref="R67:R130" si="55">Q67+(I67+J67)*44/12</f>
        <v>765.77817908652867</v>
      </c>
      <c r="S67" s="62">
        <f ca="1">AVERAGE(OFFSET($R$3,0,0,'Données projet'!$E$9+1,1))-AVERAGE(OFFSET($H$3,0,0,'Données projet'!$E$9+1,1))</f>
        <v>256.47911362806866</v>
      </c>
      <c r="T67" s="62">
        <f t="shared" si="34"/>
        <v>230.93438491511529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2.2757873120300789</v>
      </c>
      <c r="AA67" s="23">
        <f>EXP(-LN(2)/25)*AA66+(1-EXP(-LN(2)/25))/(LN(2)/25)*Calculateur!V67*Calculateur!X67*VLOOKUP('Données projet'!$B$9,Paramètres!$A$1:$I$89,3,0)*0.475*44/12</f>
        <v>3.2130018790888237</v>
      </c>
      <c r="AB67" s="23">
        <f>EXP(-LN(2)/2)*AB66+(1-EXP(-LN(2)/2))/(LN(2)/2)*V67*Y67*VLOOKUP('Données projet'!$B$9,Paramètres!$A$1:$I$89,3,0)*0.475*44/12</f>
        <v>4.6446282803482213E-5</v>
      </c>
      <c r="AC67" s="24">
        <f t="shared" si="3"/>
        <v>5.4888356374017064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</v>
      </c>
      <c r="AI67" s="14">
        <f>IF('Données projet'!$A$62&gt;35,AI66+AH67-AQ66,IF(A67&lt;'Données projet'!$A$62,$AF$205^A67,IF(A67='Données projet'!$A$62,'Données projet'!$B$62,AI66+AH67-AQ66)))</f>
        <v>208.99999999999994</v>
      </c>
      <c r="AJ67" s="14">
        <f>AI67*VLOOKUP('Données projet'!$B$10,Paramètres!$A$1:$I$89,3,0)*VLOOKUP('Données projet'!$B$10,Paramètres!$A$1:$I$89,5,0)</f>
        <v>182.58239999999998</v>
      </c>
      <c r="AK67" s="14">
        <f t="shared" si="35"/>
        <v>45.896245406460245</v>
      </c>
      <c r="AL67" s="22">
        <f t="shared" si="4"/>
        <v>397.93364074958487</v>
      </c>
      <c r="AM67" s="62">
        <f t="shared" si="5"/>
        <v>691.26697408291818</v>
      </c>
      <c r="AN67" s="62">
        <f ca="1">AVERAGE(OFFSET($AM$3,0,0,'Données projet'!$E$10+1,1))-AVERAGE(OFFSET($H$3,0,0,'Données projet'!$E$10+1,1))</f>
        <v>255.68195973350799</v>
      </c>
      <c r="AO67" s="62">
        <f t="shared" si="36"/>
        <v>269.20928353552461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262.59999999999985</v>
      </c>
      <c r="BE67" s="14">
        <f>BD67*VLOOKUP('Données projet'!$B$11,Paramètres!$A$1:$I$89,3,0)*VLOOKUP('Données projet'!$B$11,Paramètres!$A$1:$I$89,5,0)</f>
        <v>208.9245599999999</v>
      </c>
      <c r="BF67" s="14">
        <f t="shared" si="37"/>
        <v>51.700504821714368</v>
      </c>
      <c r="BG67" s="22">
        <f t="shared" si="7"/>
        <v>453.92198789781901</v>
      </c>
      <c r="BH67" s="62">
        <f t="shared" si="8"/>
        <v>747.25532123115227</v>
      </c>
      <c r="BI67" s="62">
        <f ca="1">AVERAGE(OFFSET($BH$3,0,0,'Données projet'!$E$11+1,1))-AVERAGE(OFFSET($H$3,0,0,'Données projet'!$E$11+1,1))</f>
        <v>243.51680047412441</v>
      </c>
      <c r="BJ67" s="62">
        <f t="shared" si="38"/>
        <v>224.00025638752402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262.59999999999985</v>
      </c>
      <c r="BZ67" s="14">
        <f>BY67*VLOOKUP('Données projet'!$B$12,Paramètres!$A$1:$I$89,3,0)*VLOOKUP('Données projet'!$B$12,Paramètres!$A$1:$I$89,5,0)</f>
        <v>192.53831999999989</v>
      </c>
      <c r="CA67" s="14">
        <f t="shared" si="39"/>
        <v>48.100705179740942</v>
      </c>
      <c r="CB67" s="22">
        <f t="shared" si="10"/>
        <v>419.11296885471529</v>
      </c>
      <c r="CC67" s="62">
        <f t="shared" si="11"/>
        <v>712.44630218804855</v>
      </c>
      <c r="CD67" s="62">
        <f ca="1">AVERAGE(OFFSET($CC$3,0,0,'Données projet'!$E$12+1,1))-AVERAGE(OFFSET($H$3,0,0,'Données projet'!$E$12+1,1))</f>
        <v>221.4629402571224</v>
      </c>
      <c r="CE67" s="62">
        <f t="shared" si="40"/>
        <v>204.26941562549416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6.0256410256410273</v>
      </c>
      <c r="CT67" s="13">
        <f>IF('Données projet'!$A$140&gt;35,CT66+CS67-DB66,IF(A67&lt;'Données projet'!$A$140,$CQ$205^A67,IF(A67='Données projet'!$A$140,'Données projet'!$B$140,CT66+CS67-DB66)))</f>
        <v>285.64102564102586</v>
      </c>
      <c r="CU67" s="18">
        <f>CT67*VLOOKUP('Données projet'!$B$13,Paramètres!$A$1:$I$89,3,0)*VLOOKUP('Données projet'!$B$13,Paramètres!$A$1:$I$89,5,0)</f>
        <v>298.55200000000025</v>
      </c>
      <c r="CV67" s="14">
        <f t="shared" si="41"/>
        <v>70.872821631198264</v>
      </c>
      <c r="CW67" s="22">
        <f t="shared" si="13"/>
        <v>643.41489767433734</v>
      </c>
      <c r="CX67" s="62">
        <f t="shared" si="14"/>
        <v>936.74823100767071</v>
      </c>
      <c r="CY67" s="62">
        <f ca="1">AVERAGE(OFFSET($CX$3,0,0,'Données projet'!$E$13+1,1))-AVERAGE(OFFSET($H$3,0,0,'Données projet'!$E$13+1,1))</f>
        <v>492.66134897013183</v>
      </c>
      <c r="CZ67" s="62">
        <f t="shared" si="42"/>
        <v>307.87428858945862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13.373076923076932</v>
      </c>
      <c r="N68" s="14">
        <f>IF('Données projet'!$A$36&gt;35,N67+M68-V67,IF(A68&lt;'Données projet'!$A$36,$K$205^A68,IF(A68='Données projet'!$A$36,'Données projet'!$B$36,N67+M68-V67)))</f>
        <v>402.73846153846165</v>
      </c>
      <c r="O68" s="14">
        <f>N68*VLOOKUP('Données projet'!$B$9,Paramètres!$A$1:$I$89,3,0)*VLOOKUP('Données projet'!$B$9,Paramètres!$A$1:$I$89,5,0)</f>
        <v>225.13080000000008</v>
      </c>
      <c r="P68" s="14">
        <f t="shared" si="33"/>
        <v>55.228539095259954</v>
      </c>
      <c r="Q68" s="22">
        <f t="shared" si="54"/>
        <v>488.29251559091125</v>
      </c>
      <c r="R68" s="62">
        <f t="shared" si="55"/>
        <v>781.62584892424456</v>
      </c>
      <c r="S68" s="62">
        <f ca="1">AVERAGE(OFFSET($R$3,0,0,'Données projet'!$E$9+1,1))-AVERAGE(OFFSET($H$3,0,0,'Données projet'!$E$9+1,1))</f>
        <v>256.47911362806866</v>
      </c>
      <c r="T68" s="62">
        <f t="shared" si="34"/>
        <v>230.93438491511529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2.2311605109343664</v>
      </c>
      <c r="AA68" s="23">
        <f>EXP(-LN(2)/25)*AA67+(1-EXP(-LN(2)/25))/(LN(2)/25)*Calculateur!V68*Calculateur!X68*VLOOKUP('Données projet'!$B$9,Paramètres!$A$1:$I$89,3,0)*0.475*44/12</f>
        <v>3.1251421737407146</v>
      </c>
      <c r="AB68" s="23">
        <f>EXP(-LN(2)/2)*AB67+(1-EXP(-LN(2)/2))/(LN(2)/2)*V68*Y68*VLOOKUP('Données projet'!$B$9,Paramètres!$A$1:$I$89,3,0)*0.475*44/12</f>
        <v>3.2842481531250402E-5</v>
      </c>
      <c r="AC68" s="24">
        <f t="shared" ref="AC68:AC131" si="57">SUM(Z68:AB68)</f>
        <v>5.3563355271566122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214</v>
      </c>
      <c r="AG68" s="13">
        <f>VLOOKUP(A68,'Données projet'!$A$61:$I$81,9,0)</f>
        <v>5</v>
      </c>
      <c r="AH68" s="13">
        <f t="array" ref="AH68">INDEX(AG:AG,MIN(IF(ISNUMBER(AG68:AG264),ROW(AG68:AG264),"")))</f>
        <v>5</v>
      </c>
      <c r="AI68" s="14">
        <f>IF('Données projet'!$A$62&gt;35,AI67+AH68-AQ67,IF(A68&lt;'Données projet'!$A$62,$AF$205^A68,IF(A68='Données projet'!$A$62,'Données projet'!$B$62,AI67+AH68-AQ67)))</f>
        <v>213.99999999999994</v>
      </c>
      <c r="AJ68" s="14">
        <f>AI68*VLOOKUP('Données projet'!$B$10,Paramètres!$A$1:$I$89,3,0)*VLOOKUP('Données projet'!$B$10,Paramètres!$A$1:$I$89,5,0)</f>
        <v>186.95039999999997</v>
      </c>
      <c r="AK68" s="14">
        <f t="shared" si="35"/>
        <v>46.865095976617653</v>
      </c>
      <c r="AL68" s="22">
        <f t="shared" ref="AL68:AL131" si="58">(AJ68+AK68)*0.475*44/12</f>
        <v>407.22865549260905</v>
      </c>
      <c r="AM68" s="62">
        <f t="shared" ref="AM68:AM131" si="59">AL68+(AD68+AE68)*44/12</f>
        <v>700.56198882594231</v>
      </c>
      <c r="AN68" s="62">
        <f ca="1">AVERAGE(OFFSET($AM$3,0,0,'Données projet'!$E$10+1,1))-AVERAGE(OFFSET($H$3,0,0,'Données projet'!$E$10+1,1))</f>
        <v>255.68195973350799</v>
      </c>
      <c r="AO68" s="62">
        <f t="shared" si="36"/>
        <v>269.20928353552461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267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266.99999999999983</v>
      </c>
      <c r="BE68" s="14">
        <f>BD68*VLOOKUP('Données projet'!$B$11,Paramètres!$A$1:$I$89,3,0)*VLOOKUP('Données projet'!$B$11,Paramètres!$A$1:$I$89,5,0)</f>
        <v>212.42519999999985</v>
      </c>
      <c r="BF68" s="14">
        <f t="shared" si="37"/>
        <v>52.465198231787184</v>
      </c>
      <c r="BG68" s="22">
        <f t="shared" ref="BG68:BG131" si="61">(BE68+BF68)*0.475*44/12</f>
        <v>461.35077692036231</v>
      </c>
      <c r="BH68" s="62">
        <f t="shared" ref="BH68:BH131" si="62">BG68+(AY68+AZ68)*44/12</f>
        <v>754.68411025369562</v>
      </c>
      <c r="BI68" s="62">
        <f ca="1">AVERAGE(OFFSET($BH$3,0,0,'Données projet'!$E$11+1,1))-AVERAGE(OFFSET($H$3,0,0,'Données projet'!$E$11+1,1))</f>
        <v>243.51680047412441</v>
      </c>
      <c r="BJ68" s="62">
        <f t="shared" si="38"/>
        <v>224.00025638752402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267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266.99999999999983</v>
      </c>
      <c r="BZ68" s="14">
        <f>BY68*VLOOKUP('Données projet'!$B$12,Paramètres!$A$1:$I$89,3,0)*VLOOKUP('Données projet'!$B$12,Paramètres!$A$1:$I$89,5,0)</f>
        <v>195.76439999999985</v>
      </c>
      <c r="CA68" s="14">
        <f t="shared" si="39"/>
        <v>48.812154563023455</v>
      </c>
      <c r="CB68" s="22">
        <f t="shared" ref="CB68:CB131" si="64">(BZ68+CA68)*0.475*44/12</f>
        <v>425.9708325305989</v>
      </c>
      <c r="CC68" s="62">
        <f t="shared" ref="CC68:CC131" si="65">CB68+(BT68+BU68)*44/12</f>
        <v>719.30416586393221</v>
      </c>
      <c r="CD68" s="62">
        <f ca="1">AVERAGE(OFFSET($CC$3,0,0,'Données projet'!$E$12+1,1))-AVERAGE(OFFSET($H$3,0,0,'Données projet'!$E$12+1,1))</f>
        <v>221.4629402571224</v>
      </c>
      <c r="CE68" s="62">
        <f t="shared" si="40"/>
        <v>204.26941562549416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291.66666666666663</v>
      </c>
      <c r="CR68" s="13">
        <f>VLOOKUP(A68,'Données projet'!$A$139:$I$159,9,0)</f>
        <v>6.0256410256410273</v>
      </c>
      <c r="CS68" s="13">
        <f t="array" ref="CS68">INDEX(CR:CR,MIN(IF(ISNUMBER(CR68:CR264),ROW(CR68:CR264),"")))</f>
        <v>6.0256410256410273</v>
      </c>
      <c r="CT68" s="13">
        <f>IF('Données projet'!$A$140&gt;35,CT67+CS68-DB67,IF(A68&lt;'Données projet'!$A$140,$CQ$205^A68,IF(A68='Données projet'!$A$140,'Données projet'!$B$140,CT67+CS68-DB67)))</f>
        <v>291.66666666666691</v>
      </c>
      <c r="CU68" s="18">
        <f>CT68*VLOOKUP('Données projet'!$B$13,Paramètres!$A$1:$I$89,3,0)*VLOOKUP('Données projet'!$B$13,Paramètres!$A$1:$I$89,5,0)</f>
        <v>304.85000000000031</v>
      </c>
      <c r="CV68" s="14">
        <f t="shared" si="41"/>
        <v>72.192258816313696</v>
      </c>
      <c r="CW68" s="22">
        <f t="shared" ref="CW68:CW131" si="67">(CU68+CV68)*0.475*44/12</f>
        <v>656.68193410508013</v>
      </c>
      <c r="CX68" s="62">
        <f t="shared" ref="CX68:CX131" si="68">CW68+(CO68+CP68)*44/12</f>
        <v>950.0152674384135</v>
      </c>
      <c r="CY68" s="62">
        <f ca="1">AVERAGE(OFFSET($CX$3,0,0,'Données projet'!$E$13+1,1))-AVERAGE(OFFSET($H$3,0,0,'Données projet'!$E$13+1,1))</f>
        <v>492.66134897013183</v>
      </c>
      <c r="CZ68" s="62">
        <f t="shared" si="42"/>
        <v>307.87428858945862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13.373076923076932</v>
      </c>
      <c r="N69" s="14">
        <f>IF('Données projet'!$A$36&gt;35,N68+M69-V68,IF(A69&lt;'Données projet'!$A$36,$K$205^A69,IF(A69='Données projet'!$A$36,'Données projet'!$B$36,N68+M69-V68)))</f>
        <v>416.1115384615386</v>
      </c>
      <c r="O69" s="14">
        <f>N69*VLOOKUP('Données projet'!$B$9,Paramètres!$A$1:$I$89,3,0)*VLOOKUP('Données projet'!$B$9,Paramètres!$A$1:$I$89,5,0)</f>
        <v>232.60635000000008</v>
      </c>
      <c r="P69" s="14">
        <f t="shared" ref="P69:P132" si="87">EXP(-1.0587+0.8836*LN(O69)+0.284)</f>
        <v>56.845865220702599</v>
      </c>
      <c r="Q69" s="22">
        <f t="shared" si="54"/>
        <v>504.12927484272382</v>
      </c>
      <c r="R69" s="62">
        <f t="shared" si="55"/>
        <v>797.46260817605707</v>
      </c>
      <c r="S69" s="62">
        <f ca="1">AVERAGE(OFFSET($R$3,0,0,'Données projet'!$E$9+1,1))-AVERAGE(OFFSET($H$3,0,0,'Données projet'!$E$9+1,1))</f>
        <v>256.47911362806866</v>
      </c>
      <c r="T69" s="62">
        <f t="shared" ref="T69:T132" si="88">$T$3</f>
        <v>230.93438491511529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2.1874088141884802</v>
      </c>
      <c r="AA69" s="23">
        <f>EXP(-LN(2)/25)*AA68+(1-EXP(-LN(2)/25))/(LN(2)/25)*Calculateur!V69*Calculateur!X69*VLOOKUP('Données projet'!$B$9,Paramètres!$A$1:$I$89,3,0)*0.475*44/12</f>
        <v>3.0396849966556903</v>
      </c>
      <c r="AB69" s="23">
        <f>EXP(-LN(2)/2)*AB68+(1-EXP(-LN(2)/2))/(LN(2)/2)*V69*Y69*VLOOKUP('Données projet'!$B$9,Paramètres!$A$1:$I$89,3,0)*0.475*44/12</f>
        <v>2.3223141401741107E-5</v>
      </c>
      <c r="AC69" s="24">
        <f t="shared" si="57"/>
        <v>5.2271170339855724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218.59999999999994</v>
      </c>
      <c r="AJ69" s="14">
        <f>AI69*VLOOKUP('Données projet'!$B$10,Paramètres!$A$1:$I$89,3,0)*VLOOKUP('Données projet'!$B$10,Paramètres!$A$1:$I$89,5,0)</f>
        <v>190.96895999999998</v>
      </c>
      <c r="AK69" s="14">
        <f t="shared" ref="AK69:AK132" si="89">EXP(-1.0587+0.8836*LN(AJ69)+0.284)</f>
        <v>47.754112686935557</v>
      </c>
      <c r="AL69" s="22">
        <f t="shared" si="58"/>
        <v>415.77601826307938</v>
      </c>
      <c r="AM69" s="62">
        <f t="shared" si="59"/>
        <v>709.10935159641269</v>
      </c>
      <c r="AN69" s="62">
        <f ca="1">AVERAGE(OFFSET($AM$3,0,0,'Données projet'!$E$10+1,1))-AVERAGE(OFFSET($H$3,0,0,'Données projet'!$E$10+1,1))</f>
        <v>255.68195973350799</v>
      </c>
      <c r="AO69" s="62">
        <f t="shared" ref="AO69:AO132" si="90">$AO$3</f>
        <v>269.20928353552461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247.79999999999984</v>
      </c>
      <c r="BE69" s="14">
        <f>BD69*VLOOKUP('Données projet'!$B$11,Paramètres!$A$1:$I$89,3,0)*VLOOKUP('Données projet'!$B$11,Paramètres!$A$1:$I$89,5,0)</f>
        <v>197.14967999999988</v>
      </c>
      <c r="BF69" s="14">
        <f t="shared" ref="BF69:BF132" si="91">EXP(-1.0587+0.8836*LN(BE69)+0.284)</f>
        <v>49.11723130862363</v>
      </c>
      <c r="BG69" s="22">
        <f t="shared" si="61"/>
        <v>428.91487052918592</v>
      </c>
      <c r="BH69" s="62">
        <f t="shared" si="62"/>
        <v>722.24820386251918</v>
      </c>
      <c r="BI69" s="62">
        <f ca="1">AVERAGE(OFFSET($BH$3,0,0,'Données projet'!$E$11+1,1))-AVERAGE(OFFSET($H$3,0,0,'Données projet'!$E$11+1,1))</f>
        <v>243.51680047412441</v>
      </c>
      <c r="BJ69" s="62">
        <f t="shared" ref="BJ69:BJ132" si="92">$BJ$3</f>
        <v>224.00025638752402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247.79999999999984</v>
      </c>
      <c r="BZ69" s="14">
        <f>BY69*VLOOKUP('Données projet'!$B$12,Paramètres!$A$1:$I$89,3,0)*VLOOKUP('Données projet'!$B$12,Paramètres!$A$1:$I$89,5,0)</f>
        <v>181.68695999999989</v>
      </c>
      <c r="CA69" s="14">
        <f t="shared" ref="CA69:CA132" si="93">EXP(-1.0587+0.8836*LN(BZ69)+0.284)</f>
        <v>45.697299679537338</v>
      </c>
      <c r="CB69" s="22">
        <f t="shared" si="64"/>
        <v>396.02758560852732</v>
      </c>
      <c r="CC69" s="62">
        <f t="shared" si="65"/>
        <v>689.36091894186063</v>
      </c>
      <c r="CD69" s="62">
        <f ca="1">AVERAGE(OFFSET($CC$3,0,0,'Données projet'!$E$12+1,1))-AVERAGE(OFFSET($H$3,0,0,'Données projet'!$E$12+1,1))</f>
        <v>221.4629402571224</v>
      </c>
      <c r="CE69" s="62">
        <f t="shared" ref="CE69:CE132" si="94">$CE$3</f>
        <v>204.26941562549416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5.6410256410256467</v>
      </c>
      <c r="CT69" s="13">
        <f>IF('Données projet'!$A$140&gt;35,CT68+CS69-DB68,IF(A69&lt;'Données projet'!$A$140,$CQ$205^A69,IF(A69='Données projet'!$A$140,'Données projet'!$B$140,CT68+CS69-DB68)))</f>
        <v>297.30769230769255</v>
      </c>
      <c r="CU69" s="18">
        <f>CT69*VLOOKUP('Données projet'!$B$13,Paramètres!$A$1:$I$89,3,0)*VLOOKUP('Données projet'!$B$13,Paramètres!$A$1:$I$89,5,0)</f>
        <v>310.74600000000032</v>
      </c>
      <c r="CV69" s="14">
        <f t="shared" ref="CV69:CV132" si="95">EXP(-1.0587+0.8836*LN(CU69)+0.284)</f>
        <v>73.424602863040889</v>
      </c>
      <c r="CW69" s="22">
        <f t="shared" si="67"/>
        <v>669.09713331979674</v>
      </c>
      <c r="CX69" s="62">
        <f t="shared" si="68"/>
        <v>962.43046665313</v>
      </c>
      <c r="CY69" s="62">
        <f ca="1">AVERAGE(OFFSET($CX$3,0,0,'Données projet'!$E$13+1,1))-AVERAGE(OFFSET($H$3,0,0,'Données projet'!$E$13+1,1))</f>
        <v>492.66134897013183</v>
      </c>
      <c r="CZ69" s="62">
        <f t="shared" ref="CZ69:CZ132" si="96">$CZ$3</f>
        <v>307.87428858945862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13.373076923076932</v>
      </c>
      <c r="N70" s="14">
        <f>IF('Données projet'!$A$36&gt;35,N69+M70-V69,IF(A70&lt;'Données projet'!$A$36,$K$205^A70,IF(A70='Données projet'!$A$36,'Données projet'!$B$36,N69+M70-V69)))</f>
        <v>429.48461538461555</v>
      </c>
      <c r="O70" s="14">
        <f>N70*VLOOKUP('Données projet'!$B$9,Paramètres!$A$1:$I$89,3,0)*VLOOKUP('Données projet'!$B$9,Paramètres!$A$1:$I$89,5,0)</f>
        <v>240.0819000000001</v>
      </c>
      <c r="P70" s="14">
        <f t="shared" si="87"/>
        <v>58.457151316256045</v>
      </c>
      <c r="Q70" s="22">
        <f t="shared" si="54"/>
        <v>519.95551437581287</v>
      </c>
      <c r="R70" s="62">
        <f t="shared" si="55"/>
        <v>813.28884770914624</v>
      </c>
      <c r="S70" s="62">
        <f ca="1">AVERAGE(OFFSET($R$3,0,0,'Données projet'!$E$9+1,1))-AVERAGE(OFFSET($H$3,0,0,'Données projet'!$E$9+1,1))</f>
        <v>256.47911362806866</v>
      </c>
      <c r="T70" s="62">
        <f t="shared" si="88"/>
        <v>230.93438491511529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2.1445150615298805</v>
      </c>
      <c r="AA70" s="23">
        <f>EXP(-LN(2)/25)*AA69+(1-EXP(-LN(2)/25))/(LN(2)/25)*Calculateur!V70*Calculateur!X70*VLOOKUP('Données projet'!$B$9,Paramètres!$A$1:$I$89,3,0)*0.475*44/12</f>
        <v>2.9565646505720538</v>
      </c>
      <c r="AB70" s="23">
        <f>EXP(-LN(2)/2)*AB69+(1-EXP(-LN(2)/2))/(LN(2)/2)*V70*Y70*VLOOKUP('Données projet'!$B$9,Paramètres!$A$1:$I$89,3,0)*0.475*44/12</f>
        <v>1.6421240765625201E-5</v>
      </c>
      <c r="AC70" s="24">
        <f t="shared" si="57"/>
        <v>5.1010961333426996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223.19999999999993</v>
      </c>
      <c r="AJ70" s="14">
        <f>AI70*VLOOKUP('Données projet'!$B$10,Paramètres!$A$1:$I$89,3,0)*VLOOKUP('Données projet'!$B$10,Paramètres!$A$1:$I$89,5,0)</f>
        <v>194.98751999999996</v>
      </c>
      <c r="AK70" s="14">
        <f t="shared" si="89"/>
        <v>48.640954330020342</v>
      </c>
      <c r="AL70" s="22">
        <f t="shared" si="58"/>
        <v>424.31959279145207</v>
      </c>
      <c r="AM70" s="62">
        <f t="shared" si="59"/>
        <v>717.65292612478538</v>
      </c>
      <c r="AN70" s="62">
        <f ca="1">AVERAGE(OFFSET($AM$3,0,0,'Données projet'!$E$10+1,1))-AVERAGE(OFFSET($H$3,0,0,'Données projet'!$E$10+1,1))</f>
        <v>255.68195973350799</v>
      </c>
      <c r="AO70" s="62">
        <f t="shared" si="90"/>
        <v>269.20928353552461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251.59999999999985</v>
      </c>
      <c r="BE70" s="14">
        <f>BD70*VLOOKUP('Données projet'!$B$11,Paramètres!$A$1:$I$89,3,0)*VLOOKUP('Données projet'!$B$11,Paramètres!$A$1:$I$89,5,0)</f>
        <v>200.17295999999988</v>
      </c>
      <c r="BF70" s="14">
        <f t="shared" si="91"/>
        <v>49.782177185855986</v>
      </c>
      <c r="BG70" s="22">
        <f t="shared" si="61"/>
        <v>435.33853059869892</v>
      </c>
      <c r="BH70" s="62">
        <f t="shared" si="62"/>
        <v>728.67186393203224</v>
      </c>
      <c r="BI70" s="62">
        <f ca="1">AVERAGE(OFFSET($BH$3,0,0,'Données projet'!$E$11+1,1))-AVERAGE(OFFSET($H$3,0,0,'Données projet'!$E$11+1,1))</f>
        <v>243.51680047412441</v>
      </c>
      <c r="BJ70" s="62">
        <f t="shared" si="92"/>
        <v>224.00025638752402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251.59999999999985</v>
      </c>
      <c r="BZ70" s="14">
        <f>BY70*VLOOKUP('Données projet'!$B$12,Paramètres!$A$1:$I$89,3,0)*VLOOKUP('Données projet'!$B$12,Paramètres!$A$1:$I$89,5,0)</f>
        <v>184.47311999999988</v>
      </c>
      <c r="CA70" s="14">
        <f t="shared" si="93"/>
        <v>46.315946745200115</v>
      </c>
      <c r="CB70" s="22">
        <f t="shared" si="64"/>
        <v>401.95762458122334</v>
      </c>
      <c r="CC70" s="62">
        <f t="shared" si="65"/>
        <v>695.29095791455666</v>
      </c>
      <c r="CD70" s="62">
        <f ca="1">AVERAGE(OFFSET($CC$3,0,0,'Données projet'!$E$12+1,1))-AVERAGE(OFFSET($H$3,0,0,'Données projet'!$E$12+1,1))</f>
        <v>221.4629402571224</v>
      </c>
      <c r="CE70" s="62">
        <f t="shared" si="94"/>
        <v>204.26941562549416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5.6410256410256467</v>
      </c>
      <c r="CT70" s="13">
        <f>IF('Données projet'!$A$140&gt;35,CT69+CS70-DB69,IF(A70&lt;'Données projet'!$A$140,$CQ$205^A70,IF(A70='Données projet'!$A$140,'Données projet'!$B$140,CT69+CS70-DB69)))</f>
        <v>302.94871794871818</v>
      </c>
      <c r="CU70" s="18">
        <f>CT70*VLOOKUP('Données projet'!$B$13,Paramètres!$A$1:$I$89,3,0)*VLOOKUP('Données projet'!$B$13,Paramètres!$A$1:$I$89,5,0)</f>
        <v>316.64200000000028</v>
      </c>
      <c r="CV70" s="14">
        <f t="shared" si="95"/>
        <v>74.654228061715287</v>
      </c>
      <c r="CW70" s="22">
        <f t="shared" si="67"/>
        <v>681.50759720748795</v>
      </c>
      <c r="CX70" s="62">
        <f t="shared" si="68"/>
        <v>974.84093054082132</v>
      </c>
      <c r="CY70" s="62">
        <f ca="1">AVERAGE(OFFSET($CX$3,0,0,'Données projet'!$E$13+1,1))-AVERAGE(OFFSET($H$3,0,0,'Données projet'!$E$13+1,1))</f>
        <v>492.66134897013183</v>
      </c>
      <c r="CZ70" s="62">
        <f t="shared" si="96"/>
        <v>307.87428858945862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13.373076923076932</v>
      </c>
      <c r="N71" s="14">
        <f>IF('Données projet'!$A$36&gt;35,N70+M71-V70,IF(A71&lt;'Données projet'!$A$36,$K$205^A71,IF(A71='Données projet'!$A$36,'Données projet'!$B$36,N70+M71-V70)))</f>
        <v>442.8576923076925</v>
      </c>
      <c r="O71" s="14">
        <f>N71*VLOOKUP('Données projet'!$B$9,Paramètres!$A$1:$I$89,3,0)*VLOOKUP('Données projet'!$B$9,Paramètres!$A$1:$I$89,5,0)</f>
        <v>247.5574500000001</v>
      </c>
      <c r="P71" s="14">
        <f t="shared" si="87"/>
        <v>60.062607033562486</v>
      </c>
      <c r="Q71" s="22">
        <f t="shared" si="54"/>
        <v>535.7715993334549</v>
      </c>
      <c r="R71" s="62">
        <f t="shared" si="55"/>
        <v>829.10493266678827</v>
      </c>
      <c r="S71" s="62">
        <f ca="1">AVERAGE(OFFSET($R$3,0,0,'Données projet'!$E$9+1,1))-AVERAGE(OFFSET($H$3,0,0,'Données projet'!$E$9+1,1))</f>
        <v>256.47911362806866</v>
      </c>
      <c r="T71" s="62">
        <f t="shared" si="88"/>
        <v>230.93438491511529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2.1024624291983103</v>
      </c>
      <c r="AA71" s="23">
        <f>EXP(-LN(2)/25)*AA70+(1-EXP(-LN(2)/25))/(LN(2)/25)*Calculateur!V71*Calculateur!X71*VLOOKUP('Données projet'!$B$9,Paramètres!$A$1:$I$89,3,0)*0.475*44/12</f>
        <v>2.8757172347231834</v>
      </c>
      <c r="AB71" s="23">
        <f>EXP(-LN(2)/2)*AB70+(1-EXP(-LN(2)/2))/(LN(2)/2)*V71*Y71*VLOOKUP('Données projet'!$B$9,Paramètres!$A$1:$I$89,3,0)*0.475*44/12</f>
        <v>1.1611570700870553E-5</v>
      </c>
      <c r="AC71" s="24">
        <f t="shared" si="57"/>
        <v>4.9781912754921942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227.79999999999993</v>
      </c>
      <c r="AJ71" s="14">
        <f>AI71*VLOOKUP('Données projet'!$B$10,Paramètres!$A$1:$I$89,3,0)*VLOOKUP('Données projet'!$B$10,Paramètres!$A$1:$I$89,5,0)</f>
        <v>199.00607999999997</v>
      </c>
      <c r="AK71" s="14">
        <f t="shared" si="89"/>
        <v>49.525670897515027</v>
      </c>
      <c r="AL71" s="22">
        <f t="shared" si="58"/>
        <v>432.85946614650521</v>
      </c>
      <c r="AM71" s="62">
        <f t="shared" si="59"/>
        <v>726.19279947983853</v>
      </c>
      <c r="AN71" s="62">
        <f ca="1">AVERAGE(OFFSET($AM$3,0,0,'Données projet'!$E$10+1,1))-AVERAGE(OFFSET($H$3,0,0,'Données projet'!$E$10+1,1))</f>
        <v>255.68195973350799</v>
      </c>
      <c r="AO71" s="62">
        <f t="shared" si="90"/>
        <v>269.20928353552461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255.39999999999986</v>
      </c>
      <c r="BE71" s="14">
        <f>BD71*VLOOKUP('Données projet'!$B$11,Paramètres!$A$1:$I$89,3,0)*VLOOKUP('Données projet'!$B$11,Paramètres!$A$1:$I$89,5,0)</f>
        <v>203.1962399999999</v>
      </c>
      <c r="BF71" s="14">
        <f t="shared" si="91"/>
        <v>50.445955049216174</v>
      </c>
      <c r="BG71" s="22">
        <f t="shared" si="61"/>
        <v>441.76015637738465</v>
      </c>
      <c r="BH71" s="62">
        <f t="shared" si="62"/>
        <v>735.0934897107179</v>
      </c>
      <c r="BI71" s="62">
        <f ca="1">AVERAGE(OFFSET($BH$3,0,0,'Données projet'!$E$11+1,1))-AVERAGE(OFFSET($H$3,0,0,'Données projet'!$E$11+1,1))</f>
        <v>243.51680047412441</v>
      </c>
      <c r="BJ71" s="62">
        <f t="shared" si="92"/>
        <v>224.00025638752402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255.39999999999986</v>
      </c>
      <c r="BZ71" s="14">
        <f>BY71*VLOOKUP('Données projet'!$B$12,Paramètres!$A$1:$I$89,3,0)*VLOOKUP('Données projet'!$B$12,Paramètres!$A$1:$I$89,5,0)</f>
        <v>187.2592799999999</v>
      </c>
      <c r="CA71" s="14">
        <f t="shared" si="93"/>
        <v>46.933507123390406</v>
      </c>
      <c r="CB71" s="22">
        <f t="shared" si="64"/>
        <v>407.88577090657145</v>
      </c>
      <c r="CC71" s="62">
        <f t="shared" si="65"/>
        <v>701.21910423990471</v>
      </c>
      <c r="CD71" s="62">
        <f ca="1">AVERAGE(OFFSET($CC$3,0,0,'Données projet'!$E$12+1,1))-AVERAGE(OFFSET($H$3,0,0,'Données projet'!$E$12+1,1))</f>
        <v>221.4629402571224</v>
      </c>
      <c r="CE71" s="62">
        <f t="shared" si="94"/>
        <v>204.26941562549416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5.6410256410256467</v>
      </c>
      <c r="CT71" s="13">
        <f>IF('Données projet'!$A$140&gt;35,CT70+CS71-DB70,IF(A71&lt;'Données projet'!$A$140,$CQ$205^A71,IF(A71='Données projet'!$A$140,'Données projet'!$B$140,CT70+CS71-DB70)))</f>
        <v>308.58974358974382</v>
      </c>
      <c r="CU71" s="18">
        <f>CT71*VLOOKUP('Données projet'!$B$13,Paramètres!$A$1:$I$89,3,0)*VLOOKUP('Données projet'!$B$13,Paramètres!$A$1:$I$89,5,0)</f>
        <v>322.53800000000024</v>
      </c>
      <c r="CV71" s="14">
        <f t="shared" si="95"/>
        <v>75.881190876614681</v>
      </c>
      <c r="CW71" s="22">
        <f t="shared" si="67"/>
        <v>693.9134241101043</v>
      </c>
      <c r="CX71" s="62">
        <f t="shared" si="68"/>
        <v>987.24675744343767</v>
      </c>
      <c r="CY71" s="62">
        <f ca="1">AVERAGE(OFFSET($CX$3,0,0,'Données projet'!$E$13+1,1))-AVERAGE(OFFSET($H$3,0,0,'Données projet'!$E$13+1,1))</f>
        <v>492.66134897013183</v>
      </c>
      <c r="CZ71" s="62">
        <f t="shared" si="96"/>
        <v>307.87428858945862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456.23076923076923</v>
      </c>
      <c r="L72" s="13">
        <f>VLOOKUP(A72,'Données projet'!$A$35:$I$55,9,0)</f>
        <v>13.373076923076932</v>
      </c>
      <c r="M72" s="13">
        <f t="array" ref="M72">INDEX(L:L,MIN(IF(ISNUMBER(L72:L268),ROW(L72:L268),"")))</f>
        <v>13.373076923076932</v>
      </c>
      <c r="N72" s="14">
        <f>IF('Données projet'!$A$36&gt;35,N71+M72-V71,IF(A72&lt;'Données projet'!$A$36,$K$205^A72,IF(A72='Données projet'!$A$36,'Données projet'!$B$36,N71+M72-V71)))</f>
        <v>456.23076923076945</v>
      </c>
      <c r="O72" s="14">
        <f>N72*VLOOKUP('Données projet'!$B$9,Paramètres!$A$1:$I$89,3,0)*VLOOKUP('Données projet'!$B$9,Paramètres!$A$1:$I$89,5,0)</f>
        <v>255.03300000000013</v>
      </c>
      <c r="P72" s="14">
        <f t="shared" si="87"/>
        <v>61.662428642904949</v>
      </c>
      <c r="Q72" s="22">
        <f t="shared" si="54"/>
        <v>551.57787155305971</v>
      </c>
      <c r="R72" s="62">
        <f t="shared" si="55"/>
        <v>844.91120488639308</v>
      </c>
      <c r="S72" s="62">
        <f ca="1">AVERAGE(OFFSET($R$3,0,0,'Données projet'!$E$9+1,1))-AVERAGE(OFFSET($H$3,0,0,'Données projet'!$E$9+1,1))</f>
        <v>256.47911362806866</v>
      </c>
      <c r="T72" s="62">
        <f t="shared" si="88"/>
        <v>230.93438491511529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2.0612344233371891</v>
      </c>
      <c r="AA72" s="23">
        <f>EXP(-LN(2)/25)*AA71+(1-EXP(-LN(2)/25))/(LN(2)/25)*Calculateur!V72*Calculateur!X72*VLOOKUP('Données projet'!$B$9,Paramètres!$A$1:$I$89,3,0)*0.475*44/12</f>
        <v>2.7970805957122811</v>
      </c>
      <c r="AB72" s="23">
        <f>EXP(-LN(2)/2)*AB71+(1-EXP(-LN(2)/2))/(LN(2)/2)*V72*Y72*VLOOKUP('Données projet'!$B$9,Paramètres!$A$1:$I$89,3,0)*0.475*44/12</f>
        <v>8.2106203828126005E-6</v>
      </c>
      <c r="AC72" s="24">
        <f t="shared" si="57"/>
        <v>4.8583232296698533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232.39999999999992</v>
      </c>
      <c r="AJ72" s="14">
        <f>AI72*VLOOKUP('Données projet'!$B$10,Paramètres!$A$1:$I$89,3,0)*VLOOKUP('Données projet'!$B$10,Paramètres!$A$1:$I$89,5,0)</f>
        <v>203.02463999999998</v>
      </c>
      <c r="AK72" s="14">
        <f t="shared" si="89"/>
        <v>50.408310246654189</v>
      </c>
      <c r="AL72" s="22">
        <f t="shared" si="58"/>
        <v>441.39572167958931</v>
      </c>
      <c r="AM72" s="62">
        <f t="shared" si="59"/>
        <v>734.72905501292257</v>
      </c>
      <c r="AN72" s="62">
        <f ca="1">AVERAGE(OFFSET($AM$3,0,0,'Données projet'!$E$10+1,1))-AVERAGE(OFFSET($H$3,0,0,'Données projet'!$E$10+1,1))</f>
        <v>255.68195973350799</v>
      </c>
      <c r="AO72" s="62">
        <f t="shared" si="90"/>
        <v>269.20928353552461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259.19999999999987</v>
      </c>
      <c r="BE72" s="14">
        <f>BD72*VLOOKUP('Données projet'!$B$11,Paramètres!$A$1:$I$89,3,0)*VLOOKUP('Données projet'!$B$11,Paramètres!$A$1:$I$89,5,0)</f>
        <v>206.21951999999993</v>
      </c>
      <c r="BF72" s="14">
        <f t="shared" si="91"/>
        <v>51.10858428464028</v>
      </c>
      <c r="BG72" s="22">
        <f t="shared" si="61"/>
        <v>448.17978162908167</v>
      </c>
      <c r="BH72" s="62">
        <f t="shared" si="62"/>
        <v>741.51311496241499</v>
      </c>
      <c r="BI72" s="62">
        <f ca="1">AVERAGE(OFFSET($BH$3,0,0,'Données projet'!$E$11+1,1))-AVERAGE(OFFSET($H$3,0,0,'Données projet'!$E$11+1,1))</f>
        <v>243.51680047412441</v>
      </c>
      <c r="BJ72" s="62">
        <f t="shared" si="92"/>
        <v>224.00025638752402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259.19999999999987</v>
      </c>
      <c r="BZ72" s="14">
        <f>BY72*VLOOKUP('Données projet'!$B$12,Paramètres!$A$1:$I$89,3,0)*VLOOKUP('Données projet'!$B$12,Paramètres!$A$1:$I$89,5,0)</f>
        <v>190.04543999999993</v>
      </c>
      <c r="CA72" s="14">
        <f t="shared" si="93"/>
        <v>47.549998850241536</v>
      </c>
      <c r="CB72" s="22">
        <f t="shared" si="64"/>
        <v>413.81205599750388</v>
      </c>
      <c r="CC72" s="62">
        <f t="shared" si="65"/>
        <v>707.14538933083713</v>
      </c>
      <c r="CD72" s="62">
        <f ca="1">AVERAGE(OFFSET($CC$3,0,0,'Données projet'!$E$12+1,1))-AVERAGE(OFFSET($H$3,0,0,'Données projet'!$E$12+1,1))</f>
        <v>221.4629402571224</v>
      </c>
      <c r="CE72" s="62">
        <f t="shared" si="94"/>
        <v>204.26941562549416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5.6410256410256467</v>
      </c>
      <c r="CT72" s="13">
        <f>IF('Données projet'!$A$140&gt;35,CT71+CS72-DB71,IF(A72&lt;'Données projet'!$A$140,$CQ$205^A72,IF(A72='Données projet'!$A$140,'Données projet'!$B$140,CT71+CS72-DB71)))</f>
        <v>314.23076923076945</v>
      </c>
      <c r="CU72" s="18">
        <f>CT72*VLOOKUP('Données projet'!$B$13,Paramètres!$A$1:$I$89,3,0)*VLOOKUP('Données projet'!$B$13,Paramètres!$A$1:$I$89,5,0)</f>
        <v>328.43400000000025</v>
      </c>
      <c r="CV72" s="14">
        <f t="shared" si="95"/>
        <v>77.105545589495094</v>
      </c>
      <c r="CW72" s="22">
        <f t="shared" si="67"/>
        <v>706.31470856837097</v>
      </c>
      <c r="CX72" s="62">
        <f t="shared" si="68"/>
        <v>999.64804190170435</v>
      </c>
      <c r="CY72" s="62">
        <f ca="1">AVERAGE(OFFSET($CX$3,0,0,'Données projet'!$E$13+1,1))-AVERAGE(OFFSET($H$3,0,0,'Données projet'!$E$13+1,1))</f>
        <v>492.66134897013183</v>
      </c>
      <c r="CZ72" s="62">
        <f t="shared" si="96"/>
        <v>307.87428858945862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469.06923076923073</v>
      </c>
      <c r="L73" s="13">
        <f>VLOOKUP(A73,'Données projet'!$A$35:$I$55,9,0)</f>
        <v>12.838461538461502</v>
      </c>
      <c r="M73" s="13">
        <f t="array" ref="M73">INDEX(L:L,MIN(IF(ISNUMBER(L73:L269),ROW(L73:L269),"")))</f>
        <v>12.838461538461502</v>
      </c>
      <c r="N73" s="14">
        <f>IF('Données projet'!$A$36&gt;35,N72+M73-V72,IF(A73&lt;'Données projet'!$A$36,$K$205^A73,IF(A73='Données projet'!$A$36,'Données projet'!$B$36,N72+M73-V72)))</f>
        <v>469.06923076923096</v>
      </c>
      <c r="O73" s="14">
        <f>N73*VLOOKUP('Données projet'!$B$9,Paramètres!$A$1:$I$89,3,0)*VLOOKUP('Données projet'!$B$9,Paramètres!$A$1:$I$89,5,0)</f>
        <v>262.20970000000011</v>
      </c>
      <c r="P73" s="14">
        <f t="shared" si="87"/>
        <v>63.193164452376678</v>
      </c>
      <c r="Q73" s="22">
        <f t="shared" si="54"/>
        <v>566.74332225455612</v>
      </c>
      <c r="R73" s="62">
        <f t="shared" si="55"/>
        <v>860.07665558788949</v>
      </c>
      <c r="S73" s="62">
        <f ca="1">AVERAGE(OFFSET($R$3,0,0,'Données projet'!$E$9+1,1))-AVERAGE(OFFSET($H$3,0,0,'Données projet'!$E$9+1,1))</f>
        <v>256.47911362806866</v>
      </c>
      <c r="T73" s="62">
        <f t="shared" si="88"/>
        <v>230.93438491511529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469.06923076923073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2.020814873524404</v>
      </c>
      <c r="AA73" s="23">
        <f>EXP(-LN(2)/25)*AA72+(1-EXP(-LN(2)/25))/(LN(2)/25)*Calculateur!V73*Calculateur!X73*VLOOKUP('Données projet'!$B$9,Paramètres!$A$1:$I$89,3,0)*0.475*44/12</f>
        <v>2.7205942797304532</v>
      </c>
      <c r="AB73" s="23">
        <f>EXP(-LN(2)/2)*AB72+(1-EXP(-LN(2)/2))/(LN(2)/2)*V73*Y73*VLOOKUP('Données projet'!$B$9,Paramètres!$A$1:$I$89,3,0)*0.475*44/12</f>
        <v>5.8057853504352766E-6</v>
      </c>
      <c r="AC73" s="24">
        <f t="shared" si="57"/>
        <v>4.741414959040207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236.99999999999991</v>
      </c>
      <c r="AJ73" s="14">
        <f>AI73*VLOOKUP('Données projet'!$B$10,Paramètres!$A$1:$I$89,3,0)*VLOOKUP('Données projet'!$B$10,Paramètres!$A$1:$I$89,5,0)</f>
        <v>207.04319999999996</v>
      </c>
      <c r="AK73" s="14">
        <f t="shared" si="89"/>
        <v>51.288918231806321</v>
      </c>
      <c r="AL73" s="22">
        <f t="shared" si="58"/>
        <v>449.92843925372921</v>
      </c>
      <c r="AM73" s="62">
        <f t="shared" si="59"/>
        <v>743.26177258706252</v>
      </c>
      <c r="AN73" s="62">
        <f ca="1">AVERAGE(OFFSET($AM$3,0,0,'Données projet'!$E$10+1,1))-AVERAGE(OFFSET($H$3,0,0,'Données projet'!$E$10+1,1))</f>
        <v>255.68195973350799</v>
      </c>
      <c r="AO73" s="62">
        <f t="shared" si="90"/>
        <v>269.20928353552461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33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262.99999999999989</v>
      </c>
      <c r="BE73" s="14">
        <f>BD73*VLOOKUP('Données projet'!$B$11,Paramètres!$A$1:$I$89,3,0)*VLOOKUP('Données projet'!$B$11,Paramètres!$A$1:$I$89,5,0)</f>
        <v>209.2427999999999</v>
      </c>
      <c r="BF73" s="14">
        <f t="shared" si="91"/>
        <v>51.770083677016814</v>
      </c>
      <c r="BG73" s="22">
        <f t="shared" si="61"/>
        <v>454.59743907080406</v>
      </c>
      <c r="BH73" s="62">
        <f t="shared" si="62"/>
        <v>747.93077240413731</v>
      </c>
      <c r="BI73" s="62">
        <f ca="1">AVERAGE(OFFSET($BH$3,0,0,'Données projet'!$E$11+1,1))-AVERAGE(OFFSET($H$3,0,0,'Données projet'!$E$11+1,1))</f>
        <v>243.51680047412441</v>
      </c>
      <c r="BJ73" s="62">
        <f t="shared" si="92"/>
        <v>224.00025638752402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262.99999999999989</v>
      </c>
      <c r="BZ73" s="14">
        <f>BY73*VLOOKUP('Données projet'!$B$12,Paramètres!$A$1:$I$89,3,0)*VLOOKUP('Données projet'!$B$12,Paramètres!$A$1:$I$89,5,0)</f>
        <v>192.83159999999992</v>
      </c>
      <c r="CA73" s="14">
        <f t="shared" si="93"/>
        <v>48.165439402688776</v>
      </c>
      <c r="CB73" s="22">
        <f t="shared" si="64"/>
        <v>419.73651029301612</v>
      </c>
      <c r="CC73" s="62">
        <f t="shared" si="65"/>
        <v>713.06984362634944</v>
      </c>
      <c r="CD73" s="62">
        <f ca="1">AVERAGE(OFFSET($CC$3,0,0,'Données projet'!$E$12+1,1))-AVERAGE(OFFSET($H$3,0,0,'Données projet'!$E$12+1,1))</f>
        <v>221.4629402571224</v>
      </c>
      <c r="CE73" s="62">
        <f t="shared" si="94"/>
        <v>204.26941562549416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319.87179487179486</v>
      </c>
      <c r="CR73" s="13">
        <f>VLOOKUP(A73,'Données projet'!$A$139:$I$159,9,0)</f>
        <v>5.6410256410256467</v>
      </c>
      <c r="CS73" s="13">
        <f t="array" ref="CS73">INDEX(CR:CR,MIN(IF(ISNUMBER(CR73:CR269),ROW(CR73:CR269),"")))</f>
        <v>5.6410256410256467</v>
      </c>
      <c r="CT73" s="13">
        <f>IF('Données projet'!$A$140&gt;35,CT72+CS73-DB72,IF(A73&lt;'Données projet'!$A$140,$CQ$205^A73,IF(A73='Données projet'!$A$140,'Données projet'!$B$140,CT72+CS73-DB72)))</f>
        <v>319.87179487179509</v>
      </c>
      <c r="CU73" s="18">
        <f>CT73*VLOOKUP('Données projet'!$B$13,Paramètres!$A$1:$I$89,3,0)*VLOOKUP('Données projet'!$B$13,Paramètres!$A$1:$I$89,5,0)</f>
        <v>334.33000000000027</v>
      </c>
      <c r="CV73" s="14">
        <f t="shared" si="95"/>
        <v>78.327344421591008</v>
      </c>
      <c r="CW73" s="22">
        <f t="shared" si="67"/>
        <v>718.71154153427142</v>
      </c>
      <c r="CX73" s="62">
        <f t="shared" si="68"/>
        <v>1012.0448748676047</v>
      </c>
      <c r="CY73" s="62">
        <f ca="1">AVERAGE(OFFSET($CX$3,0,0,'Données projet'!$E$13+1,1))-AVERAGE(OFFSET($H$3,0,0,'Données projet'!$E$13+1,1))</f>
        <v>492.66134897013183</v>
      </c>
      <c r="CZ73" s="62">
        <f t="shared" si="96"/>
        <v>307.87428858945862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28.846153846153847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2">
        <f t="shared" si="55"/>
        <v>293.33333333333678</v>
      </c>
      <c r="S74" s="62">
        <f ca="1">AVERAGE(OFFSET($R$3,0,0,'Données projet'!$E$9+1,1))-AVERAGE(OFFSET($H$3,0,0,'Données projet'!$E$9+1,1))</f>
        <v>256.47911362806866</v>
      </c>
      <c r="T74" s="62">
        <f t="shared" si="88"/>
        <v>230.93438491511529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1.9811879264299566</v>
      </c>
      <c r="AA74" s="23">
        <f>EXP(-LN(2)/25)*AA73+(1-EXP(-LN(2)/25))/(LN(2)/25)*Calculateur!V74*Calculateur!X74*VLOOKUP('Données projet'!$B$9,Paramètres!$A$1:$I$89,3,0)*0.475*44/12</f>
        <v>2.6461994860813887</v>
      </c>
      <c r="AB74" s="23">
        <f>EXP(-LN(2)/2)*AB73+(1-EXP(-LN(2)/2))/(LN(2)/2)*V74*Y74*VLOOKUP('Données projet'!$B$9,Paramètres!$A$1:$I$89,3,0)*0.475*44/12</f>
        <v>4.1053101914063002E-6</v>
      </c>
      <c r="AC74" s="24">
        <f t="shared" si="57"/>
        <v>4.6273915178215361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3.8</v>
      </c>
      <c r="AI74" s="14">
        <f>IF('Données projet'!$A$62&gt;35,AI73+AH74-AQ73,IF(A74&lt;'Données projet'!$A$62,$AF$205^A74,IF(A74='Données projet'!$A$62,'Données projet'!$B$62,AI73+AH74-AQ73)))</f>
        <v>207.79999999999993</v>
      </c>
      <c r="AJ74" s="14">
        <f>AI74*VLOOKUP('Données projet'!$B$10,Paramètres!$A$1:$I$89,3,0)*VLOOKUP('Données projet'!$B$10,Paramètres!$A$1:$I$89,5,0)</f>
        <v>181.53407999999996</v>
      </c>
      <c r="AK74" s="14">
        <f t="shared" si="89"/>
        <v>45.663321943731859</v>
      </c>
      <c r="AL74" s="22">
        <f t="shared" si="58"/>
        <v>395.70214171866616</v>
      </c>
      <c r="AM74" s="62">
        <f t="shared" si="59"/>
        <v>689.03547505199947</v>
      </c>
      <c r="AN74" s="62">
        <f ca="1">AVERAGE(OFFSET($AM$3,0,0,'Données projet'!$E$10+1,1))-AVERAGE(OFFSET($H$3,0,0,'Données projet'!$E$10+1,1))</f>
        <v>255.68195973350799</v>
      </c>
      <c r="AO74" s="62">
        <f t="shared" si="90"/>
        <v>269.20928353552461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266.39999999999986</v>
      </c>
      <c r="BE74" s="14">
        <f>BD74*VLOOKUP('Données projet'!$B$11,Paramètres!$A$1:$I$89,3,0)*VLOOKUP('Données projet'!$B$11,Paramètres!$A$1:$I$89,5,0)</f>
        <v>211.94783999999987</v>
      </c>
      <c r="BF74" s="14">
        <f t="shared" si="91"/>
        <v>52.361008754780862</v>
      </c>
      <c r="BG74" s="22">
        <f t="shared" si="61"/>
        <v>460.33791158124308</v>
      </c>
      <c r="BH74" s="62">
        <f t="shared" si="62"/>
        <v>753.67124491457639</v>
      </c>
      <c r="BI74" s="62">
        <f ca="1">AVERAGE(OFFSET($BH$3,0,0,'Données projet'!$E$11+1,1))-AVERAGE(OFFSET($H$3,0,0,'Données projet'!$E$11+1,1))</f>
        <v>243.51680047412441</v>
      </c>
      <c r="BJ74" s="62">
        <f t="shared" si="92"/>
        <v>224.00025638752402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266.39999999999986</v>
      </c>
      <c r="BZ74" s="14">
        <f>BY74*VLOOKUP('Données projet'!$B$12,Paramètres!$A$1:$I$89,3,0)*VLOOKUP('Données projet'!$B$12,Paramètres!$A$1:$I$89,5,0)</f>
        <v>195.32447999999988</v>
      </c>
      <c r="CA74" s="14">
        <f t="shared" si="93"/>
        <v>48.715219584659181</v>
      </c>
      <c r="CB74" s="22">
        <f t="shared" si="64"/>
        <v>425.03581010994776</v>
      </c>
      <c r="CC74" s="62">
        <f t="shared" si="65"/>
        <v>718.36914344328102</v>
      </c>
      <c r="CD74" s="62">
        <f ca="1">AVERAGE(OFFSET($CC$3,0,0,'Données projet'!$E$12+1,1))-AVERAGE(OFFSET($H$3,0,0,'Données projet'!$E$12+1,1))</f>
        <v>221.4629402571224</v>
      </c>
      <c r="CE74" s="62">
        <f t="shared" si="94"/>
        <v>204.26941562549416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5.2564102564102653</v>
      </c>
      <c r="CT74" s="13">
        <f>IF('Données projet'!$A$140&gt;35,CT73+CS74-DB73,IF(A74&lt;'Données projet'!$A$140,$CQ$205^A74,IF(A74='Données projet'!$A$140,'Données projet'!$B$140,CT73+CS74-DB73)))</f>
        <v>296.2820512820515</v>
      </c>
      <c r="CU74" s="18">
        <f>CT74*VLOOKUP('Données projet'!$B$13,Paramètres!$A$1:$I$89,3,0)*VLOOKUP('Données projet'!$B$13,Paramètres!$A$1:$I$89,5,0)</f>
        <v>309.67400000000026</v>
      </c>
      <c r="CV74" s="14">
        <f t="shared" si="95"/>
        <v>73.200744228123753</v>
      </c>
      <c r="CW74" s="22">
        <f t="shared" si="67"/>
        <v>666.84017953064927</v>
      </c>
      <c r="CX74" s="62">
        <f t="shared" si="68"/>
        <v>960.17351286398252</v>
      </c>
      <c r="CY74" s="62">
        <f ca="1">AVERAGE(OFFSET($CX$3,0,0,'Données projet'!$E$13+1,1))-AVERAGE(OFFSET($H$3,0,0,'Données projet'!$E$13+1,1))</f>
        <v>492.66134897013183</v>
      </c>
      <c r="CZ74" s="62">
        <f t="shared" si="96"/>
        <v>307.87428858945862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2">
        <f t="shared" si="55"/>
        <v>293.33333333333678</v>
      </c>
      <c r="S75" s="62">
        <f ca="1">AVERAGE(OFFSET($R$3,0,0,'Données projet'!$E$9+1,1))-AVERAGE(OFFSET($H$3,0,0,'Données projet'!$E$9+1,1))</f>
        <v>256.47911362806866</v>
      </c>
      <c r="T75" s="62">
        <f t="shared" si="88"/>
        <v>230.93438491511529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1.9423380395979801</v>
      </c>
      <c r="AA75" s="23">
        <f>EXP(-LN(2)/25)*AA74+(1-EXP(-LN(2)/25))/(LN(2)/25)*Calculateur!V75*Calculateur!X75*VLOOKUP('Données projet'!$B$9,Paramètres!$A$1:$I$89,3,0)*0.475*44/12</f>
        <v>2.5738390219769101</v>
      </c>
      <c r="AB75" s="23">
        <f>EXP(-LN(2)/2)*AB74+(1-EXP(-LN(2)/2))/(LN(2)/2)*V75*Y75*VLOOKUP('Données projet'!$B$9,Paramètres!$A$1:$I$89,3,0)*0.475*44/12</f>
        <v>2.9028926752176383E-6</v>
      </c>
      <c r="AC75" s="24">
        <f t="shared" si="57"/>
        <v>4.5161799644675655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3.8</v>
      </c>
      <c r="AI75" s="14">
        <f>IF('Données projet'!$A$62&gt;35,AI74+AH75-AQ74,IF(A75&lt;'Données projet'!$A$62,$AF$205^A75,IF(A75='Données projet'!$A$62,'Données projet'!$B$62,AI74+AH75-AQ74)))</f>
        <v>211.59999999999994</v>
      </c>
      <c r="AJ75" s="14">
        <f>AI75*VLOOKUP('Données projet'!$B$10,Paramètres!$A$1:$I$89,3,0)*VLOOKUP('Données projet'!$B$10,Paramètres!$A$1:$I$89,5,0)</f>
        <v>184.85375999999997</v>
      </c>
      <c r="AK75" s="14">
        <f t="shared" si="89"/>
        <v>46.400380376458166</v>
      </c>
      <c r="AL75" s="22">
        <f t="shared" si="58"/>
        <v>402.76762782233124</v>
      </c>
      <c r="AM75" s="62">
        <f t="shared" si="59"/>
        <v>696.10096115566455</v>
      </c>
      <c r="AN75" s="62">
        <f ca="1">AVERAGE(OFFSET($AM$3,0,0,'Données projet'!$E$10+1,1))-AVERAGE(OFFSET($H$3,0,0,'Données projet'!$E$10+1,1))</f>
        <v>255.68195973350799</v>
      </c>
      <c r="AO75" s="62">
        <f t="shared" si="90"/>
        <v>269.20928353552461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269.79999999999984</v>
      </c>
      <c r="BE75" s="14">
        <f>BD75*VLOOKUP('Données projet'!$B$11,Paramètres!$A$1:$I$89,3,0)*VLOOKUP('Données projet'!$B$11,Paramètres!$A$1:$I$89,5,0)</f>
        <v>214.6528799999999</v>
      </c>
      <c r="BF75" s="14">
        <f t="shared" si="91"/>
        <v>52.951056589336034</v>
      </c>
      <c r="BG75" s="22">
        <f t="shared" si="61"/>
        <v>466.0768562264268</v>
      </c>
      <c r="BH75" s="62">
        <f t="shared" si="62"/>
        <v>759.41018955976006</v>
      </c>
      <c r="BI75" s="62">
        <f ca="1">AVERAGE(OFFSET($BH$3,0,0,'Données projet'!$E$11+1,1))-AVERAGE(OFFSET($H$3,0,0,'Données projet'!$E$11+1,1))</f>
        <v>243.51680047412441</v>
      </c>
      <c r="BJ75" s="62">
        <f t="shared" si="92"/>
        <v>224.00025638752402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269.79999999999984</v>
      </c>
      <c r="BZ75" s="14">
        <f>BY75*VLOOKUP('Données projet'!$B$12,Paramètres!$A$1:$I$89,3,0)*VLOOKUP('Données projet'!$B$12,Paramètres!$A$1:$I$89,5,0)</f>
        <v>197.81735999999987</v>
      </c>
      <c r="CA75" s="14">
        <f t="shared" si="93"/>
        <v>49.264183604058175</v>
      </c>
      <c r="CB75" s="22">
        <f t="shared" si="64"/>
        <v>430.33368844373439</v>
      </c>
      <c r="CC75" s="62">
        <f t="shared" si="65"/>
        <v>723.6670217770677</v>
      </c>
      <c r="CD75" s="62">
        <f ca="1">AVERAGE(OFFSET($CC$3,0,0,'Données projet'!$E$12+1,1))-AVERAGE(OFFSET($H$3,0,0,'Données projet'!$E$12+1,1))</f>
        <v>221.4629402571224</v>
      </c>
      <c r="CE75" s="62">
        <f t="shared" si="94"/>
        <v>204.26941562549416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5.2564102564102653</v>
      </c>
      <c r="CT75" s="13">
        <f>IF('Données projet'!$A$140&gt;35,CT74+CS75-DB74,IF(A75&lt;'Données projet'!$A$140,$CQ$205^A75,IF(A75='Données projet'!$A$140,'Données projet'!$B$140,CT74+CS75-DB74)))</f>
        <v>301.53846153846177</v>
      </c>
      <c r="CU75" s="18">
        <f>CT75*VLOOKUP('Données projet'!$B$13,Paramètres!$A$1:$I$89,3,0)*VLOOKUP('Données projet'!$B$13,Paramètres!$A$1:$I$89,5,0)</f>
        <v>315.16800000000029</v>
      </c>
      <c r="CV75" s="14">
        <f t="shared" si="95"/>
        <v>74.3470735278853</v>
      </c>
      <c r="CW75" s="22">
        <f t="shared" si="67"/>
        <v>678.40541972773406</v>
      </c>
      <c r="CX75" s="62">
        <f t="shared" si="68"/>
        <v>971.73875306106743</v>
      </c>
      <c r="CY75" s="62">
        <f ca="1">AVERAGE(OFFSET($CX$3,0,0,'Données projet'!$E$13+1,1))-AVERAGE(OFFSET($H$3,0,0,'Données projet'!$E$13+1,1))</f>
        <v>492.66134897013183</v>
      </c>
      <c r="CZ75" s="62">
        <f t="shared" si="96"/>
        <v>307.87428858945862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2">
        <f t="shared" si="55"/>
        <v>293.33333333333678</v>
      </c>
      <c r="S76" s="62">
        <f ca="1">AVERAGE(OFFSET($R$3,0,0,'Données projet'!$E$9+1,1))-AVERAGE(OFFSET($H$3,0,0,'Données projet'!$E$9+1,1))</f>
        <v>256.47911362806866</v>
      </c>
      <c r="T76" s="62">
        <f t="shared" si="88"/>
        <v>230.93438491511529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1.9042499753506876</v>
      </c>
      <c r="AA76" s="23">
        <f>EXP(-LN(2)/25)*AA75+(1-EXP(-LN(2)/25))/(LN(2)/25)*Calculateur!V76*Calculateur!X76*VLOOKUP('Données projet'!$B$9,Paramètres!$A$1:$I$89,3,0)*0.475*44/12</f>
        <v>2.5034572585686399</v>
      </c>
      <c r="AB76" s="23">
        <f>EXP(-LN(2)/2)*AB75+(1-EXP(-LN(2)/2))/(LN(2)/2)*V76*Y76*VLOOKUP('Données projet'!$B$9,Paramètres!$A$1:$I$89,3,0)*0.475*44/12</f>
        <v>2.0526550957031501E-6</v>
      </c>
      <c r="AC76" s="24">
        <f t="shared" si="57"/>
        <v>4.4077092865744234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3.8</v>
      </c>
      <c r="AI76" s="14">
        <f>IF('Données projet'!$A$62&gt;35,AI75+AH76-AQ75,IF(A76&lt;'Données projet'!$A$62,$AF$205^A76,IF(A76='Données projet'!$A$62,'Données projet'!$B$62,AI75+AH76-AQ75)))</f>
        <v>215.39999999999995</v>
      </c>
      <c r="AJ76" s="14">
        <f>AI76*VLOOKUP('Données projet'!$B$10,Paramètres!$A$1:$I$89,3,0)*VLOOKUP('Données projet'!$B$10,Paramètres!$A$1:$I$89,5,0)</f>
        <v>188.17343999999997</v>
      </c>
      <c r="AK76" s="14">
        <f t="shared" si="89"/>
        <v>47.135899614073118</v>
      </c>
      <c r="AL76" s="22">
        <f t="shared" si="58"/>
        <v>409.83043316117727</v>
      </c>
      <c r="AM76" s="62">
        <f t="shared" si="59"/>
        <v>703.16376649451058</v>
      </c>
      <c r="AN76" s="62">
        <f ca="1">AVERAGE(OFFSET($AM$3,0,0,'Données projet'!$E$10+1,1))-AVERAGE(OFFSET($H$3,0,0,'Données projet'!$E$10+1,1))</f>
        <v>255.68195973350799</v>
      </c>
      <c r="AO76" s="62">
        <f t="shared" si="90"/>
        <v>269.20928353552461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273.19999999999982</v>
      </c>
      <c r="BE76" s="14">
        <f>BD76*VLOOKUP('Données projet'!$B$11,Paramètres!$A$1:$I$89,3,0)*VLOOKUP('Données projet'!$B$11,Paramètres!$A$1:$I$89,5,0)</f>
        <v>217.35791999999987</v>
      </c>
      <c r="BF76" s="14">
        <f t="shared" si="91"/>
        <v>53.540239514043478</v>
      </c>
      <c r="BG76" s="22">
        <f t="shared" si="61"/>
        <v>471.81429448695877</v>
      </c>
      <c r="BH76" s="62">
        <f t="shared" si="62"/>
        <v>765.14762782029209</v>
      </c>
      <c r="BI76" s="62">
        <f ca="1">AVERAGE(OFFSET($BH$3,0,0,'Données projet'!$E$11+1,1))-AVERAGE(OFFSET($H$3,0,0,'Données projet'!$E$11+1,1))</f>
        <v>243.51680047412441</v>
      </c>
      <c r="BJ76" s="62">
        <f t="shared" si="92"/>
        <v>224.00025638752402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273.19999999999982</v>
      </c>
      <c r="BZ76" s="14">
        <f>BY76*VLOOKUP('Données projet'!$B$12,Paramètres!$A$1:$I$89,3,0)*VLOOKUP('Données projet'!$B$12,Paramètres!$A$1:$I$89,5,0)</f>
        <v>200.31023999999988</v>
      </c>
      <c r="CA76" s="14">
        <f t="shared" si="93"/>
        <v>49.812342935500233</v>
      </c>
      <c r="CB76" s="22">
        <f t="shared" si="64"/>
        <v>435.63016527932933</v>
      </c>
      <c r="CC76" s="62">
        <f t="shared" si="65"/>
        <v>728.96349861266265</v>
      </c>
      <c r="CD76" s="62">
        <f ca="1">AVERAGE(OFFSET($CC$3,0,0,'Données projet'!$E$12+1,1))-AVERAGE(OFFSET($H$3,0,0,'Données projet'!$E$12+1,1))</f>
        <v>221.4629402571224</v>
      </c>
      <c r="CE76" s="62">
        <f t="shared" si="94"/>
        <v>204.26941562549416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5.2564102564102653</v>
      </c>
      <c r="CT76" s="13">
        <f>IF('Données projet'!$A$140&gt;35,CT75+CS76-DB75,IF(A76&lt;'Données projet'!$A$140,$CQ$205^A76,IF(A76='Données projet'!$A$140,'Données projet'!$B$140,CT75+CS76-DB75)))</f>
        <v>306.79487179487205</v>
      </c>
      <c r="CU76" s="18">
        <f>CT76*VLOOKUP('Données projet'!$B$13,Paramètres!$A$1:$I$89,3,0)*VLOOKUP('Données projet'!$B$13,Paramètres!$A$1:$I$89,5,0)</f>
        <v>320.66200000000026</v>
      </c>
      <c r="CV76" s="14">
        <f t="shared" si="95"/>
        <v>75.491079065721337</v>
      </c>
      <c r="CW76" s="22">
        <f t="shared" si="67"/>
        <v>689.96661270613185</v>
      </c>
      <c r="CX76" s="62">
        <f t="shared" si="68"/>
        <v>983.29994603946511</v>
      </c>
      <c r="CY76" s="62">
        <f ca="1">AVERAGE(OFFSET($CX$3,0,0,'Données projet'!$E$13+1,1))-AVERAGE(OFFSET($H$3,0,0,'Données projet'!$E$13+1,1))</f>
        <v>492.66134897013183</v>
      </c>
      <c r="CZ76" s="62">
        <f t="shared" si="96"/>
        <v>307.87428858945862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2">
        <f t="shared" si="55"/>
        <v>293.33333333333678</v>
      </c>
      <c r="S77" s="62">
        <f ca="1">AVERAGE(OFFSET($R$3,0,0,'Données projet'!$E$9+1,1))-AVERAGE(OFFSET($H$3,0,0,'Données projet'!$E$9+1,1))</f>
        <v>256.47911362806866</v>
      </c>
      <c r="T77" s="62">
        <f t="shared" si="88"/>
        <v>230.93438491511529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1.8669087948118592</v>
      </c>
      <c r="AA77" s="23">
        <f>EXP(-LN(2)/25)*AA76+(1-EXP(-LN(2)/25))/(LN(2)/25)*Calculateur!V77*Calculateur!X77*VLOOKUP('Données projet'!$B$9,Paramètres!$A$1:$I$89,3,0)*0.475*44/12</f>
        <v>2.4350000881819849</v>
      </c>
      <c r="AB77" s="23">
        <f>EXP(-LN(2)/2)*AB76+(1-EXP(-LN(2)/2))/(LN(2)/2)*V77*Y77*VLOOKUP('Données projet'!$B$9,Paramètres!$A$1:$I$89,3,0)*0.475*44/12</f>
        <v>1.4514463376088192E-6</v>
      </c>
      <c r="AC77" s="24">
        <f t="shared" si="57"/>
        <v>4.3019103344401817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3.8</v>
      </c>
      <c r="AI77" s="14">
        <f>IF('Données projet'!$A$62&gt;35,AI76+AH77-AQ76,IF(A77&lt;'Données projet'!$A$62,$AF$205^A77,IF(A77='Données projet'!$A$62,'Données projet'!$B$62,AI76+AH77-AQ76)))</f>
        <v>219.19999999999996</v>
      </c>
      <c r="AJ77" s="14">
        <f>AI77*VLOOKUP('Données projet'!$B$10,Paramètres!$A$1:$I$89,3,0)*VLOOKUP('Données projet'!$B$10,Paramètres!$A$1:$I$89,5,0)</f>
        <v>191.49312</v>
      </c>
      <c r="AK77" s="14">
        <f t="shared" si="89"/>
        <v>47.86990994320918</v>
      </c>
      <c r="AL77" s="22">
        <f t="shared" si="58"/>
        <v>416.89061048442267</v>
      </c>
      <c r="AM77" s="62">
        <f t="shared" si="59"/>
        <v>710.22394381775598</v>
      </c>
      <c r="AN77" s="62">
        <f ca="1">AVERAGE(OFFSET($AM$3,0,0,'Données projet'!$E$10+1,1))-AVERAGE(OFFSET($H$3,0,0,'Données projet'!$E$10+1,1))</f>
        <v>255.68195973350799</v>
      </c>
      <c r="AO77" s="62">
        <f t="shared" si="90"/>
        <v>269.20928353552461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276.5999999999998</v>
      </c>
      <c r="BE77" s="14">
        <f>BD77*VLOOKUP('Données projet'!$B$11,Paramètres!$A$1:$I$89,3,0)*VLOOKUP('Données projet'!$B$11,Paramètres!$A$1:$I$89,5,0)</f>
        <v>220.06295999999983</v>
      </c>
      <c r="BF77" s="14">
        <f t="shared" si="91"/>
        <v>54.128569537628628</v>
      </c>
      <c r="BG77" s="22">
        <f t="shared" si="61"/>
        <v>477.5502472780363</v>
      </c>
      <c r="BH77" s="62">
        <f t="shared" si="62"/>
        <v>770.88358061136955</v>
      </c>
      <c r="BI77" s="62">
        <f ca="1">AVERAGE(OFFSET($BH$3,0,0,'Données projet'!$E$11+1,1))-AVERAGE(OFFSET($H$3,0,0,'Données projet'!$E$11+1,1))</f>
        <v>243.51680047412441</v>
      </c>
      <c r="BJ77" s="62">
        <f t="shared" si="92"/>
        <v>224.00025638752402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276.5999999999998</v>
      </c>
      <c r="BZ77" s="14">
        <f>BY77*VLOOKUP('Données projet'!$B$12,Paramètres!$A$1:$I$89,3,0)*VLOOKUP('Données projet'!$B$12,Paramètres!$A$1:$I$89,5,0)</f>
        <v>202.80311999999984</v>
      </c>
      <c r="CA77" s="14">
        <f t="shared" si="93"/>
        <v>50.359708751568157</v>
      </c>
      <c r="CB77" s="22">
        <f t="shared" si="64"/>
        <v>440.92526007564749</v>
      </c>
      <c r="CC77" s="62">
        <f t="shared" si="65"/>
        <v>734.2585934089808</v>
      </c>
      <c r="CD77" s="62">
        <f ca="1">AVERAGE(OFFSET($CC$3,0,0,'Données projet'!$E$12+1,1))-AVERAGE(OFFSET($H$3,0,0,'Données projet'!$E$12+1,1))</f>
        <v>221.4629402571224</v>
      </c>
      <c r="CE77" s="62">
        <f t="shared" si="94"/>
        <v>204.26941562549416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5.2564102564102653</v>
      </c>
      <c r="CT77" s="13">
        <f>IF('Données projet'!$A$140&gt;35,CT76+CS77-DB76,IF(A77&lt;'Données projet'!$A$140,$CQ$205^A77,IF(A77='Données projet'!$A$140,'Données projet'!$B$140,CT76+CS77-DB76)))</f>
        <v>312.05128205128233</v>
      </c>
      <c r="CU77" s="18">
        <f>CT77*VLOOKUP('Données projet'!$B$13,Paramètres!$A$1:$I$89,3,0)*VLOOKUP('Données projet'!$B$13,Paramètres!$A$1:$I$89,5,0)</f>
        <v>326.15600000000029</v>
      </c>
      <c r="CV77" s="14">
        <f t="shared" si="95"/>
        <v>76.632805249759059</v>
      </c>
      <c r="CW77" s="22">
        <f t="shared" si="67"/>
        <v>701.52383580999742</v>
      </c>
      <c r="CX77" s="62">
        <f t="shared" si="68"/>
        <v>994.85716914333079</v>
      </c>
      <c r="CY77" s="62">
        <f ca="1">AVERAGE(OFFSET($CX$3,0,0,'Données projet'!$E$13+1,1))-AVERAGE(OFFSET($H$3,0,0,'Données projet'!$E$13+1,1))</f>
        <v>492.66134897013183</v>
      </c>
      <c r="CZ77" s="62">
        <f t="shared" si="96"/>
        <v>307.87428858945862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2">
        <f t="shared" si="55"/>
        <v>293.33333333333678</v>
      </c>
      <c r="S78" s="62">
        <f ca="1">AVERAGE(OFFSET($R$3,0,0,'Données projet'!$E$9+1,1))-AVERAGE(OFFSET($H$3,0,0,'Données projet'!$E$9+1,1))</f>
        <v>256.47911362806866</v>
      </c>
      <c r="T78" s="62">
        <f t="shared" si="88"/>
        <v>230.93438491511529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1.830299852047526</v>
      </c>
      <c r="AA78" s="23">
        <f>EXP(-LN(2)/25)*AA77+(1-EXP(-LN(2)/25))/(LN(2)/25)*Calculateur!V78*Calculateur!X78*VLOOKUP('Données projet'!$B$9,Paramètres!$A$1:$I$89,3,0)*0.475*44/12</f>
        <v>2.3684148827195592</v>
      </c>
      <c r="AB78" s="23">
        <f>EXP(-LN(2)/2)*AB77+(1-EXP(-LN(2)/2))/(LN(2)/2)*V78*Y78*VLOOKUP('Données projet'!$B$9,Paramètres!$A$1:$I$89,3,0)*0.475*44/12</f>
        <v>1.0263275478515751E-6</v>
      </c>
      <c r="AC78" s="24">
        <f t="shared" si="57"/>
        <v>4.1987157610946335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223</v>
      </c>
      <c r="AG78" s="13">
        <f>VLOOKUP(A78,'Données projet'!$A$61:$I$81,9,0)</f>
        <v>3.8</v>
      </c>
      <c r="AH78" s="13">
        <f t="array" ref="AH78">INDEX(AG:AG,MIN(IF(ISNUMBER(AG78:AG274),ROW(AG78:AG274),"")))</f>
        <v>3.8</v>
      </c>
      <c r="AI78" s="14">
        <f>IF('Données projet'!$A$62&gt;35,AI77+AH78-AQ77,IF(A78&lt;'Données projet'!$A$62,$AF$205^A78,IF(A78='Données projet'!$A$62,'Données projet'!$B$62,AI77+AH78-AQ77)))</f>
        <v>222.99999999999997</v>
      </c>
      <c r="AJ78" s="14">
        <f>AI78*VLOOKUP('Données projet'!$B$10,Paramètres!$A$1:$I$89,3,0)*VLOOKUP('Données projet'!$B$10,Paramètres!$A$1:$I$89,5,0)</f>
        <v>194.81280000000001</v>
      </c>
      <c r="AK78" s="14">
        <f t="shared" si="89"/>
        <v>48.602440540253859</v>
      </c>
      <c r="AL78" s="22">
        <f t="shared" si="58"/>
        <v>423.94821060760881</v>
      </c>
      <c r="AM78" s="62">
        <f t="shared" si="59"/>
        <v>717.28154394094213</v>
      </c>
      <c r="AN78" s="62">
        <f ca="1">AVERAGE(OFFSET($AM$3,0,0,'Données projet'!$E$10+1,1))-AVERAGE(OFFSET($H$3,0,0,'Données projet'!$E$10+1,1))</f>
        <v>255.68195973350799</v>
      </c>
      <c r="AO78" s="62">
        <f t="shared" si="90"/>
        <v>269.20928353552461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280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279.99999999999977</v>
      </c>
      <c r="BE78" s="14">
        <f>BD78*VLOOKUP('Données projet'!$B$11,Paramètres!$A$1:$I$89,3,0)*VLOOKUP('Données projet'!$B$11,Paramètres!$A$1:$I$89,5,0)</f>
        <v>222.76799999999986</v>
      </c>
      <c r="BF78" s="14">
        <f t="shared" si="91"/>
        <v>54.716058356609459</v>
      </c>
      <c r="BG78" s="22">
        <f t="shared" si="61"/>
        <v>483.28473497109445</v>
      </c>
      <c r="BH78" s="62">
        <f t="shared" si="62"/>
        <v>776.61806830442777</v>
      </c>
      <c r="BI78" s="62">
        <f ca="1">AVERAGE(OFFSET($BH$3,0,0,'Données projet'!$E$11+1,1))-AVERAGE(OFFSET($H$3,0,0,'Données projet'!$E$11+1,1))</f>
        <v>243.51680047412441</v>
      </c>
      <c r="BJ78" s="62">
        <f t="shared" si="92"/>
        <v>224.00025638752402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280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279.99999999999977</v>
      </c>
      <c r="BZ78" s="14">
        <f>BY78*VLOOKUP('Données projet'!$B$12,Paramètres!$A$1:$I$89,3,0)*VLOOKUP('Données projet'!$B$12,Paramètres!$A$1:$I$89,5,0)</f>
        <v>205.29599999999982</v>
      </c>
      <c r="CA78" s="14">
        <f t="shared" si="93"/>
        <v>50.906291934375353</v>
      </c>
      <c r="CB78" s="22">
        <f t="shared" si="64"/>
        <v>446.21899178570339</v>
      </c>
      <c r="CC78" s="62">
        <f t="shared" si="65"/>
        <v>739.55232511903671</v>
      </c>
      <c r="CD78" s="62">
        <f ca="1">AVERAGE(OFFSET($CC$3,0,0,'Données projet'!$E$12+1,1))-AVERAGE(OFFSET($H$3,0,0,'Données projet'!$E$12+1,1))</f>
        <v>221.4629402571224</v>
      </c>
      <c r="CE78" s="62">
        <f t="shared" si="94"/>
        <v>204.26941562549416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317.30769230769232</v>
      </c>
      <c r="CR78" s="13">
        <f>VLOOKUP(A78,'Données projet'!$A$139:$I$159,9,0)</f>
        <v>5.2564102564102653</v>
      </c>
      <c r="CS78" s="13">
        <f t="array" ref="CS78">INDEX(CR:CR,MIN(IF(ISNUMBER(CR78:CR274),ROW(CR78:CR274),"")))</f>
        <v>5.2564102564102653</v>
      </c>
      <c r="CT78" s="13">
        <f>IF('Données projet'!$A$140&gt;35,CT77+CS78-DB77,IF(A78&lt;'Données projet'!$A$140,$CQ$205^A78,IF(A78='Données projet'!$A$140,'Données projet'!$B$140,CT77+CS78-DB77)))</f>
        <v>317.30769230769261</v>
      </c>
      <c r="CU78" s="18">
        <f>CT78*VLOOKUP('Données projet'!$B$13,Paramètres!$A$1:$I$89,3,0)*VLOOKUP('Données projet'!$B$13,Paramètres!$A$1:$I$89,5,0)</f>
        <v>331.65000000000038</v>
      </c>
      <c r="CV78" s="14">
        <f t="shared" si="95"/>
        <v>77.772294906297716</v>
      </c>
      <c r="CW78" s="22">
        <f t="shared" si="67"/>
        <v>713.07716362846907</v>
      </c>
      <c r="CX78" s="62">
        <f t="shared" si="68"/>
        <v>1006.4104969618024</v>
      </c>
      <c r="CY78" s="62">
        <f ca="1">AVERAGE(OFFSET($CX$3,0,0,'Données projet'!$E$13+1,1))-AVERAGE(OFFSET($H$3,0,0,'Données projet'!$E$13+1,1))</f>
        <v>492.66134897013183</v>
      </c>
      <c r="CZ78" s="62">
        <f t="shared" si="96"/>
        <v>307.87428858945862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2">
        <f t="shared" si="55"/>
        <v>293.33333333333678</v>
      </c>
      <c r="S79" s="62">
        <f ca="1">AVERAGE(OFFSET($R$3,0,0,'Données projet'!$E$9+1,1))-AVERAGE(OFFSET($H$3,0,0,'Données projet'!$E$9+1,1))</f>
        <v>256.47911362806866</v>
      </c>
      <c r="T79" s="62">
        <f t="shared" si="88"/>
        <v>230.93438491511529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1.7944087883215512</v>
      </c>
      <c r="AA79" s="23">
        <f>EXP(-LN(2)/25)*AA78+(1-EXP(-LN(2)/25))/(LN(2)/25)*Calculateur!V79*Calculateur!X79*VLOOKUP('Données projet'!$B$9,Paramètres!$A$1:$I$89,3,0)*0.475*44/12</f>
        <v>2.3036504532020672</v>
      </c>
      <c r="AB79" s="23">
        <f>EXP(-LN(2)/2)*AB78+(1-EXP(-LN(2)/2))/(LN(2)/2)*V79*Y79*VLOOKUP('Données projet'!$B$9,Paramètres!$A$1:$I$89,3,0)*0.475*44/12</f>
        <v>7.2572316880440958E-7</v>
      </c>
      <c r="AC79" s="24">
        <f t="shared" si="57"/>
        <v>4.0980599672467868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226.59999999999997</v>
      </c>
      <c r="AJ79" s="14">
        <f>AI79*VLOOKUP('Données projet'!$B$10,Paramètres!$A$1:$I$89,3,0)*VLOOKUP('Données projet'!$B$10,Paramètres!$A$1:$I$89,5,0)</f>
        <v>197.95775999999998</v>
      </c>
      <c r="AK79" s="14">
        <f t="shared" si="89"/>
        <v>49.295077435194607</v>
      </c>
      <c r="AL79" s="22">
        <f t="shared" si="58"/>
        <v>430.63202519963056</v>
      </c>
      <c r="AM79" s="62">
        <f t="shared" si="59"/>
        <v>723.96535853296382</v>
      </c>
      <c r="AN79" s="62">
        <f ca="1">AVERAGE(OFFSET($AM$3,0,0,'Données projet'!$E$10+1,1))-AVERAGE(OFFSET($H$3,0,0,'Données projet'!$E$10+1,1))</f>
        <v>255.68195973350799</v>
      </c>
      <c r="AO79" s="62">
        <f t="shared" si="90"/>
        <v>269.20928353552461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282.99999999999977</v>
      </c>
      <c r="BE79" s="14">
        <f>BD79*VLOOKUP('Données projet'!$B$11,Paramètres!$A$1:$I$89,3,0)*VLOOKUP('Données projet'!$B$11,Paramètres!$A$1:$I$89,5,0)</f>
        <v>225.15479999999985</v>
      </c>
      <c r="BF79" s="14">
        <f t="shared" si="91"/>
        <v>55.233741365341096</v>
      </c>
      <c r="BG79" s="22">
        <f t="shared" si="61"/>
        <v>488.34337621130203</v>
      </c>
      <c r="BH79" s="62">
        <f t="shared" si="62"/>
        <v>781.67670954463529</v>
      </c>
      <c r="BI79" s="62">
        <f ca="1">AVERAGE(OFFSET($BH$3,0,0,'Données projet'!$E$11+1,1))-AVERAGE(OFFSET($H$3,0,0,'Données projet'!$E$11+1,1))</f>
        <v>243.51680047412441</v>
      </c>
      <c r="BJ79" s="62">
        <f t="shared" si="92"/>
        <v>224.00025638752402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282.99999999999977</v>
      </c>
      <c r="BZ79" s="14">
        <f>BY79*VLOOKUP('Données projet'!$B$12,Paramètres!$A$1:$I$89,3,0)*VLOOKUP('Données projet'!$B$12,Paramètres!$A$1:$I$89,5,0)</f>
        <v>207.49559999999983</v>
      </c>
      <c r="CA79" s="14">
        <f t="shared" si="93"/>
        <v>51.387929741693263</v>
      </c>
      <c r="CB79" s="22">
        <f t="shared" si="64"/>
        <v>450.88881430011548</v>
      </c>
      <c r="CC79" s="62">
        <f t="shared" si="65"/>
        <v>744.2221476334488</v>
      </c>
      <c r="CD79" s="62">
        <f ca="1">AVERAGE(OFFSET($CC$3,0,0,'Données projet'!$E$12+1,1))-AVERAGE(OFFSET($H$3,0,0,'Données projet'!$E$12+1,1))</f>
        <v>221.4629402571224</v>
      </c>
      <c r="CE79" s="62">
        <f t="shared" si="94"/>
        <v>204.26941562549416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</v>
      </c>
      <c r="CT79" s="13">
        <f>IF('Données projet'!$A$140&gt;35,CT78+CS79-DB78,IF(A79&lt;'Données projet'!$A$140,$CQ$205^A79,IF(A79='Données projet'!$A$140,'Données projet'!$B$140,CT78+CS79-DB78)))</f>
        <v>322.30769230769261</v>
      </c>
      <c r="CU79" s="18">
        <f>CT79*VLOOKUP('Données projet'!$B$13,Paramètres!$A$1:$I$89,3,0)*VLOOKUP('Données projet'!$B$13,Paramètres!$A$1:$I$89,5,0)</f>
        <v>336.87600000000037</v>
      </c>
      <c r="CV79" s="14">
        <f t="shared" si="95"/>
        <v>78.854161905252099</v>
      </c>
      <c r="CW79" s="22">
        <f t="shared" si="67"/>
        <v>724.0633653183146</v>
      </c>
      <c r="CX79" s="62">
        <f t="shared" si="68"/>
        <v>1017.396698651648</v>
      </c>
      <c r="CY79" s="62">
        <f ca="1">AVERAGE(OFFSET($CX$3,0,0,'Données projet'!$E$13+1,1))-AVERAGE(OFFSET($H$3,0,0,'Données projet'!$E$13+1,1))</f>
        <v>492.66134897013183</v>
      </c>
      <c r="CZ79" s="62">
        <f t="shared" si="96"/>
        <v>307.87428858945862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2">
        <f t="shared" si="55"/>
        <v>293.33333333333678</v>
      </c>
      <c r="S80" s="62">
        <f ca="1">AVERAGE(OFFSET($R$3,0,0,'Données projet'!$E$9+1,1))-AVERAGE(OFFSET($H$3,0,0,'Données projet'!$E$9+1,1))</f>
        <v>256.47911362806866</v>
      </c>
      <c r="T80" s="62">
        <f t="shared" si="88"/>
        <v>230.93438491511529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1.7592215264638553</v>
      </c>
      <c r="AA80" s="23">
        <f>EXP(-LN(2)/25)*AA79+(1-EXP(-LN(2)/25))/(LN(2)/25)*Calculateur!V80*Calculateur!X80*VLOOKUP('Données projet'!$B$9,Paramètres!$A$1:$I$89,3,0)*0.475*44/12</f>
        <v>2.2406570104155445</v>
      </c>
      <c r="AB80" s="23">
        <f>EXP(-LN(2)/2)*AB79+(1-EXP(-LN(2)/2))/(LN(2)/2)*V80*Y80*VLOOKUP('Données projet'!$B$9,Paramètres!$A$1:$I$89,3,0)*0.475*44/12</f>
        <v>5.1316377392578753E-7</v>
      </c>
      <c r="AC80" s="24">
        <f t="shared" si="57"/>
        <v>3.999879050043174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230.19999999999996</v>
      </c>
      <c r="AJ80" s="14">
        <f>AI80*VLOOKUP('Données projet'!$B$10,Paramètres!$A$1:$I$89,3,0)*VLOOKUP('Données projet'!$B$10,Paramètres!$A$1:$I$89,5,0)</f>
        <v>201.10271999999998</v>
      </c>
      <c r="AK80" s="14">
        <f t="shared" si="89"/>
        <v>49.986434598176757</v>
      </c>
      <c r="AL80" s="22">
        <f t="shared" si="58"/>
        <v>437.31361092515778</v>
      </c>
      <c r="AM80" s="62">
        <f t="shared" si="59"/>
        <v>730.64694425849109</v>
      </c>
      <c r="AN80" s="62">
        <f ca="1">AVERAGE(OFFSET($AM$3,0,0,'Données projet'!$E$10+1,1))-AVERAGE(OFFSET($H$3,0,0,'Données projet'!$E$10+1,1))</f>
        <v>255.68195973350799</v>
      </c>
      <c r="AO80" s="62">
        <f t="shared" si="90"/>
        <v>269.20928353552461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285.99999999999977</v>
      </c>
      <c r="BE80" s="14">
        <f>BD80*VLOOKUP('Données projet'!$B$11,Paramètres!$A$1:$I$89,3,0)*VLOOKUP('Données projet'!$B$11,Paramètres!$A$1:$I$89,5,0)</f>
        <v>227.54159999999985</v>
      </c>
      <c r="BF80" s="14">
        <f t="shared" si="91"/>
        <v>55.750785974779468</v>
      </c>
      <c r="BG80" s="22">
        <f t="shared" si="61"/>
        <v>493.40090557274067</v>
      </c>
      <c r="BH80" s="62">
        <f t="shared" si="62"/>
        <v>786.73423890607398</v>
      </c>
      <c r="BI80" s="62">
        <f ca="1">AVERAGE(OFFSET($BH$3,0,0,'Données projet'!$E$11+1,1))-AVERAGE(OFFSET($H$3,0,0,'Données projet'!$E$11+1,1))</f>
        <v>243.51680047412441</v>
      </c>
      <c r="BJ80" s="62">
        <f t="shared" si="92"/>
        <v>224.00025638752402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285.99999999999977</v>
      </c>
      <c r="BZ80" s="14">
        <f>BY80*VLOOKUP('Données projet'!$B$12,Paramètres!$A$1:$I$89,3,0)*VLOOKUP('Données projet'!$B$12,Paramètres!$A$1:$I$89,5,0)</f>
        <v>209.6951999999998</v>
      </c>
      <c r="CA80" s="14">
        <f t="shared" si="93"/>
        <v>51.868973600145566</v>
      </c>
      <c r="CB80" s="22">
        <f t="shared" si="64"/>
        <v>455.55760235358645</v>
      </c>
      <c r="CC80" s="62">
        <f t="shared" si="65"/>
        <v>748.89093568691976</v>
      </c>
      <c r="CD80" s="62">
        <f ca="1">AVERAGE(OFFSET($CC$3,0,0,'Données projet'!$E$12+1,1))-AVERAGE(OFFSET($H$3,0,0,'Données projet'!$E$12+1,1))</f>
        <v>221.4629402571224</v>
      </c>
      <c r="CE80" s="62">
        <f t="shared" si="94"/>
        <v>204.26941562549416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</v>
      </c>
      <c r="CT80" s="13">
        <f>IF('Données projet'!$A$140&gt;35,CT79+CS80-DB79,IF(A80&lt;'Données projet'!$A$140,$CQ$205^A80,IF(A80='Données projet'!$A$140,'Données projet'!$B$140,CT79+CS80-DB79)))</f>
        <v>327.30769230769261</v>
      </c>
      <c r="CU80" s="18">
        <f>CT80*VLOOKUP('Données projet'!$B$13,Paramètres!$A$1:$I$89,3,0)*VLOOKUP('Données projet'!$B$13,Paramètres!$A$1:$I$89,5,0)</f>
        <v>342.10200000000032</v>
      </c>
      <c r="CV80" s="14">
        <f t="shared" si="95"/>
        <v>79.934077026716892</v>
      </c>
      <c r="CW80" s="22">
        <f t="shared" si="67"/>
        <v>735.04616748819899</v>
      </c>
      <c r="CX80" s="62">
        <f t="shared" si="68"/>
        <v>1028.3795008215322</v>
      </c>
      <c r="CY80" s="62">
        <f ca="1">AVERAGE(OFFSET($CX$3,0,0,'Données projet'!$E$13+1,1))-AVERAGE(OFFSET($H$3,0,0,'Données projet'!$E$13+1,1))</f>
        <v>492.66134897013183</v>
      </c>
      <c r="CZ80" s="62">
        <f t="shared" si="96"/>
        <v>307.87428858945862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2">
        <f t="shared" si="55"/>
        <v>293.33333333333678</v>
      </c>
      <c r="S81" s="62">
        <f ca="1">AVERAGE(OFFSET($R$3,0,0,'Données projet'!$E$9+1,1))-AVERAGE(OFFSET($H$3,0,0,'Données projet'!$E$9+1,1))</f>
        <v>256.47911362806866</v>
      </c>
      <c r="T81" s="62">
        <f t="shared" si="88"/>
        <v>230.93438491511529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1.7247242653490784</v>
      </c>
      <c r="AA81" s="23">
        <f>EXP(-LN(2)/25)*AA80+(1-EXP(-LN(2)/25))/(LN(2)/25)*Calculateur!V81*Calculateur!X81*VLOOKUP('Données projet'!$B$9,Paramètres!$A$1:$I$89,3,0)*0.475*44/12</f>
        <v>2.1793861266347005</v>
      </c>
      <c r="AB81" s="23">
        <f>EXP(-LN(2)/2)*AB80+(1-EXP(-LN(2)/2))/(LN(2)/2)*V81*Y81*VLOOKUP('Données projet'!$B$9,Paramètres!$A$1:$I$89,3,0)*0.475*44/12</f>
        <v>3.6286158440220479E-7</v>
      </c>
      <c r="AC81" s="24">
        <f t="shared" si="57"/>
        <v>3.9041107548453633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233.79999999999995</v>
      </c>
      <c r="AJ81" s="14">
        <f>AI81*VLOOKUP('Données projet'!$B$10,Paramètres!$A$1:$I$89,3,0)*VLOOKUP('Données projet'!$B$10,Paramètres!$A$1:$I$89,5,0)</f>
        <v>204.24768</v>
      </c>
      <c r="AK81" s="14">
        <f t="shared" si="89"/>
        <v>50.676534353429041</v>
      </c>
      <c r="AL81" s="22">
        <f t="shared" si="58"/>
        <v>443.99300666555558</v>
      </c>
      <c r="AM81" s="62">
        <f t="shared" si="59"/>
        <v>737.3263399988889</v>
      </c>
      <c r="AN81" s="62">
        <f ca="1">AVERAGE(OFFSET($AM$3,0,0,'Données projet'!$E$10+1,1))-AVERAGE(OFFSET($H$3,0,0,'Données projet'!$E$10+1,1))</f>
        <v>255.68195973350799</v>
      </c>
      <c r="AO81" s="62">
        <f t="shared" si="90"/>
        <v>269.20928353552461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288.99999999999977</v>
      </c>
      <c r="BE81" s="14">
        <f>BD81*VLOOKUP('Données projet'!$B$11,Paramètres!$A$1:$I$89,3,0)*VLOOKUP('Données projet'!$B$11,Paramètres!$A$1:$I$89,5,0)</f>
        <v>229.92839999999981</v>
      </c>
      <c r="BF81" s="14">
        <f t="shared" si="91"/>
        <v>56.267199656605996</v>
      </c>
      <c r="BG81" s="22">
        <f t="shared" si="61"/>
        <v>498.45733606858835</v>
      </c>
      <c r="BH81" s="62">
        <f t="shared" si="62"/>
        <v>791.7906694019216</v>
      </c>
      <c r="BI81" s="62">
        <f ca="1">AVERAGE(OFFSET($BH$3,0,0,'Données projet'!$E$11+1,1))-AVERAGE(OFFSET($H$3,0,0,'Données projet'!$E$11+1,1))</f>
        <v>243.51680047412441</v>
      </c>
      <c r="BJ81" s="62">
        <f t="shared" si="92"/>
        <v>224.00025638752402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288.99999999999977</v>
      </c>
      <c r="BZ81" s="14">
        <f>BY81*VLOOKUP('Données projet'!$B$12,Paramètres!$A$1:$I$89,3,0)*VLOOKUP('Données projet'!$B$12,Paramètres!$A$1:$I$89,5,0)</f>
        <v>211.89479999999986</v>
      </c>
      <c r="CA81" s="14">
        <f t="shared" si="93"/>
        <v>52.349430461175899</v>
      </c>
      <c r="CB81" s="22">
        <f t="shared" si="64"/>
        <v>460.22536805321442</v>
      </c>
      <c r="CC81" s="62">
        <f t="shared" si="65"/>
        <v>753.55870138654768</v>
      </c>
      <c r="CD81" s="62">
        <f ca="1">AVERAGE(OFFSET($CC$3,0,0,'Données projet'!$E$12+1,1))-AVERAGE(OFFSET($H$3,0,0,'Données projet'!$E$12+1,1))</f>
        <v>221.4629402571224</v>
      </c>
      <c r="CE81" s="62">
        <f t="shared" si="94"/>
        <v>204.26941562549416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</v>
      </c>
      <c r="CT81" s="13">
        <f>IF('Données projet'!$A$140&gt;35,CT80+CS81-DB80,IF(A81&lt;'Données projet'!$A$140,$CQ$205^A81,IF(A81='Données projet'!$A$140,'Données projet'!$B$140,CT80+CS81-DB80)))</f>
        <v>332.30769230769261</v>
      </c>
      <c r="CU81" s="18">
        <f>CT81*VLOOKUP('Données projet'!$B$13,Paramètres!$A$1:$I$89,3,0)*VLOOKUP('Données projet'!$B$13,Paramètres!$A$1:$I$89,5,0)</f>
        <v>347.32800000000032</v>
      </c>
      <c r="CV81" s="14">
        <f t="shared" si="95"/>
        <v>81.012073531602553</v>
      </c>
      <c r="CW81" s="22">
        <f t="shared" si="67"/>
        <v>746.02562806754156</v>
      </c>
      <c r="CX81" s="62">
        <f t="shared" si="68"/>
        <v>1039.3589614008749</v>
      </c>
      <c r="CY81" s="62">
        <f ca="1">AVERAGE(OFFSET($CX$3,0,0,'Données projet'!$E$13+1,1))-AVERAGE(OFFSET($H$3,0,0,'Données projet'!$E$13+1,1))</f>
        <v>492.66134897013183</v>
      </c>
      <c r="CZ81" s="62">
        <f t="shared" si="96"/>
        <v>307.87428858945862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2">
        <f t="shared" si="55"/>
        <v>293.33333333333678</v>
      </c>
      <c r="S82" s="62">
        <f ca="1">AVERAGE(OFFSET($R$3,0,0,'Données projet'!$E$9+1,1))-AVERAGE(OFFSET($H$3,0,0,'Données projet'!$E$9+1,1))</f>
        <v>256.47911362806866</v>
      </c>
      <c r="T82" s="62">
        <f t="shared" si="88"/>
        <v>230.93438491511529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1.6909034744835107</v>
      </c>
      <c r="AA82" s="23">
        <f>EXP(-LN(2)/25)*AA81+(1-EXP(-LN(2)/25))/(LN(2)/25)*Calculateur!V82*Calculateur!X82*VLOOKUP('Données projet'!$B$9,Paramètres!$A$1:$I$89,3,0)*0.475*44/12</f>
        <v>2.1197906983929391</v>
      </c>
      <c r="AB82" s="23">
        <f>EXP(-LN(2)/2)*AB81+(1-EXP(-LN(2)/2))/(LN(2)/2)*V82*Y82*VLOOKUP('Données projet'!$B$9,Paramètres!$A$1:$I$89,3,0)*0.475*44/12</f>
        <v>2.5658188696289376E-7</v>
      </c>
      <c r="AC82" s="24">
        <f t="shared" si="57"/>
        <v>3.8106944294583367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237.39999999999995</v>
      </c>
      <c r="AJ82" s="14">
        <f>AI82*VLOOKUP('Données projet'!$B$10,Paramètres!$A$1:$I$89,3,0)*VLOOKUP('Données projet'!$B$10,Paramètres!$A$1:$I$89,5,0)</f>
        <v>207.39264</v>
      </c>
      <c r="AK82" s="14">
        <f t="shared" si="89"/>
        <v>51.365398298247158</v>
      </c>
      <c r="AL82" s="22">
        <f t="shared" si="58"/>
        <v>450.67025003611371</v>
      </c>
      <c r="AM82" s="62">
        <f t="shared" si="59"/>
        <v>744.00358336944703</v>
      </c>
      <c r="AN82" s="62">
        <f ca="1">AVERAGE(OFFSET($AM$3,0,0,'Données projet'!$E$10+1,1))-AVERAGE(OFFSET($H$3,0,0,'Données projet'!$E$10+1,1))</f>
        <v>255.68195973350799</v>
      </c>
      <c r="AO82" s="62">
        <f t="shared" si="90"/>
        <v>269.20928353552461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291.99999999999977</v>
      </c>
      <c r="BE82" s="14">
        <f>BD82*VLOOKUP('Données projet'!$B$11,Paramètres!$A$1:$I$89,3,0)*VLOOKUP('Données projet'!$B$11,Paramètres!$A$1:$I$89,5,0)</f>
        <v>232.31519999999981</v>
      </c>
      <c r="BF82" s="14">
        <f t="shared" si="91"/>
        <v>56.782989718443105</v>
      </c>
      <c r="BG82" s="22">
        <f t="shared" si="61"/>
        <v>503.512680426288</v>
      </c>
      <c r="BH82" s="62">
        <f t="shared" si="62"/>
        <v>796.84601375962131</v>
      </c>
      <c r="BI82" s="62">
        <f ca="1">AVERAGE(OFFSET($BH$3,0,0,'Données projet'!$E$11+1,1))-AVERAGE(OFFSET($H$3,0,0,'Données projet'!$E$11+1,1))</f>
        <v>243.51680047412441</v>
      </c>
      <c r="BJ82" s="62">
        <f t="shared" si="92"/>
        <v>224.00025638752402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291.99999999999977</v>
      </c>
      <c r="BZ82" s="14">
        <f>BY82*VLOOKUP('Données projet'!$B$12,Paramètres!$A$1:$I$89,3,0)*VLOOKUP('Données projet'!$B$12,Paramètres!$A$1:$I$89,5,0)</f>
        <v>214.09439999999984</v>
      </c>
      <c r="CA82" s="14">
        <f t="shared" si="93"/>
        <v>52.829307123591867</v>
      </c>
      <c r="CB82" s="22">
        <f t="shared" si="64"/>
        <v>464.89212324025556</v>
      </c>
      <c r="CC82" s="62">
        <f t="shared" si="65"/>
        <v>758.22545657358887</v>
      </c>
      <c r="CD82" s="62">
        <f ca="1">AVERAGE(OFFSET($CC$3,0,0,'Données projet'!$E$12+1,1))-AVERAGE(OFFSET($H$3,0,0,'Données projet'!$E$12+1,1))</f>
        <v>221.4629402571224</v>
      </c>
      <c r="CE82" s="62">
        <f t="shared" si="94"/>
        <v>204.26941562549416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</v>
      </c>
      <c r="CT82" s="13">
        <f>IF('Données projet'!$A$140&gt;35,CT81+CS82-DB81,IF(A82&lt;'Données projet'!$A$140,$CQ$205^A82,IF(A82='Données projet'!$A$140,'Données projet'!$B$140,CT81+CS82-DB81)))</f>
        <v>337.30769230769261</v>
      </c>
      <c r="CU82" s="18">
        <f>CT82*VLOOKUP('Données projet'!$B$13,Paramètres!$A$1:$I$89,3,0)*VLOOKUP('Données projet'!$B$13,Paramètres!$A$1:$I$89,5,0)</f>
        <v>352.55400000000037</v>
      </c>
      <c r="CV82" s="14">
        <f t="shared" si="95"/>
        <v>82.08818362246717</v>
      </c>
      <c r="CW82" s="22">
        <f t="shared" si="67"/>
        <v>757.00180314246427</v>
      </c>
      <c r="CX82" s="62">
        <f t="shared" si="68"/>
        <v>1050.3351364757975</v>
      </c>
      <c r="CY82" s="62">
        <f ca="1">AVERAGE(OFFSET($CX$3,0,0,'Données projet'!$E$13+1,1))-AVERAGE(OFFSET($H$3,0,0,'Données projet'!$E$13+1,1))</f>
        <v>492.66134897013183</v>
      </c>
      <c r="CZ82" s="62">
        <f t="shared" si="96"/>
        <v>307.87428858945862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2">
        <f t="shared" si="55"/>
        <v>293.33333333333678</v>
      </c>
      <c r="S83" s="62">
        <f ca="1">AVERAGE(OFFSET($R$3,0,0,'Données projet'!$E$9+1,1))-AVERAGE(OFFSET($H$3,0,0,'Données projet'!$E$9+1,1))</f>
        <v>256.47911362806866</v>
      </c>
      <c r="T83" s="62">
        <f t="shared" si="88"/>
        <v>230.93438491511529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1.6577458886981713</v>
      </c>
      <c r="AA83" s="23">
        <f>EXP(-LN(2)/25)*AA82+(1-EXP(-LN(2)/25))/(LN(2)/25)*Calculateur!V83*Calculateur!X83*VLOOKUP('Données projet'!$B$9,Paramètres!$A$1:$I$89,3,0)*0.475*44/12</f>
        <v>2.061824910270436</v>
      </c>
      <c r="AB83" s="23">
        <f>EXP(-LN(2)/2)*AB82+(1-EXP(-LN(2)/2))/(LN(2)/2)*V83*Y83*VLOOKUP('Données projet'!$B$9,Paramètres!$A$1:$I$89,3,0)*0.475*44/12</f>
        <v>1.814307922011024E-7</v>
      </c>
      <c r="AC83" s="24">
        <f t="shared" si="57"/>
        <v>3.7195709803993995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241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240.99999999999994</v>
      </c>
      <c r="AJ83" s="14">
        <f>AI83*VLOOKUP('Données projet'!$B$10,Paramètres!$A$1:$I$89,3,0)*VLOOKUP('Données projet'!$B$10,Paramètres!$A$1:$I$89,5,0)</f>
        <v>210.53759999999997</v>
      </c>
      <c r="AK83" s="14">
        <f t="shared" si="89"/>
        <v>52.053047337322276</v>
      </c>
      <c r="AL83" s="22">
        <f t="shared" si="58"/>
        <v>457.34537744583622</v>
      </c>
      <c r="AM83" s="62">
        <f t="shared" si="59"/>
        <v>750.67871077916948</v>
      </c>
      <c r="AN83" s="62">
        <f ca="1">AVERAGE(OFFSET($AM$3,0,0,'Données projet'!$E$10+1,1))-AVERAGE(OFFSET($H$3,0,0,'Données projet'!$E$10+1,1))</f>
        <v>255.68195973350799</v>
      </c>
      <c r="AO83" s="62">
        <f t="shared" si="90"/>
        <v>269.20928353552461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27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295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294.99999999999977</v>
      </c>
      <c r="BE83" s="14">
        <f>BD83*VLOOKUP('Données projet'!$B$11,Paramètres!$A$1:$I$89,3,0)*VLOOKUP('Données projet'!$B$11,Paramètres!$A$1:$I$89,5,0)</f>
        <v>234.7019999999998</v>
      </c>
      <c r="BF83" s="14">
        <f t="shared" si="91"/>
        <v>57.298163309103863</v>
      </c>
      <c r="BG83" s="22">
        <f t="shared" si="61"/>
        <v>508.5669510966888</v>
      </c>
      <c r="BH83" s="62">
        <f t="shared" si="62"/>
        <v>801.90028443002211</v>
      </c>
      <c r="BI83" s="62">
        <f ca="1">AVERAGE(OFFSET($BH$3,0,0,'Données projet'!$E$11+1,1))-AVERAGE(OFFSET($H$3,0,0,'Données projet'!$E$11+1,1))</f>
        <v>243.51680047412441</v>
      </c>
      <c r="BJ83" s="62">
        <f t="shared" si="92"/>
        <v>224.00025638752402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295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295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294.99999999999977</v>
      </c>
      <c r="BZ83" s="14">
        <f>BY83*VLOOKUP('Données projet'!$B$12,Paramètres!$A$1:$I$89,3,0)*VLOOKUP('Données projet'!$B$12,Paramètres!$A$1:$I$89,5,0)</f>
        <v>216.29399999999984</v>
      </c>
      <c r="CA83" s="14">
        <f t="shared" si="93"/>
        <v>53.308610238449582</v>
      </c>
      <c r="CB83" s="22">
        <f t="shared" si="64"/>
        <v>469.5578794986327</v>
      </c>
      <c r="CC83" s="62">
        <f t="shared" si="65"/>
        <v>762.89121283196596</v>
      </c>
      <c r="CD83" s="62">
        <f ca="1">AVERAGE(OFFSET($CC$3,0,0,'Données projet'!$E$12+1,1))-AVERAGE(OFFSET($H$3,0,0,'Données projet'!$E$12+1,1))</f>
        <v>221.4629402571224</v>
      </c>
      <c r="CE83" s="62">
        <f t="shared" si="94"/>
        <v>204.26941562549416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295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342.30769230769232</v>
      </c>
      <c r="CR83" s="13">
        <f>VLOOKUP(A83,'Données projet'!$A$139:$I$159,9,0)</f>
        <v>5</v>
      </c>
      <c r="CS83" s="13">
        <f t="array" ref="CS83">INDEX(CR:CR,MIN(IF(ISNUMBER(CR83:CR279),ROW(CR83:CR279),"")))</f>
        <v>5</v>
      </c>
      <c r="CT83" s="13">
        <f>IF('Données projet'!$A$140&gt;35,CT82+CS83-DB82,IF(A83&lt;'Données projet'!$A$140,$CQ$205^A83,IF(A83='Données projet'!$A$140,'Données projet'!$B$140,CT82+CS83-DB82)))</f>
        <v>342.30769230769261</v>
      </c>
      <c r="CU83" s="18">
        <f>CT83*VLOOKUP('Données projet'!$B$13,Paramètres!$A$1:$I$89,3,0)*VLOOKUP('Données projet'!$B$13,Paramètres!$A$1:$I$89,5,0)</f>
        <v>357.78000000000037</v>
      </c>
      <c r="CV83" s="14">
        <f t="shared" si="95"/>
        <v>83.162438492372715</v>
      </c>
      <c r="CW83" s="22">
        <f t="shared" si="67"/>
        <v>767.97474704088302</v>
      </c>
      <c r="CX83" s="62">
        <f t="shared" si="68"/>
        <v>1061.3080803742164</v>
      </c>
      <c r="CY83" s="62">
        <f ca="1">AVERAGE(OFFSET($CX$3,0,0,'Données projet'!$E$13+1,1))-AVERAGE(OFFSET($H$3,0,0,'Données projet'!$E$13+1,1))</f>
        <v>492.66134897013183</v>
      </c>
      <c r="CZ83" s="62">
        <f t="shared" si="96"/>
        <v>307.87428858945862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27.564102564102562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2">
        <f t="shared" si="55"/>
        <v>293.33333333333678</v>
      </c>
      <c r="S84" s="62">
        <f ca="1">AVERAGE(OFFSET($R$3,0,0,'Données projet'!$E$9+1,1))-AVERAGE(OFFSET($H$3,0,0,'Données projet'!$E$9+1,1))</f>
        <v>256.47911362806866</v>
      </c>
      <c r="T84" s="62">
        <f t="shared" si="88"/>
        <v>230.93438491511529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1.625238502945952</v>
      </c>
      <c r="AA84" s="23">
        <f>EXP(-LN(2)/25)*AA83+(1-EXP(-LN(2)/25))/(LN(2)/25)*Calculateur!V84*Calculateur!X84*VLOOKUP('Données projet'!$B$9,Paramètres!$A$1:$I$89,3,0)*0.475*44/12</f>
        <v>2.0054441996724313</v>
      </c>
      <c r="AB84" s="23">
        <f>EXP(-LN(2)/2)*AB83+(1-EXP(-LN(2)/2))/(LN(2)/2)*V84*Y84*VLOOKUP('Données projet'!$B$9,Paramètres!$A$1:$I$89,3,0)*0.475*44/12</f>
        <v>1.2829094348144688E-7</v>
      </c>
      <c r="AC84" s="24">
        <f t="shared" si="57"/>
        <v>3.6306828309093269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3.2</v>
      </c>
      <c r="AI84" s="14">
        <f>IF('Données projet'!$A$62&gt;35,AI83+AH84-AQ83,IF(A84&lt;'Données projet'!$A$62,$AF$205^A84,IF(A84='Données projet'!$A$62,'Données projet'!$B$62,AI83+AH84-AQ83)))</f>
        <v>217.19999999999993</v>
      </c>
      <c r="AJ84" s="14">
        <f>AI84*VLOOKUP('Données projet'!$B$10,Paramètres!$A$1:$I$89,3,0)*VLOOKUP('Données projet'!$B$10,Paramètres!$A$1:$I$89,5,0)</f>
        <v>189.74591999999998</v>
      </c>
      <c r="AK84" s="14">
        <f t="shared" si="89"/>
        <v>47.483774996623204</v>
      </c>
      <c r="AL84" s="22">
        <f t="shared" si="58"/>
        <v>413.17505211911867</v>
      </c>
      <c r="AM84" s="62">
        <f t="shared" si="59"/>
        <v>706.50838545245199</v>
      </c>
      <c r="AN84" s="62">
        <f ca="1">AVERAGE(OFFSET($AM$3,0,0,'Données projet'!$E$10+1,1))-AVERAGE(OFFSET($H$3,0,0,'Données projet'!$E$10+1,1))</f>
        <v>255.68195973350799</v>
      </c>
      <c r="AO84" s="62">
        <f t="shared" si="90"/>
        <v>269.20928353552461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243.51680047412441</v>
      </c>
      <c r="BJ84" s="62">
        <f t="shared" si="92"/>
        <v>224.00025638752402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-1.6671037883497774E-13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221.4629402571224</v>
      </c>
      <c r="CE84" s="62">
        <f t="shared" si="94"/>
        <v>204.26941562549416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4.7435897435897347</v>
      </c>
      <c r="CT84" s="13">
        <f>IF('Données projet'!$A$140&gt;35,CT83+CS84-DB83,IF(A84&lt;'Données projet'!$A$140,$CQ$205^A84,IF(A84='Données projet'!$A$140,'Données projet'!$B$140,CT83+CS84-DB83)))</f>
        <v>319.48717948717979</v>
      </c>
      <c r="CU84" s="18">
        <f>CT84*VLOOKUP('Données projet'!$B$13,Paramètres!$A$1:$I$89,3,0)*VLOOKUP('Données projet'!$B$13,Paramètres!$A$1:$I$89,5,0)</f>
        <v>333.92800000000034</v>
      </c>
      <c r="CV84" s="14">
        <f t="shared" si="95"/>
        <v>78.244120108546397</v>
      </c>
      <c r="CW84" s="22">
        <f t="shared" si="67"/>
        <v>717.86644252238546</v>
      </c>
      <c r="CX84" s="62">
        <f t="shared" si="68"/>
        <v>1011.1997758557188</v>
      </c>
      <c r="CY84" s="62">
        <f ca="1">AVERAGE(OFFSET($CX$3,0,0,'Données projet'!$E$13+1,1))-AVERAGE(OFFSET($H$3,0,0,'Données projet'!$E$13+1,1))</f>
        <v>492.66134897013183</v>
      </c>
      <c r="CZ84" s="62">
        <f t="shared" si="96"/>
        <v>307.87428858945862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2">
        <f t="shared" si="55"/>
        <v>293.33333333333678</v>
      </c>
      <c r="S85" s="62">
        <f ca="1">AVERAGE(OFFSET($R$3,0,0,'Données projet'!$E$9+1,1))-AVERAGE(OFFSET($H$3,0,0,'Données projet'!$E$9+1,1))</f>
        <v>256.47911362806866</v>
      </c>
      <c r="T85" s="62">
        <f t="shared" si="88"/>
        <v>230.93438491511529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1.5933685672007862</v>
      </c>
      <c r="AA85" s="23">
        <f>EXP(-LN(2)/25)*AA84+(1-EXP(-LN(2)/25))/(LN(2)/25)*Calculateur!V85*Calculateur!X85*VLOOKUP('Données projet'!$B$9,Paramètres!$A$1:$I$89,3,0)*0.475*44/12</f>
        <v>1.9506052225706616</v>
      </c>
      <c r="AB85" s="23">
        <f>EXP(-LN(2)/2)*AB84+(1-EXP(-LN(2)/2))/(LN(2)/2)*V85*Y85*VLOOKUP('Données projet'!$B$9,Paramètres!$A$1:$I$89,3,0)*0.475*44/12</f>
        <v>9.0715396100551198E-8</v>
      </c>
      <c r="AC85" s="24">
        <f t="shared" si="57"/>
        <v>3.5439738804868437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3.2</v>
      </c>
      <c r="AI85" s="14">
        <f>IF('Données projet'!$A$62&gt;35,AI84+AH85-AQ84,IF(A85&lt;'Données projet'!$A$62,$AF$205^A85,IF(A85='Données projet'!$A$62,'Données projet'!$B$62,AI84+AH85-AQ84)))</f>
        <v>220.39999999999992</v>
      </c>
      <c r="AJ85" s="14">
        <f>AI85*VLOOKUP('Données projet'!$B$10,Paramètres!$A$1:$I$89,3,0)*VLOOKUP('Données projet'!$B$10,Paramètres!$A$1:$I$89,5,0)</f>
        <v>192.54143999999994</v>
      </c>
      <c r="AK85" s="14">
        <f t="shared" si="89"/>
        <v>48.101393902059698</v>
      </c>
      <c r="AL85" s="22">
        <f t="shared" si="58"/>
        <v>419.11960237942054</v>
      </c>
      <c r="AM85" s="62">
        <f t="shared" si="59"/>
        <v>712.45293571275386</v>
      </c>
      <c r="AN85" s="62">
        <f ca="1">AVERAGE(OFFSET($AM$3,0,0,'Données projet'!$E$10+1,1))-AVERAGE(OFFSET($H$3,0,0,'Données projet'!$E$10+1,1))</f>
        <v>255.68195973350799</v>
      </c>
      <c r="AO85" s="62">
        <f t="shared" si="90"/>
        <v>269.20928353552461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243.51680047412441</v>
      </c>
      <c r="BJ85" s="62">
        <f t="shared" si="92"/>
        <v>224.00025638752402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-1.6671037883497774E-13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221.4629402571224</v>
      </c>
      <c r="CE85" s="62">
        <f t="shared" si="94"/>
        <v>204.26941562549416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4.7435897435897347</v>
      </c>
      <c r="CT85" s="13">
        <f>IF('Données projet'!$A$140&gt;35,CT84+CS85-DB84,IF(A85&lt;'Données projet'!$A$140,$CQ$205^A85,IF(A85='Données projet'!$A$140,'Données projet'!$B$140,CT84+CS85-DB84)))</f>
        <v>324.23076923076951</v>
      </c>
      <c r="CU85" s="18">
        <f>CT85*VLOOKUP('Données projet'!$B$13,Paramètres!$A$1:$I$89,3,0)*VLOOKUP('Données projet'!$B$13,Paramètres!$A$1:$I$89,5,0)</f>
        <v>338.88600000000031</v>
      </c>
      <c r="CV85" s="14">
        <f t="shared" si="95"/>
        <v>79.269743025826031</v>
      </c>
      <c r="CW85" s="22">
        <f t="shared" si="67"/>
        <v>728.28791910331404</v>
      </c>
      <c r="CX85" s="62">
        <f t="shared" si="68"/>
        <v>1021.6212524366474</v>
      </c>
      <c r="CY85" s="62">
        <f ca="1">AVERAGE(OFFSET($CX$3,0,0,'Données projet'!$E$13+1,1))-AVERAGE(OFFSET($H$3,0,0,'Données projet'!$E$13+1,1))</f>
        <v>492.66134897013183</v>
      </c>
      <c r="CZ85" s="62">
        <f t="shared" si="96"/>
        <v>307.87428858945862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2">
        <f t="shared" si="55"/>
        <v>293.33333333333678</v>
      </c>
      <c r="S86" s="62">
        <f ca="1">AVERAGE(OFFSET($R$3,0,0,'Données projet'!$E$9+1,1))-AVERAGE(OFFSET($H$3,0,0,'Données projet'!$E$9+1,1))</f>
        <v>256.47911362806866</v>
      </c>
      <c r="T86" s="62">
        <f t="shared" si="88"/>
        <v>230.93438491511529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1.5621235814568417</v>
      </c>
      <c r="AA86" s="23">
        <f>EXP(-LN(2)/25)*AA85+(1-EXP(-LN(2)/25))/(LN(2)/25)*Calculateur!V86*Calculateur!X86*VLOOKUP('Données projet'!$B$9,Paramètres!$A$1:$I$89,3,0)*0.475*44/12</f>
        <v>1.8972658201815964</v>
      </c>
      <c r="AB86" s="23">
        <f>EXP(-LN(2)/2)*AB85+(1-EXP(-LN(2)/2))/(LN(2)/2)*V86*Y86*VLOOKUP('Données projet'!$B$9,Paramètres!$A$1:$I$89,3,0)*0.475*44/12</f>
        <v>6.4145471740723441E-8</v>
      </c>
      <c r="AC86" s="24">
        <f t="shared" si="57"/>
        <v>3.4593894657839095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3.2</v>
      </c>
      <c r="AI86" s="14">
        <f>IF('Données projet'!$A$62&gt;35,AI85+AH86-AQ85,IF(A86&lt;'Données projet'!$A$62,$AF$205^A86,IF(A86='Données projet'!$A$62,'Données projet'!$B$62,AI85+AH86-AQ85)))</f>
        <v>223.59999999999991</v>
      </c>
      <c r="AJ86" s="14">
        <f>AI86*VLOOKUP('Données projet'!$B$10,Paramètres!$A$1:$I$89,3,0)*VLOOKUP('Données projet'!$B$10,Paramètres!$A$1:$I$89,5,0)</f>
        <v>195.33695999999995</v>
      </c>
      <c r="AK86" s="14">
        <f t="shared" si="89"/>
        <v>48.717969863105445</v>
      </c>
      <c r="AL86" s="22">
        <f t="shared" si="58"/>
        <v>425.06233617824188</v>
      </c>
      <c r="AM86" s="62">
        <f t="shared" si="59"/>
        <v>718.39566951157519</v>
      </c>
      <c r="AN86" s="62">
        <f ca="1">AVERAGE(OFFSET($AM$3,0,0,'Données projet'!$E$10+1,1))-AVERAGE(OFFSET($H$3,0,0,'Données projet'!$E$10+1,1))</f>
        <v>255.68195973350799</v>
      </c>
      <c r="AO86" s="62">
        <f t="shared" si="90"/>
        <v>269.20928353552461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243.51680047412441</v>
      </c>
      <c r="BJ86" s="62">
        <f t="shared" si="92"/>
        <v>224.00025638752402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-1.6671037883497774E-13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221.4629402571224</v>
      </c>
      <c r="CE86" s="62">
        <f t="shared" si="94"/>
        <v>204.26941562549416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4.7435897435897347</v>
      </c>
      <c r="CT86" s="13">
        <f>IF('Données projet'!$A$140&gt;35,CT85+CS86-DB85,IF(A86&lt;'Données projet'!$A$140,$CQ$205^A86,IF(A86='Données projet'!$A$140,'Données projet'!$B$140,CT85+CS86-DB85)))</f>
        <v>328.97435897435923</v>
      </c>
      <c r="CU86" s="18">
        <f>CT86*VLOOKUP('Données projet'!$B$13,Paramètres!$A$1:$I$89,3,0)*VLOOKUP('Données projet'!$B$13,Paramètres!$A$1:$I$89,5,0)</f>
        <v>343.84400000000028</v>
      </c>
      <c r="CV86" s="14">
        <f t="shared" si="95"/>
        <v>80.293620763087603</v>
      </c>
      <c r="CW86" s="22">
        <f t="shared" si="67"/>
        <v>738.70635616237803</v>
      </c>
      <c r="CX86" s="62">
        <f t="shared" si="68"/>
        <v>1032.0396894957114</v>
      </c>
      <c r="CY86" s="62">
        <f ca="1">AVERAGE(OFFSET($CX$3,0,0,'Données projet'!$E$13+1,1))-AVERAGE(OFFSET($H$3,0,0,'Données projet'!$E$13+1,1))</f>
        <v>492.66134897013183</v>
      </c>
      <c r="CZ86" s="62">
        <f t="shared" si="96"/>
        <v>307.87428858945862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2">
        <f t="shared" si="55"/>
        <v>293.33333333333678</v>
      </c>
      <c r="S87" s="62">
        <f ca="1">AVERAGE(OFFSET($R$3,0,0,'Données projet'!$E$9+1,1))-AVERAGE(OFFSET($H$3,0,0,'Données projet'!$E$9+1,1))</f>
        <v>256.47911362806866</v>
      </c>
      <c r="T87" s="62">
        <f t="shared" si="88"/>
        <v>230.93438491511529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1.5314912908257765</v>
      </c>
      <c r="AA87" s="23">
        <f>EXP(-LN(2)/25)*AA86+(1-EXP(-LN(2)/25))/(LN(2)/25)*Calculateur!V87*Calculateur!X87*VLOOKUP('Données projet'!$B$9,Paramètres!$A$1:$I$89,3,0)*0.475*44/12</f>
        <v>1.8453849865558574</v>
      </c>
      <c r="AB87" s="23">
        <f>EXP(-LN(2)/2)*AB86+(1-EXP(-LN(2)/2))/(LN(2)/2)*V87*Y87*VLOOKUP('Données projet'!$B$9,Paramètres!$A$1:$I$89,3,0)*0.475*44/12</f>
        <v>4.5357698050275599E-8</v>
      </c>
      <c r="AC87" s="24">
        <f t="shared" si="57"/>
        <v>3.3768763227393319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3.2</v>
      </c>
      <c r="AI87" s="14">
        <f>IF('Données projet'!$A$62&gt;35,AI86+AH87-AQ86,IF(A87&lt;'Données projet'!$A$62,$AF$205^A87,IF(A87='Données projet'!$A$62,'Données projet'!$B$62,AI86+AH87-AQ86)))</f>
        <v>226.7999999999999</v>
      </c>
      <c r="AJ87" s="14">
        <f>AI87*VLOOKUP('Données projet'!$B$10,Paramètres!$A$1:$I$89,3,0)*VLOOKUP('Données projet'!$B$10,Paramètres!$A$1:$I$89,5,0)</f>
        <v>198.13247999999993</v>
      </c>
      <c r="AK87" s="14">
        <f t="shared" si="89"/>
        <v>49.333519530262095</v>
      </c>
      <c r="AL87" s="22">
        <f t="shared" si="58"/>
        <v>431.00328251520631</v>
      </c>
      <c r="AM87" s="62">
        <f t="shared" si="59"/>
        <v>724.33661584853962</v>
      </c>
      <c r="AN87" s="62">
        <f ca="1">AVERAGE(OFFSET($AM$3,0,0,'Données projet'!$E$10+1,1))-AVERAGE(OFFSET($H$3,0,0,'Données projet'!$E$10+1,1))</f>
        <v>255.68195973350799</v>
      </c>
      <c r="AO87" s="62">
        <f t="shared" si="90"/>
        <v>269.20928353552461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243.51680047412441</v>
      </c>
      <c r="BJ87" s="62">
        <f t="shared" si="92"/>
        <v>224.00025638752402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-1.6671037883497774E-13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221.4629402571224</v>
      </c>
      <c r="CE87" s="62">
        <f t="shared" si="94"/>
        <v>204.26941562549416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4.7435897435897347</v>
      </c>
      <c r="CT87" s="13">
        <f>IF('Données projet'!$A$140&gt;35,CT86+CS87-DB86,IF(A87&lt;'Données projet'!$A$140,$CQ$205^A87,IF(A87='Données projet'!$A$140,'Données projet'!$B$140,CT86+CS87-DB86)))</f>
        <v>333.71794871794896</v>
      </c>
      <c r="CU87" s="18">
        <f>CT87*VLOOKUP('Données projet'!$B$13,Paramètres!$A$1:$I$89,3,0)*VLOOKUP('Données projet'!$B$13,Paramètres!$A$1:$I$89,5,0)</f>
        <v>348.80200000000031</v>
      </c>
      <c r="CV87" s="14">
        <f t="shared" si="95"/>
        <v>81.315781392180099</v>
      </c>
      <c r="CW87" s="22">
        <f t="shared" si="67"/>
        <v>749.12180259138086</v>
      </c>
      <c r="CX87" s="62">
        <f t="shared" si="68"/>
        <v>1042.4551359247141</v>
      </c>
      <c r="CY87" s="62">
        <f ca="1">AVERAGE(OFFSET($CX$3,0,0,'Données projet'!$E$13+1,1))-AVERAGE(OFFSET($H$3,0,0,'Données projet'!$E$13+1,1))</f>
        <v>492.66134897013183</v>
      </c>
      <c r="CZ87" s="62">
        <f t="shared" si="96"/>
        <v>307.87428858945862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2">
        <f t="shared" si="55"/>
        <v>293.33333333333678</v>
      </c>
      <c r="S88" s="62">
        <f ca="1">AVERAGE(OFFSET($R$3,0,0,'Données projet'!$E$9+1,1))-AVERAGE(OFFSET($H$3,0,0,'Données projet'!$E$9+1,1))</f>
        <v>256.47911362806866</v>
      </c>
      <c r="T88" s="62">
        <f t="shared" si="88"/>
        <v>230.93438491511529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1.5014596807301339</v>
      </c>
      <c r="AA88" s="23">
        <f>EXP(-LN(2)/25)*AA87+(1-EXP(-LN(2)/25))/(LN(2)/25)*Calculateur!V88*Calculateur!X88*VLOOKUP('Données projet'!$B$9,Paramètres!$A$1:$I$89,3,0)*0.475*44/12</f>
        <v>1.7949228370539088</v>
      </c>
      <c r="AB88" s="23">
        <f>EXP(-LN(2)/2)*AB87+(1-EXP(-LN(2)/2))/(LN(2)/2)*V88*Y88*VLOOKUP('Données projet'!$B$9,Paramètres!$A$1:$I$89,3,0)*0.475*44/12</f>
        <v>3.2072735870361721E-8</v>
      </c>
      <c r="AC88" s="24">
        <f t="shared" si="57"/>
        <v>3.2963825498567787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230</v>
      </c>
      <c r="AG88" s="13">
        <f>VLOOKUP(A88,'Données projet'!$A$61:$I$81,9,0)</f>
        <v>3.2</v>
      </c>
      <c r="AH88" s="13">
        <f t="array" ref="AH88">INDEX(AG:AG,MIN(IF(ISNUMBER(AG88:AG284),ROW(AG88:AG284),"")))</f>
        <v>3.2</v>
      </c>
      <c r="AI88" s="14">
        <f>IF('Données projet'!$A$62&gt;35,AI87+AH88-AQ87,IF(A88&lt;'Données projet'!$A$62,$AF$205^A88,IF(A88='Données projet'!$A$62,'Données projet'!$B$62,AI87+AH88-AQ87)))</f>
        <v>229.99999999999989</v>
      </c>
      <c r="AJ88" s="14">
        <f>AI88*VLOOKUP('Données projet'!$B$10,Paramètres!$A$1:$I$89,3,0)*VLOOKUP('Données projet'!$B$10,Paramètres!$A$1:$I$89,5,0)</f>
        <v>200.92799999999994</v>
      </c>
      <c r="AK88" s="14">
        <f t="shared" si="89"/>
        <v>49.948059057189042</v>
      </c>
      <c r="AL88" s="22">
        <f t="shared" si="58"/>
        <v>436.94246952460412</v>
      </c>
      <c r="AM88" s="62">
        <f t="shared" si="59"/>
        <v>730.27580285793738</v>
      </c>
      <c r="AN88" s="62">
        <f ca="1">AVERAGE(OFFSET($AM$3,0,0,'Données projet'!$E$10+1,1))-AVERAGE(OFFSET($H$3,0,0,'Données projet'!$E$10+1,1))</f>
        <v>255.68195973350799</v>
      </c>
      <c r="AO88" s="62">
        <f t="shared" si="90"/>
        <v>269.20928353552461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243.51680047412441</v>
      </c>
      <c r="BJ88" s="62">
        <f t="shared" si="92"/>
        <v>224.00025638752402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-1.6671037883497774E-13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221.4629402571224</v>
      </c>
      <c r="CE88" s="62">
        <f t="shared" si="94"/>
        <v>204.26941562549416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338.46153846153845</v>
      </c>
      <c r="CR88" s="13">
        <f>VLOOKUP(A88,'Données projet'!$A$139:$I$159,9,0)</f>
        <v>4.7435897435897347</v>
      </c>
      <c r="CS88" s="13">
        <f t="array" ref="CS88">INDEX(CR:CR,MIN(IF(ISNUMBER(CR88:CR284),ROW(CR88:CR284),"")))</f>
        <v>4.7435897435897347</v>
      </c>
      <c r="CT88" s="13">
        <f>IF('Données projet'!$A$140&gt;35,CT87+CS88-DB87,IF(A88&lt;'Données projet'!$A$140,$CQ$205^A88,IF(A88='Données projet'!$A$140,'Données projet'!$B$140,CT87+CS88-DB87)))</f>
        <v>338.46153846153868</v>
      </c>
      <c r="CU88" s="18">
        <f>CT88*VLOOKUP('Données projet'!$B$13,Paramètres!$A$1:$I$89,3,0)*VLOOKUP('Données projet'!$B$13,Paramètres!$A$1:$I$89,5,0)</f>
        <v>353.76000000000022</v>
      </c>
      <c r="CV88" s="14">
        <f t="shared" si="95"/>
        <v>82.336252141072379</v>
      </c>
      <c r="CW88" s="22">
        <f t="shared" si="67"/>
        <v>759.53430581236807</v>
      </c>
      <c r="CX88" s="62">
        <f t="shared" si="68"/>
        <v>1052.8676391457013</v>
      </c>
      <c r="CY88" s="62">
        <f ca="1">AVERAGE(OFFSET($CX$3,0,0,'Données projet'!$E$13+1,1))-AVERAGE(OFFSET($H$3,0,0,'Données projet'!$E$13+1,1))</f>
        <v>492.66134897013183</v>
      </c>
      <c r="CZ88" s="62">
        <f t="shared" si="96"/>
        <v>307.87428858945862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2">
        <f t="shared" si="55"/>
        <v>293.33333333333678</v>
      </c>
      <c r="S89" s="62">
        <f ca="1">AVERAGE(OFFSET($R$3,0,0,'Données projet'!$E$9+1,1))-AVERAGE(OFFSET($H$3,0,0,'Données projet'!$E$9+1,1))</f>
        <v>256.47911362806866</v>
      </c>
      <c r="T89" s="62">
        <f t="shared" si="88"/>
        <v>230.93438491511529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1.4720169721909935</v>
      </c>
      <c r="AA89" s="23">
        <f>EXP(-LN(2)/25)*AA88+(1-EXP(-LN(2)/25))/(LN(2)/25)*Calculateur!V89*Calculateur!X89*VLOOKUP('Données projet'!$B$9,Paramètres!$A$1:$I$89,3,0)*0.475*44/12</f>
        <v>1.74584057768378</v>
      </c>
      <c r="AB89" s="23">
        <f>EXP(-LN(2)/2)*AB88+(1-EXP(-LN(2)/2))/(LN(2)/2)*V89*Y89*VLOOKUP('Données projet'!$B$9,Paramètres!$A$1:$I$89,3,0)*0.475*44/12</f>
        <v>2.2678849025137799E-8</v>
      </c>
      <c r="AC89" s="24">
        <f t="shared" si="57"/>
        <v>3.2178575725536227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</v>
      </c>
      <c r="AI89" s="14">
        <f>IF('Données projet'!$A$62&gt;35,AI88+AH89-AQ88,IF(A89&lt;'Données projet'!$A$62,$AF$205^A89,IF(A89='Données projet'!$A$62,'Données projet'!$B$62,AI88+AH89-AQ88)))</f>
        <v>232.99999999999989</v>
      </c>
      <c r="AJ89" s="14">
        <f>AI89*VLOOKUP('Données projet'!$B$10,Paramètres!$A$1:$I$89,3,0)*VLOOKUP('Données projet'!$B$10,Paramètres!$A$1:$I$89,5,0)</f>
        <v>203.54879999999994</v>
      </c>
      <c r="AK89" s="14">
        <f t="shared" si="89"/>
        <v>50.523286400023487</v>
      </c>
      <c r="AL89" s="22">
        <f t="shared" si="58"/>
        <v>442.5088838133741</v>
      </c>
      <c r="AM89" s="62">
        <f t="shared" si="59"/>
        <v>735.84221714670741</v>
      </c>
      <c r="AN89" s="62">
        <f ca="1">AVERAGE(OFFSET($AM$3,0,0,'Données projet'!$E$10+1,1))-AVERAGE(OFFSET($H$3,0,0,'Données projet'!$E$10+1,1))</f>
        <v>255.68195973350799</v>
      </c>
      <c r="AO89" s="62">
        <f t="shared" si="90"/>
        <v>269.20928353552461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243.51680047412441</v>
      </c>
      <c r="BJ89" s="62">
        <f t="shared" si="92"/>
        <v>224.00025638752402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-1.6671037883497774E-13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221.4629402571224</v>
      </c>
      <c r="CE89" s="62">
        <f t="shared" si="94"/>
        <v>204.26941562549416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4.4871794871794917</v>
      </c>
      <c r="CT89" s="13">
        <f>IF('Données projet'!$A$140&gt;35,CT88+CS89-DB88,IF(A89&lt;'Données projet'!$A$140,$CQ$205^A89,IF(A89='Données projet'!$A$140,'Données projet'!$B$140,CT88+CS89-DB88)))</f>
        <v>342.94871794871818</v>
      </c>
      <c r="CU89" s="18">
        <f>CT89*VLOOKUP('Données projet'!$B$13,Paramètres!$A$1:$I$89,3,0)*VLOOKUP('Données projet'!$B$13,Paramètres!$A$1:$I$89,5,0)</f>
        <v>358.45000000000027</v>
      </c>
      <c r="CV89" s="14">
        <f t="shared" si="95"/>
        <v>83.300030865929031</v>
      </c>
      <c r="CW89" s="22">
        <f t="shared" si="67"/>
        <v>769.38130375816024</v>
      </c>
      <c r="CX89" s="62">
        <f t="shared" si="68"/>
        <v>1062.7146370914936</v>
      </c>
      <c r="CY89" s="62">
        <f ca="1">AVERAGE(OFFSET($CX$3,0,0,'Données projet'!$E$13+1,1))-AVERAGE(OFFSET($H$3,0,0,'Données projet'!$E$13+1,1))</f>
        <v>492.66134897013183</v>
      </c>
      <c r="CZ89" s="62">
        <f t="shared" si="96"/>
        <v>307.87428858945862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2">
        <f t="shared" si="55"/>
        <v>293.33333333333678</v>
      </c>
      <c r="S90" s="62">
        <f ca="1">AVERAGE(OFFSET($R$3,0,0,'Données projet'!$E$9+1,1))-AVERAGE(OFFSET($H$3,0,0,'Données projet'!$E$9+1,1))</f>
        <v>256.47911362806866</v>
      </c>
      <c r="T90" s="62">
        <f t="shared" si="88"/>
        <v>230.93438491511529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1.4431516172080265</v>
      </c>
      <c r="AA90" s="23">
        <f>EXP(-LN(2)/25)*AA89+(1-EXP(-LN(2)/25))/(LN(2)/25)*Calculateur!V90*Calculateur!X90*VLOOKUP('Données projet'!$B$9,Paramètres!$A$1:$I$89,3,0)*0.475*44/12</f>
        <v>1.6981004752772513</v>
      </c>
      <c r="AB90" s="23">
        <f>EXP(-LN(2)/2)*AB89+(1-EXP(-LN(2)/2))/(LN(2)/2)*V90*Y90*VLOOKUP('Données projet'!$B$9,Paramètres!$A$1:$I$89,3,0)*0.475*44/12</f>
        <v>1.603636793518086E-8</v>
      </c>
      <c r="AC90" s="24">
        <f t="shared" si="57"/>
        <v>3.1412521085216456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</v>
      </c>
      <c r="AI90" s="14">
        <f>IF('Données projet'!$A$62&gt;35,AI89+AH90-AQ89,IF(A90&lt;'Données projet'!$A$62,$AF$205^A90,IF(A90='Données projet'!$A$62,'Données projet'!$B$62,AI89+AH90-AQ89)))</f>
        <v>235.99999999999989</v>
      </c>
      <c r="AJ90" s="14">
        <f>AI90*VLOOKUP('Données projet'!$B$10,Paramètres!$A$1:$I$89,3,0)*VLOOKUP('Données projet'!$B$10,Paramètres!$A$1:$I$89,5,0)</f>
        <v>206.16959999999992</v>
      </c>
      <c r="AK90" s="14">
        <f t="shared" si="89"/>
        <v>51.097652263007333</v>
      </c>
      <c r="AL90" s="22">
        <f t="shared" si="58"/>
        <v>448.07379769140431</v>
      </c>
      <c r="AM90" s="62">
        <f t="shared" si="59"/>
        <v>741.40713102473762</v>
      </c>
      <c r="AN90" s="62">
        <f ca="1">AVERAGE(OFFSET($AM$3,0,0,'Données projet'!$E$10+1,1))-AVERAGE(OFFSET($H$3,0,0,'Données projet'!$E$10+1,1))</f>
        <v>255.68195973350799</v>
      </c>
      <c r="AO90" s="62">
        <f t="shared" si="90"/>
        <v>269.20928353552461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243.51680047412441</v>
      </c>
      <c r="BJ90" s="62">
        <f t="shared" si="92"/>
        <v>224.00025638752402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-1.6671037883497774E-13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221.4629402571224</v>
      </c>
      <c r="CE90" s="62">
        <f t="shared" si="94"/>
        <v>204.26941562549416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4.4871794871794917</v>
      </c>
      <c r="CT90" s="13">
        <f>IF('Données projet'!$A$140&gt;35,CT89+CS90-DB89,IF(A90&lt;'Données projet'!$A$140,$CQ$205^A90,IF(A90='Données projet'!$A$140,'Données projet'!$B$140,CT89+CS90-DB89)))</f>
        <v>347.43589743589769</v>
      </c>
      <c r="CU90" s="18">
        <f>CT90*VLOOKUP('Données projet'!$B$13,Paramètres!$A$1:$I$89,3,0)*VLOOKUP('Données projet'!$B$13,Paramètres!$A$1:$I$89,5,0)</f>
        <v>363.14000000000033</v>
      </c>
      <c r="CV90" s="14">
        <f t="shared" si="95"/>
        <v>84.262342837716815</v>
      </c>
      <c r="CW90" s="22">
        <f t="shared" si="67"/>
        <v>779.22574710902393</v>
      </c>
      <c r="CX90" s="62">
        <f t="shared" si="68"/>
        <v>1072.5590804423573</v>
      </c>
      <c r="CY90" s="62">
        <f ca="1">AVERAGE(OFFSET($CX$3,0,0,'Données projet'!$E$13+1,1))-AVERAGE(OFFSET($H$3,0,0,'Données projet'!$E$13+1,1))</f>
        <v>492.66134897013183</v>
      </c>
      <c r="CZ90" s="62">
        <f t="shared" si="96"/>
        <v>307.87428858945862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2">
        <f t="shared" si="55"/>
        <v>293.33333333333678</v>
      </c>
      <c r="S91" s="62">
        <f ca="1">AVERAGE(OFFSET($R$3,0,0,'Données projet'!$E$9+1,1))-AVERAGE(OFFSET($H$3,0,0,'Données projet'!$E$9+1,1))</f>
        <v>256.47911362806866</v>
      </c>
      <c r="T91" s="62">
        <f t="shared" si="88"/>
        <v>230.93438491511529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1.4148522942301476</v>
      </c>
      <c r="AA91" s="23">
        <f>EXP(-LN(2)/25)*AA90+(1-EXP(-LN(2)/25))/(LN(2)/25)*Calculateur!V91*Calculateur!X91*VLOOKUP('Données projet'!$B$9,Paramètres!$A$1:$I$89,3,0)*0.475*44/12</f>
        <v>1.651665828481572</v>
      </c>
      <c r="AB91" s="23">
        <f>EXP(-LN(2)/2)*AB90+(1-EXP(-LN(2)/2))/(LN(2)/2)*V91*Y91*VLOOKUP('Données projet'!$B$9,Paramètres!$A$1:$I$89,3,0)*0.475*44/12</f>
        <v>1.13394245125689E-8</v>
      </c>
      <c r="AC91" s="24">
        <f t="shared" si="57"/>
        <v>3.0665181340511438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</v>
      </c>
      <c r="AI91" s="14">
        <f>IF('Données projet'!$A$62&gt;35,AI90+AH91-AQ90,IF(A91&lt;'Données projet'!$A$62,$AF$205^A91,IF(A91='Données projet'!$A$62,'Données projet'!$B$62,AI90+AH91-AQ90)))</f>
        <v>238.99999999999989</v>
      </c>
      <c r="AJ91" s="14">
        <f>AI91*VLOOKUP('Données projet'!$B$10,Paramètres!$A$1:$I$89,3,0)*VLOOKUP('Données projet'!$B$10,Paramètres!$A$1:$I$89,5,0)</f>
        <v>208.79039999999992</v>
      </c>
      <c r="AK91" s="14">
        <f t="shared" si="89"/>
        <v>51.671168863475145</v>
      </c>
      <c r="AL91" s="22">
        <f t="shared" si="58"/>
        <v>453.63723243721898</v>
      </c>
      <c r="AM91" s="62">
        <f t="shared" si="59"/>
        <v>746.9705657705523</v>
      </c>
      <c r="AN91" s="62">
        <f ca="1">AVERAGE(OFFSET($AM$3,0,0,'Données projet'!$E$10+1,1))-AVERAGE(OFFSET($H$3,0,0,'Données projet'!$E$10+1,1))</f>
        <v>255.68195973350799</v>
      </c>
      <c r="AO91" s="62">
        <f t="shared" si="90"/>
        <v>269.20928353552461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243.51680047412441</v>
      </c>
      <c r="BJ91" s="62">
        <f t="shared" si="92"/>
        <v>224.00025638752402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-1.6671037883497774E-13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221.4629402571224</v>
      </c>
      <c r="CE91" s="62">
        <f t="shared" si="94"/>
        <v>204.26941562549416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4.4871794871794917</v>
      </c>
      <c r="CT91" s="13">
        <f>IF('Données projet'!$A$140&gt;35,CT90+CS91-DB90,IF(A91&lt;'Données projet'!$A$140,$CQ$205^A91,IF(A91='Données projet'!$A$140,'Données projet'!$B$140,CT90+CS91-DB90)))</f>
        <v>351.92307692307719</v>
      </c>
      <c r="CU91" s="18">
        <f>CT91*VLOOKUP('Données projet'!$B$13,Paramètres!$A$1:$I$89,3,0)*VLOOKUP('Données projet'!$B$13,Paramètres!$A$1:$I$89,5,0)</f>
        <v>367.83000000000027</v>
      </c>
      <c r="CV91" s="14">
        <f t="shared" si="95"/>
        <v>85.223209190035149</v>
      </c>
      <c r="CW91" s="22">
        <f t="shared" si="67"/>
        <v>789.06767267264502</v>
      </c>
      <c r="CX91" s="62">
        <f t="shared" si="68"/>
        <v>1082.4010060059784</v>
      </c>
      <c r="CY91" s="62">
        <f ca="1">AVERAGE(OFFSET($CX$3,0,0,'Données projet'!$E$13+1,1))-AVERAGE(OFFSET($H$3,0,0,'Données projet'!$E$13+1,1))</f>
        <v>492.66134897013183</v>
      </c>
      <c r="CZ91" s="62">
        <f t="shared" si="96"/>
        <v>307.87428858945862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2">
        <f t="shared" si="55"/>
        <v>293.33333333333678</v>
      </c>
      <c r="S92" s="62">
        <f ca="1">AVERAGE(OFFSET($R$3,0,0,'Données projet'!$E$9+1,1))-AVERAGE(OFFSET($H$3,0,0,'Données projet'!$E$9+1,1))</f>
        <v>256.47911362806866</v>
      </c>
      <c r="T92" s="62">
        <f t="shared" si="88"/>
        <v>230.93438491511529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1.3871079037149823</v>
      </c>
      <c r="AA92" s="23">
        <f>EXP(-LN(2)/25)*AA91+(1-EXP(-LN(2)/25))/(LN(2)/25)*Calculateur!V92*Calculateur!X92*VLOOKUP('Données projet'!$B$9,Paramètres!$A$1:$I$89,3,0)*0.475*44/12</f>
        <v>1.6065009395444123</v>
      </c>
      <c r="AB92" s="23">
        <f>EXP(-LN(2)/2)*AB91+(1-EXP(-LN(2)/2))/(LN(2)/2)*V92*Y92*VLOOKUP('Données projet'!$B$9,Paramètres!$A$1:$I$89,3,0)*0.475*44/12</f>
        <v>8.0181839675904301E-9</v>
      </c>
      <c r="AC92" s="24">
        <f t="shared" si="57"/>
        <v>2.9936088512775787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</v>
      </c>
      <c r="AI92" s="14">
        <f>IF('Données projet'!$A$62&gt;35,AI91+AH92-AQ91,IF(A92&lt;'Données projet'!$A$62,$AF$205^A92,IF(A92='Données projet'!$A$62,'Données projet'!$B$62,AI91+AH92-AQ91)))</f>
        <v>241.99999999999989</v>
      </c>
      <c r="AJ92" s="14">
        <f>AI92*VLOOKUP('Données projet'!$B$10,Paramètres!$A$1:$I$89,3,0)*VLOOKUP('Données projet'!$B$10,Paramètres!$A$1:$I$89,5,0)</f>
        <v>211.41119999999992</v>
      </c>
      <c r="AK92" s="14">
        <f t="shared" si="89"/>
        <v>52.243848094411156</v>
      </c>
      <c r="AL92" s="22">
        <f t="shared" si="58"/>
        <v>459.19920876443263</v>
      </c>
      <c r="AM92" s="62">
        <f t="shared" si="59"/>
        <v>752.53254209776594</v>
      </c>
      <c r="AN92" s="62">
        <f ca="1">AVERAGE(OFFSET($AM$3,0,0,'Données projet'!$E$10+1,1))-AVERAGE(OFFSET($H$3,0,0,'Données projet'!$E$10+1,1))</f>
        <v>255.68195973350799</v>
      </c>
      <c r="AO92" s="62">
        <f t="shared" si="90"/>
        <v>269.20928353552461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243.51680047412441</v>
      </c>
      <c r="BJ92" s="62">
        <f t="shared" si="92"/>
        <v>224.00025638752402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-1.6671037883497774E-13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221.4629402571224</v>
      </c>
      <c r="CE92" s="62">
        <f t="shared" si="94"/>
        <v>204.26941562549416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4.4871794871794917</v>
      </c>
      <c r="CT92" s="13">
        <f>IF('Données projet'!$A$140&gt;35,CT91+CS92-DB91,IF(A92&lt;'Données projet'!$A$140,$CQ$205^A92,IF(A92='Données projet'!$A$140,'Données projet'!$B$140,CT91+CS92-DB91)))</f>
        <v>356.41025641025669</v>
      </c>
      <c r="CU92" s="18">
        <f>CT92*VLOOKUP('Données projet'!$B$13,Paramètres!$A$1:$I$89,3,0)*VLOOKUP('Données projet'!$B$13,Paramètres!$A$1:$I$89,5,0)</f>
        <v>372.52000000000032</v>
      </c>
      <c r="CV92" s="14">
        <f t="shared" si="95"/>
        <v>86.182650486569059</v>
      </c>
      <c r="CW92" s="22">
        <f t="shared" si="67"/>
        <v>798.90711626410837</v>
      </c>
      <c r="CX92" s="62">
        <f t="shared" si="68"/>
        <v>1092.2404495974417</v>
      </c>
      <c r="CY92" s="62">
        <f ca="1">AVERAGE(OFFSET($CX$3,0,0,'Données projet'!$E$13+1,1))-AVERAGE(OFFSET($H$3,0,0,'Données projet'!$E$13+1,1))</f>
        <v>492.66134897013183</v>
      </c>
      <c r="CZ92" s="62">
        <f t="shared" si="96"/>
        <v>307.87428858945862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2">
        <f t="shared" si="55"/>
        <v>293.33333333333678</v>
      </c>
      <c r="S93" s="62">
        <f ca="1">AVERAGE(OFFSET($R$3,0,0,'Données projet'!$E$9+1,1))-AVERAGE(OFFSET($H$3,0,0,'Données projet'!$E$9+1,1))</f>
        <v>256.47911362806866</v>
      </c>
      <c r="T93" s="62">
        <f t="shared" si="88"/>
        <v>230.93438491511529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1.3599075637754121</v>
      </c>
      <c r="AA93" s="23">
        <f>EXP(-LN(2)/25)*AA92+(1-EXP(-LN(2)/25))/(LN(2)/25)*Calculateur!V93*Calculateur!X93*VLOOKUP('Données projet'!$B$9,Paramètres!$A$1:$I$89,3,0)*0.475*44/12</f>
        <v>1.5625710868703577</v>
      </c>
      <c r="AB93" s="23">
        <f>EXP(-LN(2)/2)*AB92+(1-EXP(-LN(2)/2))/(LN(2)/2)*V93*Y93*VLOOKUP('Données projet'!$B$9,Paramètres!$A$1:$I$89,3,0)*0.475*44/12</f>
        <v>5.6697122562844499E-9</v>
      </c>
      <c r="AC93" s="24">
        <f t="shared" si="57"/>
        <v>2.9224786563154823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245</v>
      </c>
      <c r="AG93" s="13">
        <f>VLOOKUP(A93,'Données projet'!$A$61:$I$81,9,0)</f>
        <v>3</v>
      </c>
      <c r="AH93" s="13">
        <f t="array" ref="AH93">INDEX(AG:AG,MIN(IF(ISNUMBER(AG93:AG289),ROW(AG93:AG289),"")))</f>
        <v>3</v>
      </c>
      <c r="AI93" s="14">
        <f>IF('Données projet'!$A$62&gt;35,AI92+AH93-AQ92,IF(A93&lt;'Données projet'!$A$62,$AF$205^A93,IF(A93='Données projet'!$A$62,'Données projet'!$B$62,AI92+AH93-AQ92)))</f>
        <v>244.99999999999989</v>
      </c>
      <c r="AJ93" s="14">
        <f>AI93*VLOOKUP('Données projet'!$B$10,Paramètres!$A$1:$I$89,3,0)*VLOOKUP('Données projet'!$B$10,Paramètres!$A$1:$I$89,5,0)</f>
        <v>214.03199999999995</v>
      </c>
      <c r="AK93" s="14">
        <f t="shared" si="89"/>
        <v>52.815701536972242</v>
      </c>
      <c r="AL93" s="22">
        <f t="shared" si="58"/>
        <v>464.75974684355987</v>
      </c>
      <c r="AM93" s="62">
        <f t="shared" si="59"/>
        <v>758.09308017689318</v>
      </c>
      <c r="AN93" s="62">
        <f ca="1">AVERAGE(OFFSET($AM$3,0,0,'Données projet'!$E$10+1,1))-AVERAGE(OFFSET($H$3,0,0,'Données projet'!$E$10+1,1))</f>
        <v>255.68195973350799</v>
      </c>
      <c r="AO93" s="62">
        <f t="shared" si="90"/>
        <v>269.20928353552461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243.51680047412441</v>
      </c>
      <c r="BJ93" s="62">
        <f t="shared" si="92"/>
        <v>224.00025638752402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-1.6671037883497774E-13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221.4629402571224</v>
      </c>
      <c r="CE93" s="62">
        <f t="shared" si="94"/>
        <v>204.26941562549416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360.89743589743591</v>
      </c>
      <c r="CR93" s="13">
        <f>VLOOKUP(A93,'Données projet'!$A$139:$I$159,9,0)</f>
        <v>4.4871794871794917</v>
      </c>
      <c r="CS93" s="13">
        <f t="array" ref="CS93">INDEX(CR:CR,MIN(IF(ISNUMBER(CR93:CR289),ROW(CR93:CR289),"")))</f>
        <v>4.4871794871794917</v>
      </c>
      <c r="CT93" s="13">
        <f>IF('Données projet'!$A$140&gt;35,CT92+CS93-DB92,IF(A93&lt;'Données projet'!$A$140,$CQ$205^A93,IF(A93='Données projet'!$A$140,'Données projet'!$B$140,CT92+CS93-DB92)))</f>
        <v>360.8974358974362</v>
      </c>
      <c r="CU93" s="18">
        <f>CT93*VLOOKUP('Données projet'!$B$13,Paramètres!$A$1:$I$89,3,0)*VLOOKUP('Données projet'!$B$13,Paramètres!$A$1:$I$89,5,0)</f>
        <v>377.21000000000038</v>
      </c>
      <c r="CV93" s="14">
        <f t="shared" si="95"/>
        <v>87.140686743435865</v>
      </c>
      <c r="CW93" s="22">
        <f t="shared" si="67"/>
        <v>808.74411274481815</v>
      </c>
      <c r="CX93" s="62">
        <f t="shared" si="68"/>
        <v>1102.0774460781515</v>
      </c>
      <c r="CY93" s="62">
        <f ca="1">AVERAGE(OFFSET($CX$3,0,0,'Données projet'!$E$13+1,1))-AVERAGE(OFFSET($H$3,0,0,'Données projet'!$E$13+1,1))</f>
        <v>492.66134897013183</v>
      </c>
      <c r="CZ93" s="62">
        <f t="shared" si="96"/>
        <v>307.87428858945862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26.282051282051281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2">
        <f t="shared" si="55"/>
        <v>293.33333333333678</v>
      </c>
      <c r="S94" s="62">
        <f ca="1">AVERAGE(OFFSET($R$3,0,0,'Données projet'!$E$9+1,1))-AVERAGE(OFFSET($H$3,0,0,'Données projet'!$E$9+1,1))</f>
        <v>256.47911362806866</v>
      </c>
      <c r="T94" s="62">
        <f t="shared" si="88"/>
        <v>230.93438491511529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1.3332406059114876</v>
      </c>
      <c r="AA94" s="23">
        <f>EXP(-LN(2)/25)*AA93+(1-EXP(-LN(2)/25))/(LN(2)/25)*Calculateur!V94*Calculateur!X94*VLOOKUP('Données projet'!$B$9,Paramètres!$A$1:$I$89,3,0)*0.475*44/12</f>
        <v>1.5198424983278456</v>
      </c>
      <c r="AB94" s="23">
        <f>EXP(-LN(2)/2)*AB93+(1-EXP(-LN(2)/2))/(LN(2)/2)*V94*Y94*VLOOKUP('Données projet'!$B$9,Paramètres!$A$1:$I$89,3,0)*0.475*44/12</f>
        <v>4.0090919837952151E-9</v>
      </c>
      <c r="AC94" s="24">
        <f t="shared" si="57"/>
        <v>2.8530831082484256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2.8</v>
      </c>
      <c r="AI94" s="14">
        <f>IF('Données projet'!$A$62&gt;35,AI93+AH94-AQ93,IF(A94&lt;'Données projet'!$A$62,$AF$205^A94,IF(A94='Données projet'!$A$62,'Données projet'!$B$62,AI93+AH94-AQ93)))</f>
        <v>224.7999999999999</v>
      </c>
      <c r="AJ94" s="14">
        <f>AI94*VLOOKUP('Données projet'!$B$10,Paramètres!$A$1:$I$89,3,0)*VLOOKUP('Données projet'!$B$10,Paramètres!$A$1:$I$89,5,0)</f>
        <v>196.38527999999994</v>
      </c>
      <c r="AK94" s="14">
        <f t="shared" si="89"/>
        <v>48.948920378863825</v>
      </c>
      <c r="AL94" s="22">
        <f t="shared" si="58"/>
        <v>427.29039899318769</v>
      </c>
      <c r="AM94" s="62">
        <f t="shared" si="59"/>
        <v>720.62373232652101</v>
      </c>
      <c r="AN94" s="62">
        <f ca="1">AVERAGE(OFFSET($AM$3,0,0,'Données projet'!$E$10+1,1))-AVERAGE(OFFSET($H$3,0,0,'Données projet'!$E$10+1,1))</f>
        <v>255.68195973350799</v>
      </c>
      <c r="AO94" s="62">
        <f t="shared" si="90"/>
        <v>269.20928353552461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243.51680047412441</v>
      </c>
      <c r="BJ94" s="62">
        <f t="shared" si="92"/>
        <v>224.00025638752402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-1.6671037883497774E-13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221.4629402571224</v>
      </c>
      <c r="CE94" s="62">
        <f t="shared" si="94"/>
        <v>204.26941562549416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4.1025641025640995</v>
      </c>
      <c r="CT94" s="13">
        <f>IF('Données projet'!$A$140&gt;35,CT93+CS94-DB93,IF(A94&lt;'Données projet'!$A$140,$CQ$205^A94,IF(A94='Données projet'!$A$140,'Données projet'!$B$140,CT93+CS94-DB93)))</f>
        <v>338.71794871794901</v>
      </c>
      <c r="CU94" s="18">
        <f>CT94*VLOOKUP('Données projet'!$B$13,Paramètres!$A$1:$I$89,3,0)*VLOOKUP('Données projet'!$B$13,Paramètres!$A$1:$I$89,5,0)</f>
        <v>354.0280000000003</v>
      </c>
      <c r="CV94" s="14">
        <f t="shared" si="95"/>
        <v>82.391365099845245</v>
      </c>
      <c r="CW94" s="22">
        <f t="shared" si="67"/>
        <v>760.09706088223095</v>
      </c>
      <c r="CX94" s="62">
        <f t="shared" si="68"/>
        <v>1053.4303942155643</v>
      </c>
      <c r="CY94" s="62">
        <f ca="1">AVERAGE(OFFSET($CX$3,0,0,'Données projet'!$E$13+1,1))-AVERAGE(OFFSET($H$3,0,0,'Données projet'!$E$13+1,1))</f>
        <v>492.66134897013183</v>
      </c>
      <c r="CZ94" s="62">
        <f t="shared" si="96"/>
        <v>307.87428858945862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2">
        <f t="shared" si="55"/>
        <v>293.33333333333678</v>
      </c>
      <c r="S95" s="62">
        <f ca="1">AVERAGE(OFFSET($R$3,0,0,'Données projet'!$E$9+1,1))-AVERAGE(OFFSET($H$3,0,0,'Données projet'!$E$9+1,1))</f>
        <v>256.47911362806866</v>
      </c>
      <c r="T95" s="62">
        <f t="shared" si="88"/>
        <v>230.93438491511529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1.3070965708260365</v>
      </c>
      <c r="AA95" s="23">
        <f>EXP(-LN(2)/25)*AA94+(1-EXP(-LN(2)/25))/(LN(2)/25)*Calculateur!V95*Calculateur!X95*VLOOKUP('Données projet'!$B$9,Paramètres!$A$1:$I$89,3,0)*0.475*44/12</f>
        <v>1.4782823252860273</v>
      </c>
      <c r="AB95" s="23">
        <f>EXP(-LN(2)/2)*AB94+(1-EXP(-LN(2)/2))/(LN(2)/2)*V95*Y95*VLOOKUP('Données projet'!$B$9,Paramètres!$A$1:$I$89,3,0)*0.475*44/12</f>
        <v>2.8348561281422249E-9</v>
      </c>
      <c r="AC95" s="24">
        <f t="shared" si="57"/>
        <v>2.7853788989469201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2.8</v>
      </c>
      <c r="AI95" s="14">
        <f>IF('Données projet'!$A$62&gt;35,AI94+AH95-AQ94,IF(A95&lt;'Données projet'!$A$62,$AF$205^A95,IF(A95='Données projet'!$A$62,'Données projet'!$B$62,AI94+AH95-AQ94)))</f>
        <v>227.59999999999991</v>
      </c>
      <c r="AJ95" s="14">
        <f>AI95*VLOOKUP('Données projet'!$B$10,Paramètres!$A$1:$I$89,3,0)*VLOOKUP('Données projet'!$B$10,Paramètres!$A$1:$I$89,5,0)</f>
        <v>198.83135999999993</v>
      </c>
      <c r="AK95" s="14">
        <f t="shared" si="89"/>
        <v>49.487248492242287</v>
      </c>
      <c r="AL95" s="22">
        <f t="shared" si="58"/>
        <v>432.48824312398847</v>
      </c>
      <c r="AM95" s="62">
        <f t="shared" si="59"/>
        <v>725.82157645732173</v>
      </c>
      <c r="AN95" s="62">
        <f ca="1">AVERAGE(OFFSET($AM$3,0,0,'Données projet'!$E$10+1,1))-AVERAGE(OFFSET($H$3,0,0,'Données projet'!$E$10+1,1))</f>
        <v>255.68195973350799</v>
      </c>
      <c r="AO95" s="62">
        <f t="shared" si="90"/>
        <v>269.20928353552461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243.51680047412441</v>
      </c>
      <c r="BJ95" s="62">
        <f t="shared" si="92"/>
        <v>224.00025638752402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-1.6671037883497774E-13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221.4629402571224</v>
      </c>
      <c r="CE95" s="62">
        <f t="shared" si="94"/>
        <v>204.26941562549416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4.1025641025640995</v>
      </c>
      <c r="CT95" s="13">
        <f>IF('Données projet'!$A$140&gt;35,CT94+CS95-DB94,IF(A95&lt;'Données projet'!$A$140,$CQ$205^A95,IF(A95='Données projet'!$A$140,'Données projet'!$B$140,CT94+CS95-DB94)))</f>
        <v>342.8205128205131</v>
      </c>
      <c r="CU95" s="18">
        <f>CT95*VLOOKUP('Données projet'!$B$13,Paramètres!$A$1:$I$89,3,0)*VLOOKUP('Données projet'!$B$13,Paramètres!$A$1:$I$89,5,0)</f>
        <v>358.31600000000032</v>
      </c>
      <c r="CV95" s="14">
        <f t="shared" si="95"/>
        <v>83.272514787836741</v>
      </c>
      <c r="CW95" s="22">
        <f t="shared" si="67"/>
        <v>769.09999658881623</v>
      </c>
      <c r="CX95" s="62">
        <f t="shared" si="68"/>
        <v>1062.4333299221496</v>
      </c>
      <c r="CY95" s="62">
        <f ca="1">AVERAGE(OFFSET($CX$3,0,0,'Données projet'!$E$13+1,1))-AVERAGE(OFFSET($H$3,0,0,'Données projet'!$E$13+1,1))</f>
        <v>492.66134897013183</v>
      </c>
      <c r="CZ95" s="62">
        <f t="shared" si="96"/>
        <v>307.87428858945862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2">
        <f t="shared" si="55"/>
        <v>293.33333333333678</v>
      </c>
      <c r="S96" s="62">
        <f ca="1">AVERAGE(OFFSET($R$3,0,0,'Données projet'!$E$9+1,1))-AVERAGE(OFFSET($H$3,0,0,'Données projet'!$E$9+1,1))</f>
        <v>256.47911362806866</v>
      </c>
      <c r="T96" s="62">
        <f t="shared" si="88"/>
        <v>230.93438491511529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1.2814652043223242</v>
      </c>
      <c r="AA96" s="23">
        <f>EXP(-LN(2)/25)*AA95+(1-EXP(-LN(2)/25))/(LN(2)/25)*Calculateur!V96*Calculateur!X96*VLOOKUP('Données projet'!$B$9,Paramètres!$A$1:$I$89,3,0)*0.475*44/12</f>
        <v>1.4378586173615922</v>
      </c>
      <c r="AB96" s="23">
        <f>EXP(-LN(2)/2)*AB95+(1-EXP(-LN(2)/2))/(LN(2)/2)*V96*Y96*VLOOKUP('Données projet'!$B$9,Paramètres!$A$1:$I$89,3,0)*0.475*44/12</f>
        <v>2.0045459918976075E-9</v>
      </c>
      <c r="AC96" s="24">
        <f t="shared" si="57"/>
        <v>2.7193238236884625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2.8</v>
      </c>
      <c r="AI96" s="14">
        <f>IF('Données projet'!$A$62&gt;35,AI95+AH96-AQ95,IF(A96&lt;'Données projet'!$A$62,$AF$205^A96,IF(A96='Données projet'!$A$62,'Données projet'!$B$62,AI95+AH96-AQ95)))</f>
        <v>230.39999999999992</v>
      </c>
      <c r="AJ96" s="14">
        <f>AI96*VLOOKUP('Données projet'!$B$10,Paramètres!$A$1:$I$89,3,0)*VLOOKUP('Données projet'!$B$10,Paramètres!$A$1:$I$89,5,0)</f>
        <v>201.27743999999996</v>
      </c>
      <c r="AK96" s="14">
        <f t="shared" si="89"/>
        <v>50.024806258462775</v>
      </c>
      <c r="AL96" s="22">
        <f t="shared" si="58"/>
        <v>437.68474556682258</v>
      </c>
      <c r="AM96" s="62">
        <f t="shared" si="59"/>
        <v>731.01807890015584</v>
      </c>
      <c r="AN96" s="62">
        <f ca="1">AVERAGE(OFFSET($AM$3,0,0,'Données projet'!$E$10+1,1))-AVERAGE(OFFSET($H$3,0,0,'Données projet'!$E$10+1,1))</f>
        <v>255.68195973350799</v>
      </c>
      <c r="AO96" s="62">
        <f t="shared" si="90"/>
        <v>269.20928353552461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243.51680047412441</v>
      </c>
      <c r="BJ96" s="62">
        <f t="shared" si="92"/>
        <v>224.00025638752402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-1.6671037883497774E-13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221.4629402571224</v>
      </c>
      <c r="CE96" s="62">
        <f t="shared" si="94"/>
        <v>204.26941562549416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4.1025641025640995</v>
      </c>
      <c r="CT96" s="13">
        <f>IF('Données projet'!$A$140&gt;35,CT95+CS96-DB95,IF(A96&lt;'Données projet'!$A$140,$CQ$205^A96,IF(A96='Données projet'!$A$140,'Données projet'!$B$140,CT95+CS96-DB95)))</f>
        <v>346.92307692307719</v>
      </c>
      <c r="CU96" s="18">
        <f>CT96*VLOOKUP('Données projet'!$B$13,Paramètres!$A$1:$I$89,3,0)*VLOOKUP('Données projet'!$B$13,Paramètres!$A$1:$I$89,5,0)</f>
        <v>362.60400000000033</v>
      </c>
      <c r="CV96" s="14">
        <f t="shared" si="95"/>
        <v>84.152437884852105</v>
      </c>
      <c r="CW96" s="22">
        <f t="shared" si="67"/>
        <v>778.10079598278446</v>
      </c>
      <c r="CX96" s="62">
        <f t="shared" si="68"/>
        <v>1071.4341293161178</v>
      </c>
      <c r="CY96" s="62">
        <f ca="1">AVERAGE(OFFSET($CX$3,0,0,'Données projet'!$E$13+1,1))-AVERAGE(OFFSET($H$3,0,0,'Données projet'!$E$13+1,1))</f>
        <v>492.66134897013183</v>
      </c>
      <c r="CZ96" s="62">
        <f t="shared" si="96"/>
        <v>307.87428858945862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2">
        <f t="shared" si="55"/>
        <v>293.33333333333678</v>
      </c>
      <c r="S97" s="62">
        <f ca="1">AVERAGE(OFFSET($R$3,0,0,'Données projet'!$E$9+1,1))-AVERAGE(OFFSET($H$3,0,0,'Données projet'!$E$9+1,1))</f>
        <v>256.47911362806866</v>
      </c>
      <c r="T97" s="62">
        <f t="shared" si="88"/>
        <v>230.93438491511529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1.2563364532821599</v>
      </c>
      <c r="AA97" s="23">
        <f>EXP(-LN(2)/25)*AA96+(1-EXP(-LN(2)/25))/(LN(2)/25)*Calculateur!V97*Calculateur!X97*VLOOKUP('Données projet'!$B$9,Paramètres!$A$1:$I$89,3,0)*0.475*44/12</f>
        <v>1.398540297856141</v>
      </c>
      <c r="AB97" s="23">
        <f>EXP(-LN(2)/2)*AB96+(1-EXP(-LN(2)/2))/(LN(2)/2)*V97*Y97*VLOOKUP('Données projet'!$B$9,Paramètres!$A$1:$I$89,3,0)*0.475*44/12</f>
        <v>1.4174280640711125E-9</v>
      </c>
      <c r="AC97" s="24">
        <f t="shared" si="57"/>
        <v>2.6548767525557286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2.8</v>
      </c>
      <c r="AI97" s="14">
        <f>IF('Données projet'!$A$62&gt;35,AI96+AH97-AQ96,IF(A97&lt;'Données projet'!$A$62,$AF$205^A97,IF(A97='Données projet'!$A$62,'Données projet'!$B$62,AI96+AH97-AQ96)))</f>
        <v>233.19999999999993</v>
      </c>
      <c r="AJ97" s="14">
        <f>AI97*VLOOKUP('Données projet'!$B$10,Paramètres!$A$1:$I$89,3,0)*VLOOKUP('Données projet'!$B$10,Paramètres!$A$1:$I$89,5,0)</f>
        <v>203.72351999999998</v>
      </c>
      <c r="AK97" s="14">
        <f t="shared" si="89"/>
        <v>50.561604122231515</v>
      </c>
      <c r="AL97" s="22">
        <f t="shared" si="58"/>
        <v>442.87992451288648</v>
      </c>
      <c r="AM97" s="62">
        <f t="shared" si="59"/>
        <v>736.21325784621979</v>
      </c>
      <c r="AN97" s="62">
        <f ca="1">AVERAGE(OFFSET($AM$3,0,0,'Données projet'!$E$10+1,1))-AVERAGE(OFFSET($H$3,0,0,'Données projet'!$E$10+1,1))</f>
        <v>255.68195973350799</v>
      </c>
      <c r="AO97" s="62">
        <f t="shared" si="90"/>
        <v>269.20928353552461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243.51680047412441</v>
      </c>
      <c r="BJ97" s="62">
        <f t="shared" si="92"/>
        <v>224.00025638752402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-1.6671037883497774E-13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221.4629402571224</v>
      </c>
      <c r="CE97" s="62">
        <f t="shared" si="94"/>
        <v>204.26941562549416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4.1025641025640995</v>
      </c>
      <c r="CT97" s="13">
        <f>IF('Données projet'!$A$140&gt;35,CT96+CS97-DB96,IF(A97&lt;'Données projet'!$A$140,$CQ$205^A97,IF(A97='Données projet'!$A$140,'Données projet'!$B$140,CT96+CS97-DB96)))</f>
        <v>351.02564102564128</v>
      </c>
      <c r="CU97" s="18">
        <f>CT97*VLOOKUP('Données projet'!$B$13,Paramètres!$A$1:$I$89,3,0)*VLOOKUP('Données projet'!$B$13,Paramètres!$A$1:$I$89,5,0)</f>
        <v>366.89200000000028</v>
      </c>
      <c r="CV97" s="14">
        <f t="shared" si="95"/>
        <v>85.031150574049036</v>
      </c>
      <c r="CW97" s="22">
        <f t="shared" si="67"/>
        <v>787.09948724980256</v>
      </c>
      <c r="CX97" s="62">
        <f t="shared" si="68"/>
        <v>1080.4328205831359</v>
      </c>
      <c r="CY97" s="62">
        <f ca="1">AVERAGE(OFFSET($CX$3,0,0,'Données projet'!$E$13+1,1))-AVERAGE(OFFSET($H$3,0,0,'Données projet'!$E$13+1,1))</f>
        <v>492.66134897013183</v>
      </c>
      <c r="CZ97" s="62">
        <f t="shared" si="96"/>
        <v>307.87428858945862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2">
        <f t="shared" si="55"/>
        <v>293.33333333333678</v>
      </c>
      <c r="S98" s="62">
        <f ca="1">AVERAGE(OFFSET($R$3,0,0,'Données projet'!$E$9+1,1))-AVERAGE(OFFSET($H$3,0,0,'Données projet'!$E$9+1,1))</f>
        <v>256.47911362806866</v>
      </c>
      <c r="T98" s="62">
        <f t="shared" si="88"/>
        <v>230.93438491511529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1.2317004617228684</v>
      </c>
      <c r="AA98" s="23">
        <f>EXP(-LN(2)/25)*AA97+(1-EXP(-LN(2)/25))/(LN(2)/25)*Calculateur!V98*Calculateur!X98*VLOOKUP('Données projet'!$B$9,Paramètres!$A$1:$I$89,3,0)*0.475*44/12</f>
        <v>1.360297139865227</v>
      </c>
      <c r="AB98" s="23">
        <f>EXP(-LN(2)/2)*AB97+(1-EXP(-LN(2)/2))/(LN(2)/2)*V98*Y98*VLOOKUP('Données projet'!$B$9,Paramètres!$A$1:$I$89,3,0)*0.475*44/12</f>
        <v>1.0022729959488038E-9</v>
      </c>
      <c r="AC98" s="24">
        <f t="shared" si="57"/>
        <v>2.5919976025903684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236</v>
      </c>
      <c r="AG98" s="13">
        <f>VLOOKUP(A98,'Données projet'!$A$61:$I$81,9,0)</f>
        <v>2.8</v>
      </c>
      <c r="AH98" s="13">
        <f t="array" ref="AH98">INDEX(AG:AG,MIN(IF(ISNUMBER(AG98:AG294),ROW(AG98:AG294),"")))</f>
        <v>2.8</v>
      </c>
      <c r="AI98" s="14">
        <f>IF('Données projet'!$A$62&gt;35,AI97+AH98-AQ97,IF(A98&lt;'Données projet'!$A$62,$AF$205^A98,IF(A98='Données projet'!$A$62,'Données projet'!$B$62,AI97+AH98-AQ97)))</f>
        <v>235.99999999999994</v>
      </c>
      <c r="AJ98" s="14">
        <f>AI98*VLOOKUP('Données projet'!$B$10,Paramètres!$A$1:$I$89,3,0)*VLOOKUP('Données projet'!$B$10,Paramètres!$A$1:$I$89,5,0)</f>
        <v>206.16959999999995</v>
      </c>
      <c r="AK98" s="14">
        <f t="shared" si="89"/>
        <v>51.097652263007333</v>
      </c>
      <c r="AL98" s="22">
        <f t="shared" si="58"/>
        <v>448.07379769140431</v>
      </c>
      <c r="AM98" s="62">
        <f t="shared" si="59"/>
        <v>741.40713102473762</v>
      </c>
      <c r="AN98" s="62">
        <f ca="1">AVERAGE(OFFSET($AM$3,0,0,'Données projet'!$E$10+1,1))-AVERAGE(OFFSET($H$3,0,0,'Données projet'!$E$10+1,1))</f>
        <v>255.68195973350799</v>
      </c>
      <c r="AO98" s="62">
        <f t="shared" si="90"/>
        <v>269.20928353552461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243.51680047412441</v>
      </c>
      <c r="BJ98" s="62">
        <f t="shared" si="92"/>
        <v>224.00025638752402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-1.6671037883497774E-13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221.4629402571224</v>
      </c>
      <c r="CE98" s="62">
        <f t="shared" si="94"/>
        <v>204.26941562549416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4.1025641025640995</v>
      </c>
      <c r="CT98" s="13">
        <f>IF('Données projet'!$A$140&gt;35,CT97+CS98-DB97,IF(A98&lt;'Données projet'!$A$140,$CQ$205^A98,IF(A98='Données projet'!$A$140,'Données projet'!$B$140,CT97+CS98-DB97)))</f>
        <v>355.12820512820537</v>
      </c>
      <c r="CU98" s="18">
        <f>CT98*VLOOKUP('Données projet'!$B$13,Paramètres!$A$1:$I$89,3,0)*VLOOKUP('Données projet'!$B$13,Paramètres!$A$1:$I$89,5,0)</f>
        <v>371.18000000000029</v>
      </c>
      <c r="CV98" s="14">
        <f t="shared" si="95"/>
        <v>85.908668638537549</v>
      </c>
      <c r="CW98" s="22">
        <f t="shared" si="67"/>
        <v>796.09609787878674</v>
      </c>
      <c r="CX98" s="62">
        <f t="shared" si="68"/>
        <v>1089.4294312121201</v>
      </c>
      <c r="CY98" s="62">
        <f ca="1">AVERAGE(OFFSET($CX$3,0,0,'Données projet'!$E$13+1,1))-AVERAGE(OFFSET($H$3,0,0,'Données projet'!$E$13+1,1))</f>
        <v>492.66134897013183</v>
      </c>
      <c r="CZ98" s="62">
        <f t="shared" si="96"/>
        <v>307.87428858945862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2">
        <f t="shared" si="55"/>
        <v>293.33333333333678</v>
      </c>
      <c r="S99" s="62">
        <f ca="1">AVERAGE(OFFSET($R$3,0,0,'Données projet'!$E$9+1,1))-AVERAGE(OFFSET($H$3,0,0,'Données projet'!$E$9+1,1))</f>
        <v>256.47911362806866</v>
      </c>
      <c r="T99" s="62">
        <f t="shared" si="88"/>
        <v>230.93438491511529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1.2075475669315836</v>
      </c>
      <c r="AA99" s="23">
        <f>EXP(-LN(2)/25)*AA98+(1-EXP(-LN(2)/25))/(LN(2)/25)*Calculateur!V99*Calculateur!X99*VLOOKUP('Données projet'!$B$9,Paramètres!$A$1:$I$89,3,0)*0.475*44/12</f>
        <v>1.3230997430406948</v>
      </c>
      <c r="AB99" s="23">
        <f>EXP(-LN(2)/2)*AB98+(1-EXP(-LN(2)/2))/(LN(2)/2)*V99*Y99*VLOOKUP('Données projet'!$B$9,Paramètres!$A$1:$I$89,3,0)*0.475*44/12</f>
        <v>7.0871403203555623E-10</v>
      </c>
      <c r="AC99" s="24">
        <f t="shared" si="57"/>
        <v>2.5306473106809921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</v>
      </c>
      <c r="AI99" s="14">
        <f>IF('Données projet'!$A$62&gt;35,AI98+AH99-AQ98,IF(A99&lt;'Données projet'!$A$62,$AF$205^A99,IF(A99='Données projet'!$A$62,'Données projet'!$B$62,AI98+AH99-AQ98)))</f>
        <v>238.99999999999994</v>
      </c>
      <c r="AJ99" s="14">
        <f>AI99*VLOOKUP('Données projet'!$B$10,Paramètres!$A$1:$I$89,3,0)*VLOOKUP('Données projet'!$B$10,Paramètres!$A$1:$I$89,5,0)</f>
        <v>208.79039999999998</v>
      </c>
      <c r="AK99" s="14">
        <f t="shared" si="89"/>
        <v>51.671168863475145</v>
      </c>
      <c r="AL99" s="22">
        <f t="shared" si="58"/>
        <v>453.63723243721915</v>
      </c>
      <c r="AM99" s="62">
        <f t="shared" si="59"/>
        <v>746.97056577055241</v>
      </c>
      <c r="AN99" s="62">
        <f ca="1">AVERAGE(OFFSET($AM$3,0,0,'Données projet'!$E$10+1,1))-AVERAGE(OFFSET($H$3,0,0,'Données projet'!$E$10+1,1))</f>
        <v>255.68195973350799</v>
      </c>
      <c r="AO99" s="62">
        <f t="shared" si="90"/>
        <v>269.20928353552461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243.51680047412441</v>
      </c>
      <c r="BJ99" s="62">
        <f t="shared" si="92"/>
        <v>224.00025638752402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-1.6671037883497774E-13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221.4629402571224</v>
      </c>
      <c r="CE99" s="62">
        <f t="shared" si="94"/>
        <v>204.26941562549416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4.1025641025640995</v>
      </c>
      <c r="CT99" s="13">
        <f>IF('Données projet'!$A$140&gt;35,CT98+CS99-DB98,IF(A99&lt;'Données projet'!$A$140,$CQ$205^A99,IF(A99='Données projet'!$A$140,'Données projet'!$B$140,CT98+CS99-DB98)))</f>
        <v>359.23076923076945</v>
      </c>
      <c r="CU99" s="18">
        <f>CT99*VLOOKUP('Données projet'!$B$13,Paramètres!$A$1:$I$89,3,0)*VLOOKUP('Données projet'!$B$13,Paramètres!$A$1:$I$89,5,0)</f>
        <v>375.46800000000025</v>
      </c>
      <c r="CV99" s="14">
        <f t="shared" si="95"/>
        <v>86.785007475774094</v>
      </c>
      <c r="CW99" s="22">
        <f t="shared" si="67"/>
        <v>805.09065468697361</v>
      </c>
      <c r="CX99" s="62">
        <f t="shared" si="68"/>
        <v>1098.423988020307</v>
      </c>
      <c r="CY99" s="62">
        <f ca="1">AVERAGE(OFFSET($CX$3,0,0,'Données projet'!$E$13+1,1))-AVERAGE(OFFSET($H$3,0,0,'Données projet'!$E$13+1,1))</f>
        <v>492.66134897013183</v>
      </c>
      <c r="CZ99" s="62">
        <f t="shared" si="96"/>
        <v>307.87428858945862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2">
        <f t="shared" si="55"/>
        <v>293.33333333333678</v>
      </c>
      <c r="S100" s="62">
        <f ca="1">AVERAGE(OFFSET($R$3,0,0,'Données projet'!$E$9+1,1))-AVERAGE(OFFSET($H$3,0,0,'Données projet'!$E$9+1,1))</f>
        <v>256.47911362806866</v>
      </c>
      <c r="T100" s="62">
        <f t="shared" si="88"/>
        <v>230.93438491511529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1.1838682956753446</v>
      </c>
      <c r="AA100" s="23">
        <f>EXP(-LN(2)/25)*AA99+(1-EXP(-LN(2)/25))/(LN(2)/25)*Calculateur!V100*Calculateur!X100*VLOOKUP('Données projet'!$B$9,Paramètres!$A$1:$I$89,3,0)*0.475*44/12</f>
        <v>1.2869195109884555</v>
      </c>
      <c r="AB100" s="23">
        <f>EXP(-LN(2)/2)*AB99+(1-EXP(-LN(2)/2))/(LN(2)/2)*V100*Y100*VLOOKUP('Données projet'!$B$9,Paramètres!$A$1:$I$89,3,0)*0.475*44/12</f>
        <v>5.0113649797440188E-10</v>
      </c>
      <c r="AC100" s="24">
        <f t="shared" si="57"/>
        <v>2.4707878071649367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</v>
      </c>
      <c r="AI100" s="14">
        <f>IF('Données projet'!$A$62&gt;35,AI99+AH100-AQ99,IF(A100&lt;'Données projet'!$A$62,$AF$205^A100,IF(A100='Données projet'!$A$62,'Données projet'!$B$62,AI99+AH100-AQ99)))</f>
        <v>241.99999999999994</v>
      </c>
      <c r="AJ100" s="14">
        <f>AI100*VLOOKUP('Données projet'!$B$10,Paramètres!$A$1:$I$89,3,0)*VLOOKUP('Données projet'!$B$10,Paramètres!$A$1:$I$89,5,0)</f>
        <v>211.41119999999998</v>
      </c>
      <c r="AK100" s="14">
        <f t="shared" si="89"/>
        <v>52.243848094411156</v>
      </c>
      <c r="AL100" s="22">
        <f t="shared" si="58"/>
        <v>459.19920876443274</v>
      </c>
      <c r="AM100" s="62">
        <f t="shared" si="59"/>
        <v>752.53254209776605</v>
      </c>
      <c r="AN100" s="62">
        <f ca="1">AVERAGE(OFFSET($AM$3,0,0,'Données projet'!$E$10+1,1))-AVERAGE(OFFSET($H$3,0,0,'Données projet'!$E$10+1,1))</f>
        <v>255.68195973350799</v>
      </c>
      <c r="AO100" s="62">
        <f t="shared" si="90"/>
        <v>269.20928353552461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243.51680047412441</v>
      </c>
      <c r="BJ100" s="62">
        <f t="shared" si="92"/>
        <v>224.00025638752402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-1.6671037883497774E-13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221.4629402571224</v>
      </c>
      <c r="CE100" s="62">
        <f t="shared" si="94"/>
        <v>204.26941562549416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4.1025641025640995</v>
      </c>
      <c r="CT100" s="13">
        <f>IF('Données projet'!$A$140&gt;35,CT99+CS100-DB99,IF(A100&lt;'Données projet'!$A$140,$CQ$205^A100,IF(A100='Données projet'!$A$140,'Données projet'!$B$140,CT99+CS100-DB99)))</f>
        <v>363.33333333333354</v>
      </c>
      <c r="CU100" s="18">
        <f>CT100*VLOOKUP('Données projet'!$B$13,Paramètres!$A$1:$I$89,3,0)*VLOOKUP('Données projet'!$B$13,Paramètres!$A$1:$I$89,5,0)</f>
        <v>379.75600000000026</v>
      </c>
      <c r="CV100" s="14">
        <f t="shared" si="95"/>
        <v>87.660182111279411</v>
      </c>
      <c r="CW100" s="22">
        <f t="shared" si="67"/>
        <v>814.08318384381209</v>
      </c>
      <c r="CX100" s="62">
        <f t="shared" si="68"/>
        <v>1107.4165171771454</v>
      </c>
      <c r="CY100" s="62">
        <f ca="1">AVERAGE(OFFSET($CX$3,0,0,'Données projet'!$E$13+1,1))-AVERAGE(OFFSET($H$3,0,0,'Données projet'!$E$13+1,1))</f>
        <v>492.66134897013183</v>
      </c>
      <c r="CZ100" s="62">
        <f t="shared" si="96"/>
        <v>307.87428858945862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2">
        <f t="shared" si="55"/>
        <v>293.33333333333678</v>
      </c>
      <c r="S101" s="62">
        <f ca="1">AVERAGE(OFFSET($R$3,0,0,'Données projet'!$E$9+1,1))-AVERAGE(OFFSET($H$3,0,0,'Données projet'!$E$9+1,1))</f>
        <v>256.47911362806866</v>
      </c>
      <c r="T101" s="62">
        <f t="shared" si="88"/>
        <v>230.93438491511529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1.1606533604855112</v>
      </c>
      <c r="AA101" s="23">
        <f>EXP(-LN(2)/25)*AA100+(1-EXP(-LN(2)/25))/(LN(2)/25)*Calculateur!V101*Calculateur!X101*VLOOKUP('Données projet'!$B$9,Paramètres!$A$1:$I$89,3,0)*0.475*44/12</f>
        <v>1.2517286292843204</v>
      </c>
      <c r="AB101" s="23">
        <f>EXP(-LN(2)/2)*AB100+(1-EXP(-LN(2)/2))/(LN(2)/2)*V101*Y101*VLOOKUP('Données projet'!$B$9,Paramètres!$A$1:$I$89,3,0)*0.475*44/12</f>
        <v>3.5435701601777812E-10</v>
      </c>
      <c r="AC101" s="24">
        <f t="shared" si="57"/>
        <v>2.4123819901241883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</v>
      </c>
      <c r="AI101" s="14">
        <f>IF('Données projet'!$A$62&gt;35,AI100+AH101-AQ100,IF(A101&lt;'Données projet'!$A$62,$AF$205^A101,IF(A101='Données projet'!$A$62,'Données projet'!$B$62,AI100+AH101-AQ100)))</f>
        <v>244.99999999999994</v>
      </c>
      <c r="AJ101" s="14">
        <f>AI101*VLOOKUP('Données projet'!$B$10,Paramètres!$A$1:$I$89,3,0)*VLOOKUP('Données projet'!$B$10,Paramètres!$A$1:$I$89,5,0)</f>
        <v>214.03199999999998</v>
      </c>
      <c r="AK101" s="14">
        <f t="shared" si="89"/>
        <v>52.815701536972242</v>
      </c>
      <c r="AL101" s="22">
        <f t="shared" si="58"/>
        <v>464.75974684355998</v>
      </c>
      <c r="AM101" s="62">
        <f t="shared" si="59"/>
        <v>758.0930801768933</v>
      </c>
      <c r="AN101" s="62">
        <f ca="1">AVERAGE(OFFSET($AM$3,0,0,'Données projet'!$E$10+1,1))-AVERAGE(OFFSET($H$3,0,0,'Données projet'!$E$10+1,1))</f>
        <v>255.68195973350799</v>
      </c>
      <c r="AO101" s="62">
        <f t="shared" si="90"/>
        <v>269.20928353552461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243.51680047412441</v>
      </c>
      <c r="BJ101" s="62">
        <f t="shared" si="92"/>
        <v>224.00025638752402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-1.6671037883497774E-13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221.4629402571224</v>
      </c>
      <c r="CE101" s="62">
        <f t="shared" si="94"/>
        <v>204.26941562549416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4.1025641025640995</v>
      </c>
      <c r="CT101" s="13">
        <f>IF('Données projet'!$A$140&gt;35,CT100+CS101-DB100,IF(A101&lt;'Données projet'!$A$140,$CQ$205^A101,IF(A101='Données projet'!$A$140,'Données projet'!$B$140,CT100+CS101-DB100)))</f>
        <v>367.43589743589763</v>
      </c>
      <c r="CU101" s="18">
        <f>CT101*VLOOKUP('Données projet'!$B$13,Paramètres!$A$1:$I$89,3,0)*VLOOKUP('Données projet'!$B$13,Paramètres!$A$1:$I$89,5,0)</f>
        <v>384.04400000000021</v>
      </c>
      <c r="CV101" s="14">
        <f t="shared" si="95"/>
        <v>88.534207211718865</v>
      </c>
      <c r="CW101" s="22">
        <f t="shared" si="67"/>
        <v>823.07371089374408</v>
      </c>
      <c r="CX101" s="62">
        <f t="shared" si="68"/>
        <v>1116.4070442270774</v>
      </c>
      <c r="CY101" s="62">
        <f ca="1">AVERAGE(OFFSET($CX$3,0,0,'Données projet'!$E$13+1,1))-AVERAGE(OFFSET($H$3,0,0,'Données projet'!$E$13+1,1))</f>
        <v>492.66134897013183</v>
      </c>
      <c r="CZ101" s="62">
        <f t="shared" si="96"/>
        <v>307.87428858945862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2">
        <f t="shared" si="55"/>
        <v>293.33333333333678</v>
      </c>
      <c r="S102" s="62">
        <f ca="1">AVERAGE(OFFSET($R$3,0,0,'Données projet'!$E$9+1,1))-AVERAGE(OFFSET($H$3,0,0,'Données projet'!$E$9+1,1))</f>
        <v>256.47911362806866</v>
      </c>
      <c r="T102" s="62">
        <f t="shared" si="88"/>
        <v>230.93438491511529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1.1378936560150381</v>
      </c>
      <c r="AA102" s="23">
        <f>EXP(-LN(2)/25)*AA101+(1-EXP(-LN(2)/25))/(LN(2)/25)*Calculateur!V102*Calculateur!X102*VLOOKUP('Données projet'!$B$9,Paramètres!$A$1:$I$89,3,0)*0.475*44/12</f>
        <v>1.2175000440909929</v>
      </c>
      <c r="AB102" s="23">
        <f>EXP(-LN(2)/2)*AB101+(1-EXP(-LN(2)/2))/(LN(2)/2)*V102*Y102*VLOOKUP('Données projet'!$B$9,Paramètres!$A$1:$I$89,3,0)*0.475*44/12</f>
        <v>2.5056824898720094E-10</v>
      </c>
      <c r="AC102" s="24">
        <f t="shared" si="57"/>
        <v>2.3553937003565997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</v>
      </c>
      <c r="AI102" s="14">
        <f>IF('Données projet'!$A$62&gt;35,AI101+AH102-AQ101,IF(A102&lt;'Données projet'!$A$62,$AF$205^A102,IF(A102='Données projet'!$A$62,'Données projet'!$B$62,AI101+AH102-AQ101)))</f>
        <v>247.99999999999994</v>
      </c>
      <c r="AJ102" s="14">
        <f>AI102*VLOOKUP('Données projet'!$B$10,Paramètres!$A$1:$I$89,3,0)*VLOOKUP('Données projet'!$B$10,Paramètres!$A$1:$I$89,5,0)</f>
        <v>216.65280000000001</v>
      </c>
      <c r="AK102" s="14">
        <f t="shared" si="89"/>
        <v>53.38674047237982</v>
      </c>
      <c r="AL102" s="22">
        <f t="shared" si="58"/>
        <v>470.31886632272813</v>
      </c>
      <c r="AM102" s="62">
        <f t="shared" si="59"/>
        <v>763.65219965606138</v>
      </c>
      <c r="AN102" s="62">
        <f ca="1">AVERAGE(OFFSET($AM$3,0,0,'Données projet'!$E$10+1,1))-AVERAGE(OFFSET($H$3,0,0,'Données projet'!$E$10+1,1))</f>
        <v>255.68195973350799</v>
      </c>
      <c r="AO102" s="62">
        <f t="shared" si="90"/>
        <v>269.20928353552461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243.51680047412441</v>
      </c>
      <c r="BJ102" s="62">
        <f t="shared" si="92"/>
        <v>224.00025638752402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-1.6671037883497774E-13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221.4629402571224</v>
      </c>
      <c r="CE102" s="62">
        <f t="shared" si="94"/>
        <v>204.26941562549416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4.1025641025640995</v>
      </c>
      <c r="CT102" s="13">
        <f>IF('Données projet'!$A$140&gt;35,CT101+CS102-DB101,IF(A102&lt;'Données projet'!$A$140,$CQ$205^A102,IF(A102='Données projet'!$A$140,'Données projet'!$B$140,CT101+CS102-DB101)))</f>
        <v>371.53846153846172</v>
      </c>
      <c r="CU102" s="18">
        <f>CT102*VLOOKUP('Données projet'!$B$13,Paramètres!$A$1:$I$89,3,0)*VLOOKUP('Données projet'!$B$13,Paramètres!$A$1:$I$89,5,0)</f>
        <v>388.33200000000022</v>
      </c>
      <c r="CV102" s="14">
        <f t="shared" si="95"/>
        <v>89.407097097381993</v>
      </c>
      <c r="CW102" s="22">
        <f t="shared" si="67"/>
        <v>832.06226077794065</v>
      </c>
      <c r="CX102" s="62">
        <f t="shared" si="68"/>
        <v>1125.395594111274</v>
      </c>
      <c r="CY102" s="62">
        <f ca="1">AVERAGE(OFFSET($CX$3,0,0,'Données projet'!$E$13+1,1))-AVERAGE(OFFSET($H$3,0,0,'Données projet'!$E$13+1,1))</f>
        <v>492.66134897013183</v>
      </c>
      <c r="CZ102" s="62">
        <f t="shared" si="96"/>
        <v>307.87428858945862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2">
        <f t="shared" si="55"/>
        <v>293.33333333333678</v>
      </c>
      <c r="S103" s="62">
        <f ca="1">AVERAGE(OFFSET($R$3,0,0,'Données projet'!$E$9+1,1))-AVERAGE(OFFSET($H$3,0,0,'Données projet'!$E$9+1,1))</f>
        <v>256.47911362806866</v>
      </c>
      <c r="T103" s="62">
        <f t="shared" si="88"/>
        <v>230.93438491511529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1.1155802554671819</v>
      </c>
      <c r="AA103" s="23">
        <f>EXP(-LN(2)/25)*AA102+(1-EXP(-LN(2)/25))/(LN(2)/25)*Calculateur!V103*Calculateur!X103*VLOOKUP('Données projet'!$B$9,Paramètres!$A$1:$I$89,3,0)*0.475*44/12</f>
        <v>1.1842074413597801</v>
      </c>
      <c r="AB103" s="23">
        <f>EXP(-LN(2)/2)*AB102+(1-EXP(-LN(2)/2))/(LN(2)/2)*V103*Y103*VLOOKUP('Données projet'!$B$9,Paramètres!$A$1:$I$89,3,0)*0.475*44/12</f>
        <v>1.7717850800888906E-10</v>
      </c>
      <c r="AC103" s="24">
        <f t="shared" si="57"/>
        <v>2.2997876970041404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251</v>
      </c>
      <c r="AG103" s="13">
        <f>VLOOKUP(A103,'Données projet'!$A$61:$I$81,9,0)</f>
        <v>3</v>
      </c>
      <c r="AH103" s="13">
        <f t="array" ref="AH103">INDEX(AG:AG,MIN(IF(ISNUMBER(AG103:AG299),ROW(AG103:AG299),"")))</f>
        <v>3</v>
      </c>
      <c r="AI103" s="14">
        <f>IF('Données projet'!$A$62&gt;35,AI102+AH103-AQ102,IF(A103&lt;'Données projet'!$A$62,$AF$205^A103,IF(A103='Données projet'!$A$62,'Données projet'!$B$62,AI102+AH103-AQ102)))</f>
        <v>250.99999999999994</v>
      </c>
      <c r="AJ103" s="14">
        <f>AI103*VLOOKUP('Données projet'!$B$10,Paramètres!$A$1:$I$89,3,0)*VLOOKUP('Données projet'!$B$10,Paramètres!$A$1:$I$89,5,0)</f>
        <v>219.27359999999996</v>
      </c>
      <c r="AK103" s="14">
        <f t="shared" si="89"/>
        <v>53.956975893220125</v>
      </c>
      <c r="AL103" s="22">
        <f t="shared" si="58"/>
        <v>475.87658634735823</v>
      </c>
      <c r="AM103" s="62">
        <f t="shared" si="59"/>
        <v>769.20991968069154</v>
      </c>
      <c r="AN103" s="62">
        <f ca="1">AVERAGE(OFFSET($AM$3,0,0,'Données projet'!$E$10+1,1))-AVERAGE(OFFSET($H$3,0,0,'Données projet'!$E$10+1,1))</f>
        <v>255.68195973350799</v>
      </c>
      <c r="AO103" s="62">
        <f t="shared" si="90"/>
        <v>269.20928353552461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251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243.51680047412441</v>
      </c>
      <c r="BJ103" s="62">
        <f t="shared" si="92"/>
        <v>224.00025638752402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-1.6671037883497774E-13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221.4629402571224</v>
      </c>
      <c r="CE103" s="62">
        <f t="shared" si="94"/>
        <v>204.26941562549416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375.64102564102564</v>
      </c>
      <c r="CR103" s="13">
        <f>VLOOKUP(A103,'Données projet'!$A$139:$I$159,9,0)</f>
        <v>4.1025641025640995</v>
      </c>
      <c r="CS103" s="13">
        <f t="array" ref="CS103">INDEX(CR:CR,MIN(IF(ISNUMBER(CR103:CR299),ROW(CR103:CR299),"")))</f>
        <v>4.1025641025640995</v>
      </c>
      <c r="CT103" s="13">
        <f>IF('Données projet'!$A$140&gt;35,CT102+CS103-DB102,IF(A103&lt;'Données projet'!$A$140,$CQ$205^A103,IF(A103='Données projet'!$A$140,'Données projet'!$B$140,CT102+CS103-DB102)))</f>
        <v>375.64102564102581</v>
      </c>
      <c r="CU103" s="18">
        <f>CT103*VLOOKUP('Données projet'!$B$13,Paramètres!$A$1:$I$89,3,0)*VLOOKUP('Données projet'!$B$13,Paramètres!$A$1:$I$89,5,0)</f>
        <v>392.62000000000018</v>
      </c>
      <c r="CV103" s="14">
        <f t="shared" si="95"/>
        <v>90.278865754094838</v>
      </c>
      <c r="CW103" s="22">
        <f t="shared" si="67"/>
        <v>841.04885785504882</v>
      </c>
      <c r="CX103" s="62">
        <f t="shared" si="68"/>
        <v>1134.3821911883822</v>
      </c>
      <c r="CY103" s="62">
        <f ca="1">AVERAGE(OFFSET($CX$3,0,0,'Données projet'!$E$13+1,1))-AVERAGE(OFFSET($H$3,0,0,'Données projet'!$E$13+1,1))</f>
        <v>492.66134897013183</v>
      </c>
      <c r="CZ103" s="62">
        <f t="shared" si="96"/>
        <v>307.87428858945862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24.358974358974358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2">
        <f t="shared" si="55"/>
        <v>293.33333333333678</v>
      </c>
      <c r="S104" s="62">
        <f ca="1">AVERAGE(OFFSET($R$3,0,0,'Données projet'!$E$9+1,1))-AVERAGE(OFFSET($H$3,0,0,'Données projet'!$E$9+1,1))</f>
        <v>256.47911362806866</v>
      </c>
      <c r="T104" s="62">
        <f t="shared" si="88"/>
        <v>230.93438491511529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1.0937044070942388</v>
      </c>
      <c r="AA104" s="23">
        <f>EXP(-LN(2)/25)*AA103+(1-EXP(-LN(2)/25))/(LN(2)/25)*Calculateur!V104*Calculateur!X104*VLOOKUP('Données projet'!$B$9,Paramètres!$A$1:$I$89,3,0)*0.475*44/12</f>
        <v>1.151825226601034</v>
      </c>
      <c r="AB104" s="23">
        <f>EXP(-LN(2)/2)*AB103+(1-EXP(-LN(2)/2))/(LN(2)/2)*V104*Y104*VLOOKUP('Données projet'!$B$9,Paramètres!$A$1:$I$89,3,0)*0.475*44/12</f>
        <v>1.2528412449360047E-10</v>
      </c>
      <c r="AC104" s="24">
        <f t="shared" si="57"/>
        <v>2.2455296338205568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-4.9658410716801891E-14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255.68195973350799</v>
      </c>
      <c r="AO104" s="62">
        <f t="shared" si="90"/>
        <v>269.20928353552461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243.51680047412441</v>
      </c>
      <c r="BJ104" s="62">
        <f t="shared" si="92"/>
        <v>224.00025638752402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-1.6671037883497774E-13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221.4629402571224</v>
      </c>
      <c r="CE104" s="62">
        <f t="shared" si="94"/>
        <v>204.26941562549416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3.7179487179487181</v>
      </c>
      <c r="CT104" s="13">
        <f>IF('Données projet'!$A$140&gt;35,CT103+CS104-DB103,IF(A104&lt;'Données projet'!$A$140,$CQ$205^A104,IF(A104='Données projet'!$A$140,'Données projet'!$B$140,CT103+CS104-DB103)))</f>
        <v>355.00000000000017</v>
      </c>
      <c r="CU104" s="18">
        <f>CT104*VLOOKUP('Données projet'!$B$13,Paramètres!$A$1:$I$89,3,0)*VLOOKUP('Données projet'!$B$13,Paramètres!$A$1:$I$89,5,0)</f>
        <v>371.04600000000022</v>
      </c>
      <c r="CV104" s="14">
        <f t="shared" si="95"/>
        <v>85.881264127803803</v>
      </c>
      <c r="CW104" s="22">
        <f t="shared" si="67"/>
        <v>795.81498502259194</v>
      </c>
      <c r="CX104" s="62">
        <f t="shared" si="68"/>
        <v>1089.1483183559253</v>
      </c>
      <c r="CY104" s="62">
        <f ca="1">AVERAGE(OFFSET($CX$3,0,0,'Données projet'!$E$13+1,1))-AVERAGE(OFFSET($H$3,0,0,'Données projet'!$E$13+1,1))</f>
        <v>492.66134897013183</v>
      </c>
      <c r="CZ104" s="62">
        <f t="shared" si="96"/>
        <v>307.87428858945862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2">
        <f t="shared" si="55"/>
        <v>293.33333333333678</v>
      </c>
      <c r="S105" s="62">
        <f ca="1">AVERAGE(OFFSET($R$3,0,0,'Données projet'!$E$9+1,1))-AVERAGE(OFFSET($H$3,0,0,'Données projet'!$E$9+1,1))</f>
        <v>256.47911362806866</v>
      </c>
      <c r="T105" s="62">
        <f t="shared" si="88"/>
        <v>230.93438491511529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1.0722575307649391</v>
      </c>
      <c r="AA105" s="23">
        <f>EXP(-LN(2)/25)*AA104+(1-EXP(-LN(2)/25))/(LN(2)/25)*Calculateur!V105*Calculateur!X105*VLOOKUP('Données projet'!$B$9,Paramètres!$A$1:$I$89,3,0)*0.475*44/12</f>
        <v>1.1203285052077727</v>
      </c>
      <c r="AB105" s="23">
        <f>EXP(-LN(2)/2)*AB104+(1-EXP(-LN(2)/2))/(LN(2)/2)*V105*Y105*VLOOKUP('Données projet'!$B$9,Paramètres!$A$1:$I$89,3,0)*0.475*44/12</f>
        <v>8.8589254004444529E-11</v>
      </c>
      <c r="AC105" s="24">
        <f t="shared" si="57"/>
        <v>2.192586036061301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-4.9658410716801891E-14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255.68195973350799</v>
      </c>
      <c r="AO105" s="62">
        <f t="shared" si="90"/>
        <v>269.20928353552461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243.51680047412441</v>
      </c>
      <c r="BJ105" s="62">
        <f t="shared" si="92"/>
        <v>224.00025638752402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-1.6671037883497774E-13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221.4629402571224</v>
      </c>
      <c r="CE105" s="62">
        <f t="shared" si="94"/>
        <v>204.26941562549416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3.7179487179487181</v>
      </c>
      <c r="CT105" s="13">
        <f>IF('Données projet'!$A$140&gt;35,CT104+CS105-DB104,IF(A105&lt;'Données projet'!$A$140,$CQ$205^A105,IF(A105='Données projet'!$A$140,'Données projet'!$B$140,CT104+CS105-DB104)))</f>
        <v>358.7179487179489</v>
      </c>
      <c r="CU105" s="18">
        <f>CT105*VLOOKUP('Données projet'!$B$13,Paramètres!$A$1:$I$89,3,0)*VLOOKUP('Données projet'!$B$13,Paramètres!$A$1:$I$89,5,0)</f>
        <v>374.93200000000019</v>
      </c>
      <c r="CV105" s="14">
        <f t="shared" si="95"/>
        <v>86.675529093040339</v>
      </c>
      <c r="CW105" s="22">
        <f t="shared" si="67"/>
        <v>803.96644650371218</v>
      </c>
      <c r="CX105" s="62">
        <f t="shared" si="68"/>
        <v>1097.2997798370454</v>
      </c>
      <c r="CY105" s="62">
        <f ca="1">AVERAGE(OFFSET($CX$3,0,0,'Données projet'!$E$13+1,1))-AVERAGE(OFFSET($H$3,0,0,'Données projet'!$E$13+1,1))</f>
        <v>492.66134897013183</v>
      </c>
      <c r="CZ105" s="62">
        <f t="shared" si="96"/>
        <v>307.87428858945862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2">
        <f t="shared" si="55"/>
        <v>293.33333333333678</v>
      </c>
      <c r="S106" s="62">
        <f ca="1">AVERAGE(OFFSET($R$3,0,0,'Données projet'!$E$9+1,1))-AVERAGE(OFFSET($H$3,0,0,'Données projet'!$E$9+1,1))</f>
        <v>256.47911362806866</v>
      </c>
      <c r="T106" s="62">
        <f t="shared" si="88"/>
        <v>230.93438491511529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1.051231214599154</v>
      </c>
      <c r="AA106" s="23">
        <f>EXP(-LN(2)/25)*AA105+(1-EXP(-LN(2)/25))/(LN(2)/25)*Calculateur!V106*Calculateur!X106*VLOOKUP('Données projet'!$B$9,Paramètres!$A$1:$I$89,3,0)*0.475*44/12</f>
        <v>1.0896930633173507</v>
      </c>
      <c r="AB106" s="23">
        <f>EXP(-LN(2)/2)*AB105+(1-EXP(-LN(2)/2))/(LN(2)/2)*V106*Y106*VLOOKUP('Données projet'!$B$9,Paramètres!$A$1:$I$89,3,0)*0.475*44/12</f>
        <v>6.2642062246800235E-11</v>
      </c>
      <c r="AC106" s="24">
        <f t="shared" si="57"/>
        <v>2.1409242779791469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-4.9658410716801891E-14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255.68195973350799</v>
      </c>
      <c r="AO106" s="62">
        <f t="shared" si="90"/>
        <v>269.20928353552461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243.51680047412441</v>
      </c>
      <c r="BJ106" s="62">
        <f t="shared" si="92"/>
        <v>224.00025638752402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-1.6671037883497774E-13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221.4629402571224</v>
      </c>
      <c r="CE106" s="62">
        <f t="shared" si="94"/>
        <v>204.26941562549416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3.7179487179487181</v>
      </c>
      <c r="CT106" s="13">
        <f>IF('Données projet'!$A$140&gt;35,CT105+CS106-DB105,IF(A106&lt;'Données projet'!$A$140,$CQ$205^A106,IF(A106='Données projet'!$A$140,'Données projet'!$B$140,CT105+CS106-DB105)))</f>
        <v>362.43589743589763</v>
      </c>
      <c r="CU106" s="18">
        <f>CT106*VLOOKUP('Données projet'!$B$13,Paramètres!$A$1:$I$89,3,0)*VLOOKUP('Données projet'!$B$13,Paramètres!$A$1:$I$89,5,0)</f>
        <v>378.81800000000021</v>
      </c>
      <c r="CV106" s="14">
        <f t="shared" si="95"/>
        <v>87.468836390332655</v>
      </c>
      <c r="CW106" s="22">
        <f t="shared" si="67"/>
        <v>812.11624004649639</v>
      </c>
      <c r="CX106" s="62">
        <f t="shared" si="68"/>
        <v>1105.4495733798296</v>
      </c>
      <c r="CY106" s="62">
        <f ca="1">AVERAGE(OFFSET($CX$3,0,0,'Données projet'!$E$13+1,1))-AVERAGE(OFFSET($H$3,0,0,'Données projet'!$E$13+1,1))</f>
        <v>492.66134897013183</v>
      </c>
      <c r="CZ106" s="62">
        <f t="shared" si="96"/>
        <v>307.87428858945862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2">
        <f t="shared" si="55"/>
        <v>293.33333333333678</v>
      </c>
      <c r="S107" s="62">
        <f ca="1">AVERAGE(OFFSET($R$3,0,0,'Données projet'!$E$9+1,1))-AVERAGE(OFFSET($H$3,0,0,'Données projet'!$E$9+1,1))</f>
        <v>256.47911362806866</v>
      </c>
      <c r="T107" s="62">
        <f t="shared" si="88"/>
        <v>230.93438491511529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1.0306172116685934</v>
      </c>
      <c r="AA107" s="23">
        <f>EXP(-LN(2)/25)*AA106+(1-EXP(-LN(2)/25))/(LN(2)/25)*Calculateur!V107*Calculateur!X107*VLOOKUP('Données projet'!$B$9,Paramètres!$A$1:$I$89,3,0)*0.475*44/12</f>
        <v>1.05989534919647</v>
      </c>
      <c r="AB107" s="23">
        <f>EXP(-LN(2)/2)*AB106+(1-EXP(-LN(2)/2))/(LN(2)/2)*V107*Y107*VLOOKUP('Données projet'!$B$9,Paramètres!$A$1:$I$89,3,0)*0.475*44/12</f>
        <v>4.4294627002222264E-11</v>
      </c>
      <c r="AC107" s="24">
        <f t="shared" si="57"/>
        <v>2.090512560909358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-4.9658410716801891E-14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255.68195973350799</v>
      </c>
      <c r="AO107" s="62">
        <f t="shared" si="90"/>
        <v>269.20928353552461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243.51680047412441</v>
      </c>
      <c r="BJ107" s="62">
        <f t="shared" si="92"/>
        <v>224.00025638752402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-1.6671037883497774E-13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221.4629402571224</v>
      </c>
      <c r="CE107" s="62">
        <f t="shared" si="94"/>
        <v>204.26941562549416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3.7179487179487181</v>
      </c>
      <c r="CT107" s="13">
        <f>IF('Données projet'!$A$140&gt;35,CT106+CS107-DB106,IF(A107&lt;'Données projet'!$A$140,$CQ$205^A107,IF(A107='Données projet'!$A$140,'Données projet'!$B$140,CT106+CS107-DB106)))</f>
        <v>366.15384615384636</v>
      </c>
      <c r="CU107" s="18">
        <f>CT107*VLOOKUP('Données projet'!$B$13,Paramètres!$A$1:$I$89,3,0)*VLOOKUP('Données projet'!$B$13,Paramètres!$A$1:$I$89,5,0)</f>
        <v>382.70400000000024</v>
      </c>
      <c r="CV107" s="14">
        <f t="shared" si="95"/>
        <v>88.26119698100473</v>
      </c>
      <c r="CW107" s="22">
        <f t="shared" si="67"/>
        <v>820.26438474191684</v>
      </c>
      <c r="CX107" s="62">
        <f t="shared" si="68"/>
        <v>1113.5977180752502</v>
      </c>
      <c r="CY107" s="62">
        <f ca="1">AVERAGE(OFFSET($CX$3,0,0,'Données projet'!$E$13+1,1))-AVERAGE(OFFSET($H$3,0,0,'Données projet'!$E$13+1,1))</f>
        <v>492.66134897013183</v>
      </c>
      <c r="CZ107" s="62">
        <f t="shared" si="96"/>
        <v>307.87428858945862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2">
        <f t="shared" si="55"/>
        <v>293.33333333333678</v>
      </c>
      <c r="S108" s="62">
        <f ca="1">AVERAGE(OFFSET($R$3,0,0,'Données projet'!$E$9+1,1))-AVERAGE(OFFSET($H$3,0,0,'Données projet'!$E$9+1,1))</f>
        <v>256.47911362806866</v>
      </c>
      <c r="T108" s="62">
        <f t="shared" si="88"/>
        <v>230.93438491511529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1.0104074367622009</v>
      </c>
      <c r="AA108" s="23">
        <f>EXP(-LN(2)/25)*AA107+(1-EXP(-LN(2)/25))/(LN(2)/25)*Calculateur!V108*Calculateur!X108*VLOOKUP('Données projet'!$B$9,Paramètres!$A$1:$I$89,3,0)*0.475*44/12</f>
        <v>1.0309124551352185</v>
      </c>
      <c r="AB108" s="23">
        <f>EXP(-LN(2)/2)*AB107+(1-EXP(-LN(2)/2))/(LN(2)/2)*V108*Y108*VLOOKUP('Données projet'!$B$9,Paramètres!$A$1:$I$89,3,0)*0.475*44/12</f>
        <v>3.1321031123400118E-11</v>
      </c>
      <c r="AC108" s="24">
        <f t="shared" si="57"/>
        <v>2.0413198919287407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-4.9658410716801891E-14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255.68195973350799</v>
      </c>
      <c r="AO108" s="62">
        <f t="shared" si="90"/>
        <v>269.20928353552461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243.51680047412441</v>
      </c>
      <c r="BJ108" s="62">
        <f t="shared" si="92"/>
        <v>224.00025638752402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-1.6671037883497774E-13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221.4629402571224</v>
      </c>
      <c r="CE108" s="62">
        <f t="shared" si="94"/>
        <v>204.26941562549416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3.7179487179487181</v>
      </c>
      <c r="CT108" s="13">
        <f>IF('Données projet'!$A$140&gt;35,CT107+CS108-DB107,IF(A108&lt;'Données projet'!$A$140,$CQ$205^A108,IF(A108='Données projet'!$A$140,'Données projet'!$B$140,CT107+CS108-DB107)))</f>
        <v>369.87179487179509</v>
      </c>
      <c r="CU108" s="18">
        <f>CT108*VLOOKUP('Données projet'!$B$13,Paramètres!$A$1:$I$89,3,0)*VLOOKUP('Données projet'!$B$13,Paramètres!$A$1:$I$89,5,0)</f>
        <v>386.59000000000026</v>
      </c>
      <c r="CV108" s="14">
        <f t="shared" si="95"/>
        <v>89.05262159094805</v>
      </c>
      <c r="CW108" s="22">
        <f t="shared" si="67"/>
        <v>828.41089927090161</v>
      </c>
      <c r="CX108" s="62">
        <f t="shared" si="68"/>
        <v>1121.7442326042349</v>
      </c>
      <c r="CY108" s="62">
        <f ca="1">AVERAGE(OFFSET($CX$3,0,0,'Données projet'!$E$13+1,1))-AVERAGE(OFFSET($H$3,0,0,'Données projet'!$E$13+1,1))</f>
        <v>492.66134897013183</v>
      </c>
      <c r="CZ108" s="62">
        <f t="shared" si="96"/>
        <v>307.87428858945862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2">
        <f t="shared" si="55"/>
        <v>293.33333333333678</v>
      </c>
      <c r="S109" s="62">
        <f ca="1">AVERAGE(OFFSET($R$3,0,0,'Données projet'!$E$9+1,1))-AVERAGE(OFFSET($H$3,0,0,'Données projet'!$E$9+1,1))</f>
        <v>256.47911362806866</v>
      </c>
      <c r="T109" s="62">
        <f t="shared" si="88"/>
        <v>230.93438491511529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0.99059396321497717</v>
      </c>
      <c r="AA109" s="23">
        <f>EXP(-LN(2)/25)*AA108+(1-EXP(-LN(2)/25))/(LN(2)/25)*Calculateur!V109*Calculateur!X109*VLOOKUP('Données projet'!$B$9,Paramètres!$A$1:$I$89,3,0)*0.475*44/12</f>
        <v>1.0027220998362161</v>
      </c>
      <c r="AB109" s="23">
        <f>EXP(-LN(2)/2)*AB108+(1-EXP(-LN(2)/2))/(LN(2)/2)*V109*Y109*VLOOKUP('Données projet'!$B$9,Paramètres!$A$1:$I$89,3,0)*0.475*44/12</f>
        <v>2.2147313501111132E-11</v>
      </c>
      <c r="AC109" s="24">
        <f t="shared" si="57"/>
        <v>1.9933160630733406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-4.9658410716801891E-14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255.68195973350799</v>
      </c>
      <c r="AO109" s="62">
        <f t="shared" si="90"/>
        <v>269.20928353552461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243.51680047412441</v>
      </c>
      <c r="BJ109" s="62">
        <f t="shared" si="92"/>
        <v>224.00025638752402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-1.6671037883497774E-13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221.4629402571224</v>
      </c>
      <c r="CE109" s="62">
        <f t="shared" si="94"/>
        <v>204.26941562549416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3.7179487179487181</v>
      </c>
      <c r="CT109" s="13">
        <f>IF('Données projet'!$A$140&gt;35,CT108+CS109-DB108,IF(A109&lt;'Données projet'!$A$140,$CQ$205^A109,IF(A109='Données projet'!$A$140,'Données projet'!$B$140,CT108+CS109-DB108)))</f>
        <v>373.58974358974382</v>
      </c>
      <c r="CU109" s="18">
        <f>CT109*VLOOKUP('Données projet'!$B$13,Paramètres!$A$1:$I$89,3,0)*VLOOKUP('Données projet'!$B$13,Paramètres!$A$1:$I$89,5,0)</f>
        <v>390.47600000000028</v>
      </c>
      <c r="CV109" s="14">
        <f t="shared" si="95"/>
        <v>89.843120717993429</v>
      </c>
      <c r="CW109" s="22">
        <f t="shared" si="67"/>
        <v>836.55580191717229</v>
      </c>
      <c r="CX109" s="62">
        <f t="shared" si="68"/>
        <v>1129.8891352505057</v>
      </c>
      <c r="CY109" s="62">
        <f ca="1">AVERAGE(OFFSET($CX$3,0,0,'Données projet'!$E$13+1,1))-AVERAGE(OFFSET($H$3,0,0,'Données projet'!$E$13+1,1))</f>
        <v>492.66134897013183</v>
      </c>
      <c r="CZ109" s="62">
        <f t="shared" si="96"/>
        <v>307.87428858945862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2">
        <f t="shared" si="55"/>
        <v>293.33333333333678</v>
      </c>
      <c r="S110" s="62">
        <f ca="1">AVERAGE(OFFSET($R$3,0,0,'Données projet'!$E$9+1,1))-AVERAGE(OFFSET($H$3,0,0,'Données projet'!$E$9+1,1))</f>
        <v>256.47911362806866</v>
      </c>
      <c r="T110" s="62">
        <f t="shared" si="88"/>
        <v>230.93438491511529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0.97116901979898895</v>
      </c>
      <c r="AA110" s="23">
        <f>EXP(-LN(2)/25)*AA109+(1-EXP(-LN(2)/25))/(LN(2)/25)*Calculateur!V110*Calculateur!X110*VLOOKUP('Données projet'!$B$9,Paramètres!$A$1:$I$89,3,0)*0.475*44/12</f>
        <v>0.97530261128533124</v>
      </c>
      <c r="AB110" s="23">
        <f>EXP(-LN(2)/2)*AB109+(1-EXP(-LN(2)/2))/(LN(2)/2)*V110*Y110*VLOOKUP('Données projet'!$B$9,Paramètres!$A$1:$I$89,3,0)*0.475*44/12</f>
        <v>1.5660515561700059E-11</v>
      </c>
      <c r="AC110" s="24">
        <f t="shared" si="57"/>
        <v>1.9464716310999808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-4.9658410716801891E-14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255.68195973350799</v>
      </c>
      <c r="AO110" s="62">
        <f t="shared" si="90"/>
        <v>269.20928353552461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243.51680047412441</v>
      </c>
      <c r="BJ110" s="62">
        <f t="shared" si="92"/>
        <v>224.00025638752402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-1.6671037883497774E-13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221.4629402571224</v>
      </c>
      <c r="CE110" s="62">
        <f t="shared" si="94"/>
        <v>204.26941562549416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3.7179487179487181</v>
      </c>
      <c r="CT110" s="13">
        <f>IF('Données projet'!$A$140&gt;35,CT109+CS110-DB109,IF(A110&lt;'Données projet'!$A$140,$CQ$205^A110,IF(A110='Données projet'!$A$140,'Données projet'!$B$140,CT109+CS110-DB109)))</f>
        <v>377.30769230769255</v>
      </c>
      <c r="CU110" s="18">
        <f>CT110*VLOOKUP('Données projet'!$B$13,Paramètres!$A$1:$I$89,3,0)*VLOOKUP('Données projet'!$B$13,Paramètres!$A$1:$I$89,5,0)</f>
        <v>394.36200000000031</v>
      </c>
      <c r="CV110" s="14">
        <f t="shared" si="95"/>
        <v>90.632704638979718</v>
      </c>
      <c r="CW110" s="22">
        <f t="shared" si="67"/>
        <v>844.69911057955676</v>
      </c>
      <c r="CX110" s="62">
        <f t="shared" si="68"/>
        <v>1138.0324439128901</v>
      </c>
      <c r="CY110" s="62">
        <f ca="1">AVERAGE(OFFSET($CX$3,0,0,'Données projet'!$E$13+1,1))-AVERAGE(OFFSET($H$3,0,0,'Données projet'!$E$13+1,1))</f>
        <v>492.66134897013183</v>
      </c>
      <c r="CZ110" s="62">
        <f t="shared" si="96"/>
        <v>307.87428858945862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2">
        <f t="shared" si="55"/>
        <v>293.33333333333678</v>
      </c>
      <c r="S111" s="62">
        <f ca="1">AVERAGE(OFFSET($R$3,0,0,'Données projet'!$E$9+1,1))-AVERAGE(OFFSET($H$3,0,0,'Données projet'!$E$9+1,1))</f>
        <v>256.47911362806866</v>
      </c>
      <c r="T111" s="62">
        <f t="shared" si="88"/>
        <v>230.93438491511529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0.9521249876753427</v>
      </c>
      <c r="AA111" s="23">
        <f>EXP(-LN(2)/25)*AA110+(1-EXP(-LN(2)/25))/(LN(2)/25)*Calculateur!V111*Calculateur!X111*VLOOKUP('Données projet'!$B$9,Paramètres!$A$1:$I$89,3,0)*0.475*44/12</f>
        <v>0.94863291009079864</v>
      </c>
      <c r="AB111" s="23">
        <f>EXP(-LN(2)/2)*AB110+(1-EXP(-LN(2)/2))/(LN(2)/2)*V111*Y111*VLOOKUP('Données projet'!$B$9,Paramètres!$A$1:$I$89,3,0)*0.475*44/12</f>
        <v>1.1073656750555566E-11</v>
      </c>
      <c r="AC111" s="24">
        <f t="shared" si="57"/>
        <v>1.900757897777215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-4.9658410716801891E-14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255.68195973350799</v>
      </c>
      <c r="AO111" s="62">
        <f t="shared" si="90"/>
        <v>269.20928353552461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243.51680047412441</v>
      </c>
      <c r="BJ111" s="62">
        <f t="shared" si="92"/>
        <v>224.00025638752402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-1.6671037883497774E-13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221.4629402571224</v>
      </c>
      <c r="CE111" s="62">
        <f t="shared" si="94"/>
        <v>204.26941562549416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3.7179487179487181</v>
      </c>
      <c r="CT111" s="13">
        <f>IF('Données projet'!$A$140&gt;35,CT110+CS111-DB110,IF(A111&lt;'Données projet'!$A$140,$CQ$205^A111,IF(A111='Données projet'!$A$140,'Données projet'!$B$140,CT110+CS111-DB110)))</f>
        <v>381.02564102564128</v>
      </c>
      <c r="CU111" s="18">
        <f>CT111*VLOOKUP('Données projet'!$B$13,Paramètres!$A$1:$I$89,3,0)*VLOOKUP('Données projet'!$B$13,Paramètres!$A$1:$I$89,5,0)</f>
        <v>398.24800000000033</v>
      </c>
      <c r="CV111" s="14">
        <f t="shared" si="95"/>
        <v>91.421383416537566</v>
      </c>
      <c r="CW111" s="22">
        <f t="shared" si="67"/>
        <v>852.84084278380351</v>
      </c>
      <c r="CX111" s="62">
        <f t="shared" si="68"/>
        <v>1146.1741761171368</v>
      </c>
      <c r="CY111" s="62">
        <f ca="1">AVERAGE(OFFSET($CX$3,0,0,'Données projet'!$E$13+1,1))-AVERAGE(OFFSET($H$3,0,0,'Données projet'!$E$13+1,1))</f>
        <v>492.66134897013183</v>
      </c>
      <c r="CZ111" s="62">
        <f t="shared" si="96"/>
        <v>307.87428858945862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2">
        <f t="shared" si="55"/>
        <v>293.33333333333678</v>
      </c>
      <c r="S112" s="62">
        <f ca="1">AVERAGE(OFFSET($R$3,0,0,'Données projet'!$E$9+1,1))-AVERAGE(OFFSET($H$3,0,0,'Données projet'!$E$9+1,1))</f>
        <v>256.47911362806866</v>
      </c>
      <c r="T112" s="62">
        <f t="shared" si="88"/>
        <v>230.93438491511529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0.9334543974059285</v>
      </c>
      <c r="AA112" s="23">
        <f>EXP(-LN(2)/25)*AA111+(1-EXP(-LN(2)/25))/(LN(2)/25)*Calculateur!V112*Calculateur!X112*VLOOKUP('Données projet'!$B$9,Paramètres!$A$1:$I$89,3,0)*0.475*44/12</f>
        <v>0.92269249327792913</v>
      </c>
      <c r="AB112" s="23">
        <f>EXP(-LN(2)/2)*AB111+(1-EXP(-LN(2)/2))/(LN(2)/2)*V112*Y112*VLOOKUP('Données projet'!$B$9,Paramètres!$A$1:$I$89,3,0)*0.475*44/12</f>
        <v>7.8302577808500294E-12</v>
      </c>
      <c r="AC112" s="24">
        <f t="shared" si="57"/>
        <v>1.8561468906916878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-4.9658410716801891E-14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255.68195973350799</v>
      </c>
      <c r="AO112" s="62">
        <f t="shared" si="90"/>
        <v>269.20928353552461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243.51680047412441</v>
      </c>
      <c r="BJ112" s="62">
        <f t="shared" si="92"/>
        <v>224.00025638752402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-1.6671037883497774E-13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221.4629402571224</v>
      </c>
      <c r="CE112" s="62">
        <f t="shared" si="94"/>
        <v>204.26941562549416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3.7179487179487181</v>
      </c>
      <c r="CT112" s="13">
        <f>IF('Données projet'!$A$140&gt;35,CT111+CS112-DB111,IF(A112&lt;'Données projet'!$A$140,$CQ$205^A112,IF(A112='Données projet'!$A$140,'Données projet'!$B$140,CT111+CS112-DB111)))</f>
        <v>384.74358974359001</v>
      </c>
      <c r="CU112" s="18">
        <f>CT112*VLOOKUP('Données projet'!$B$13,Paramètres!$A$1:$I$89,3,0)*VLOOKUP('Données projet'!$B$13,Paramètres!$A$1:$I$89,5,0)</f>
        <v>402.13400000000036</v>
      </c>
      <c r="CV112" s="14">
        <f t="shared" si="95"/>
        <v>92.209166905599432</v>
      </c>
      <c r="CW112" s="22">
        <f t="shared" si="67"/>
        <v>860.98101569391963</v>
      </c>
      <c r="CX112" s="62">
        <f t="shared" si="68"/>
        <v>1154.314349027253</v>
      </c>
      <c r="CY112" s="62">
        <f ca="1">AVERAGE(OFFSET($CX$3,0,0,'Données projet'!$E$13+1,1))-AVERAGE(OFFSET($H$3,0,0,'Données projet'!$E$13+1,1))</f>
        <v>492.66134897013183</v>
      </c>
      <c r="CZ112" s="62">
        <f t="shared" si="96"/>
        <v>307.87428858945862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2">
        <f t="shared" si="55"/>
        <v>293.33333333333678</v>
      </c>
      <c r="S113" s="62">
        <f ca="1">AVERAGE(OFFSET($R$3,0,0,'Données projet'!$E$9+1,1))-AVERAGE(OFFSET($H$3,0,0,'Données projet'!$E$9+1,1))</f>
        <v>256.47911362806866</v>
      </c>
      <c r="T113" s="62">
        <f t="shared" si="88"/>
        <v>230.93438491511529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0.91514992602376188</v>
      </c>
      <c r="AA113" s="23">
        <f>EXP(-LN(2)/25)*AA112+(1-EXP(-LN(2)/25))/(LN(2)/25)*Calculateur!V113*Calculateur!X113*VLOOKUP('Données projet'!$B$9,Paramètres!$A$1:$I$89,3,0)*0.475*44/12</f>
        <v>0.89746141852695482</v>
      </c>
      <c r="AB113" s="23">
        <f>EXP(-LN(2)/2)*AB112+(1-EXP(-LN(2)/2))/(LN(2)/2)*V113*Y113*VLOOKUP('Données projet'!$B$9,Paramètres!$A$1:$I$89,3,0)*0.475*44/12</f>
        <v>5.5368283752777831E-12</v>
      </c>
      <c r="AC113" s="24">
        <f t="shared" si="57"/>
        <v>1.8126113445562537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-4.9658410716801891E-14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255.68195973350799</v>
      </c>
      <c r="AO113" s="62">
        <f t="shared" si="90"/>
        <v>269.20928353552461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243.51680047412441</v>
      </c>
      <c r="BJ113" s="62">
        <f t="shared" si="92"/>
        <v>224.00025638752402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-1.6671037883497774E-13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221.4629402571224</v>
      </c>
      <c r="CE113" s="62">
        <f t="shared" si="94"/>
        <v>204.26941562549416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388.46153846153845</v>
      </c>
      <c r="CR113" s="13">
        <f>VLOOKUP(A113,'Données projet'!$A$139:$I$159,9,0)</f>
        <v>3.7179487179487181</v>
      </c>
      <c r="CS113" s="13">
        <f t="array" ref="CS113">INDEX(CR:CR,MIN(IF(ISNUMBER(CR113:CR309),ROW(CR113:CR309),"")))</f>
        <v>3.7179487179487181</v>
      </c>
      <c r="CT113" s="13">
        <f>IF('Données projet'!$A$140&gt;35,CT112+CS113-DB112,IF(A113&lt;'Données projet'!$A$140,$CQ$205^A113,IF(A113='Données projet'!$A$140,'Données projet'!$B$140,CT112+CS113-DB112)))</f>
        <v>388.46153846153874</v>
      </c>
      <c r="CU113" s="18">
        <f>CT113*VLOOKUP('Données projet'!$B$13,Paramètres!$A$1:$I$89,3,0)*VLOOKUP('Données projet'!$B$13,Paramètres!$A$1:$I$89,5,0)</f>
        <v>406.02000000000027</v>
      </c>
      <c r="CV113" s="14">
        <f t="shared" si="95"/>
        <v>92.996064759651532</v>
      </c>
      <c r="CW113" s="22">
        <f t="shared" si="67"/>
        <v>869.11964612306019</v>
      </c>
      <c r="CX113" s="62">
        <f t="shared" si="68"/>
        <v>1162.4529794563935</v>
      </c>
      <c r="CY113" s="62">
        <f ca="1">AVERAGE(OFFSET($CX$3,0,0,'Données projet'!$E$13+1,1))-AVERAGE(OFFSET($H$3,0,0,'Données projet'!$E$13+1,1))</f>
        <v>492.66134897013183</v>
      </c>
      <c r="CZ113" s="62">
        <f t="shared" si="96"/>
        <v>307.87428858945862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23.076923076923077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2">
        <f t="shared" si="55"/>
        <v>293.33333333333678</v>
      </c>
      <c r="S114" s="62">
        <f ca="1">AVERAGE(OFFSET($R$3,0,0,'Données projet'!$E$9+1,1))-AVERAGE(OFFSET($H$3,0,0,'Données projet'!$E$9+1,1))</f>
        <v>256.47911362806866</v>
      </c>
      <c r="T114" s="62">
        <f t="shared" si="88"/>
        <v>230.93438491511529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0.89720439416077447</v>
      </c>
      <c r="AA114" s="23">
        <f>EXP(-LN(2)/25)*AA113+(1-EXP(-LN(2)/25))/(LN(2)/25)*Calculateur!V114*Calculateur!X114*VLOOKUP('Données projet'!$B$9,Paramètres!$A$1:$I$89,3,0)*0.475*44/12</f>
        <v>0.87292028884189043</v>
      </c>
      <c r="AB114" s="23">
        <f>EXP(-LN(2)/2)*AB113+(1-EXP(-LN(2)/2))/(LN(2)/2)*V114*Y114*VLOOKUP('Données projet'!$B$9,Paramètres!$A$1:$I$89,3,0)*0.475*44/12</f>
        <v>3.9151288904250147E-12</v>
      </c>
      <c r="AC114" s="24">
        <f t="shared" si="57"/>
        <v>1.77012468300658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-4.9658410716801891E-14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255.68195973350799</v>
      </c>
      <c r="AO114" s="62">
        <f t="shared" si="90"/>
        <v>269.20928353552461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243.51680047412441</v>
      </c>
      <c r="BJ114" s="62">
        <f t="shared" si="92"/>
        <v>224.00025638752402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-1.6671037883497774E-13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221.4629402571224</v>
      </c>
      <c r="CE114" s="62">
        <f t="shared" si="94"/>
        <v>204.26941562549416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3.3974358974359005</v>
      </c>
      <c r="CT114" s="13">
        <f>IF('Données projet'!$A$140&gt;35,CT113+CS114-DB113,IF(A114&lt;'Données projet'!$A$140,$CQ$205^A114,IF(A114='Données projet'!$A$140,'Données projet'!$B$140,CT113+CS114-DB113)))</f>
        <v>368.78205128205155</v>
      </c>
      <c r="CU114" s="18">
        <f>CT114*VLOOKUP('Données projet'!$B$13,Paramètres!$A$1:$I$89,3,0)*VLOOKUP('Données projet'!$B$13,Paramètres!$A$1:$I$89,5,0)</f>
        <v>385.45100000000031</v>
      </c>
      <c r="CV114" s="14">
        <f t="shared" si="95"/>
        <v>88.820748650387245</v>
      </c>
      <c r="CW114" s="22">
        <f t="shared" si="67"/>
        <v>826.02329556609175</v>
      </c>
      <c r="CX114" s="62">
        <f t="shared" si="68"/>
        <v>1119.356628899425</v>
      </c>
      <c r="CY114" s="62">
        <f ca="1">AVERAGE(OFFSET($CX$3,0,0,'Données projet'!$E$13+1,1))-AVERAGE(OFFSET($H$3,0,0,'Données projet'!$E$13+1,1))</f>
        <v>492.66134897013183</v>
      </c>
      <c r="CZ114" s="62">
        <f t="shared" si="96"/>
        <v>307.87428858945862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2">
        <f t="shared" si="55"/>
        <v>293.33333333333678</v>
      </c>
      <c r="S115" s="62">
        <f ca="1">AVERAGE(OFFSET($R$3,0,0,'Données projet'!$E$9+1,1))-AVERAGE(OFFSET($H$3,0,0,'Données projet'!$E$9+1,1))</f>
        <v>256.47911362806866</v>
      </c>
      <c r="T115" s="62">
        <f t="shared" si="88"/>
        <v>230.93438491511529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0.87961076323192655</v>
      </c>
      <c r="AA115" s="23">
        <f>EXP(-LN(2)/25)*AA114+(1-EXP(-LN(2)/25))/(LN(2)/25)*Calculateur!V115*Calculateur!X115*VLOOKUP('Données projet'!$B$9,Paramètres!$A$1:$I$89,3,0)*0.475*44/12</f>
        <v>0.84905023763862608</v>
      </c>
      <c r="AB115" s="23">
        <f>EXP(-LN(2)/2)*AB114+(1-EXP(-LN(2)/2))/(LN(2)/2)*V115*Y115*VLOOKUP('Données projet'!$B$9,Paramètres!$A$1:$I$89,3,0)*0.475*44/12</f>
        <v>2.7684141876388915E-12</v>
      </c>
      <c r="AC115" s="24">
        <f t="shared" si="57"/>
        <v>1.7286610008733212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-4.9658410716801891E-14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255.68195973350799</v>
      </c>
      <c r="AO115" s="62">
        <f t="shared" si="90"/>
        <v>269.20928353552461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243.51680047412441</v>
      </c>
      <c r="BJ115" s="62">
        <f t="shared" si="92"/>
        <v>224.00025638752402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-1.6671037883497774E-13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221.4629402571224</v>
      </c>
      <c r="CE115" s="62">
        <f t="shared" si="94"/>
        <v>204.26941562549416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3.3974358974359005</v>
      </c>
      <c r="CT115" s="13">
        <f>IF('Données projet'!$A$140&gt;35,CT114+CS115-DB114,IF(A115&lt;'Données projet'!$A$140,$CQ$205^A115,IF(A115='Données projet'!$A$140,'Données projet'!$B$140,CT114+CS115-DB114)))</f>
        <v>372.17948717948747</v>
      </c>
      <c r="CU115" s="18">
        <f>CT115*VLOOKUP('Données projet'!$B$13,Paramètres!$A$1:$I$89,3,0)*VLOOKUP('Données projet'!$B$13,Paramètres!$A$1:$I$89,5,0)</f>
        <v>389.00200000000035</v>
      </c>
      <c r="CV115" s="14">
        <f t="shared" si="95"/>
        <v>89.543384508286877</v>
      </c>
      <c r="CW115" s="22">
        <f t="shared" si="67"/>
        <v>833.46654468526685</v>
      </c>
      <c r="CX115" s="62">
        <f t="shared" si="68"/>
        <v>1126.7998780186001</v>
      </c>
      <c r="CY115" s="62">
        <f ca="1">AVERAGE(OFFSET($CX$3,0,0,'Données projet'!$E$13+1,1))-AVERAGE(OFFSET($H$3,0,0,'Données projet'!$E$13+1,1))</f>
        <v>492.66134897013183</v>
      </c>
      <c r="CZ115" s="62">
        <f t="shared" si="96"/>
        <v>307.87428858945862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2">
        <f t="shared" si="55"/>
        <v>293.33333333333678</v>
      </c>
      <c r="S116" s="62">
        <f ca="1">AVERAGE(OFFSET($R$3,0,0,'Données projet'!$E$9+1,1))-AVERAGE(OFFSET($H$3,0,0,'Données projet'!$E$9+1,1))</f>
        <v>256.47911362806866</v>
      </c>
      <c r="T116" s="62">
        <f t="shared" si="88"/>
        <v>230.93438491511529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0.8623621326745381</v>
      </c>
      <c r="AA116" s="23">
        <f>EXP(-LN(2)/25)*AA115+(1-EXP(-LN(2)/25))/(LN(2)/25)*Calculateur!V116*Calculateur!X116*VLOOKUP('Données projet'!$B$9,Paramètres!$A$1:$I$89,3,0)*0.475*44/12</f>
        <v>0.82583291424078642</v>
      </c>
      <c r="AB116" s="23">
        <f>EXP(-LN(2)/2)*AB115+(1-EXP(-LN(2)/2))/(LN(2)/2)*V116*Y116*VLOOKUP('Données projet'!$B$9,Paramètres!$A$1:$I$89,3,0)*0.475*44/12</f>
        <v>1.9575644452125074E-12</v>
      </c>
      <c r="AC116" s="24">
        <f t="shared" si="57"/>
        <v>1.6881950469172819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-4.9658410716801891E-14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255.68195973350799</v>
      </c>
      <c r="AO116" s="62">
        <f t="shared" si="90"/>
        <v>269.20928353552461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243.51680047412441</v>
      </c>
      <c r="BJ116" s="62">
        <f t="shared" si="92"/>
        <v>224.00025638752402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-1.6671037883497774E-13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221.4629402571224</v>
      </c>
      <c r="CE116" s="62">
        <f t="shared" si="94"/>
        <v>204.26941562549416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3.3974358974359005</v>
      </c>
      <c r="CT116" s="13">
        <f>IF('Données projet'!$A$140&gt;35,CT115+CS116-DB115,IF(A116&lt;'Données projet'!$A$140,$CQ$205^A116,IF(A116='Données projet'!$A$140,'Données projet'!$B$140,CT115+CS116-DB115)))</f>
        <v>375.57692307692338</v>
      </c>
      <c r="CU116" s="18">
        <f>CT116*VLOOKUP('Données projet'!$B$13,Paramètres!$A$1:$I$89,3,0)*VLOOKUP('Données projet'!$B$13,Paramètres!$A$1:$I$89,5,0)</f>
        <v>392.5530000000004</v>
      </c>
      <c r="CV116" s="14">
        <f t="shared" si="95"/>
        <v>90.265252921656369</v>
      </c>
      <c r="CW116" s="22">
        <f t="shared" si="67"/>
        <v>840.90845717188552</v>
      </c>
      <c r="CX116" s="62">
        <f t="shared" si="68"/>
        <v>1134.2417905052189</v>
      </c>
      <c r="CY116" s="62">
        <f ca="1">AVERAGE(OFFSET($CX$3,0,0,'Données projet'!$E$13+1,1))-AVERAGE(OFFSET($H$3,0,0,'Données projet'!$E$13+1,1))</f>
        <v>492.66134897013183</v>
      </c>
      <c r="CZ116" s="62">
        <f t="shared" si="96"/>
        <v>307.87428858945862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2">
        <f t="shared" si="55"/>
        <v>293.33333333333678</v>
      </c>
      <c r="S117" s="62">
        <f ca="1">AVERAGE(OFFSET($R$3,0,0,'Données projet'!$E$9+1,1))-AVERAGE(OFFSET($H$3,0,0,'Données projet'!$E$9+1,1))</f>
        <v>256.47911362806866</v>
      </c>
      <c r="T117" s="62">
        <f t="shared" si="88"/>
        <v>230.93438491511529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0.84545173724175426</v>
      </c>
      <c r="AA117" s="23">
        <f>EXP(-LN(2)/25)*AA116+(1-EXP(-LN(2)/25))/(LN(2)/25)*Calculateur!V117*Calculateur!X117*VLOOKUP('Données projet'!$B$9,Paramètres!$A$1:$I$89,3,0)*0.475*44/12</f>
        <v>0.8032504697722066</v>
      </c>
      <c r="AB117" s="23">
        <f>EXP(-LN(2)/2)*AB116+(1-EXP(-LN(2)/2))/(LN(2)/2)*V117*Y117*VLOOKUP('Données projet'!$B$9,Paramètres!$A$1:$I$89,3,0)*0.475*44/12</f>
        <v>1.3842070938194458E-12</v>
      </c>
      <c r="AC117" s="24">
        <f t="shared" si="57"/>
        <v>1.648702207015345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-4.9658410716801891E-14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255.68195973350799</v>
      </c>
      <c r="AO117" s="62">
        <f t="shared" si="90"/>
        <v>269.20928353552461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243.51680047412441</v>
      </c>
      <c r="BJ117" s="62">
        <f t="shared" si="92"/>
        <v>224.00025638752402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-1.6671037883497774E-13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221.4629402571224</v>
      </c>
      <c r="CE117" s="62">
        <f t="shared" si="94"/>
        <v>204.26941562549416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3.3974358974359005</v>
      </c>
      <c r="CT117" s="13">
        <f>IF('Données projet'!$A$140&gt;35,CT116+CS117-DB116,IF(A117&lt;'Données projet'!$A$140,$CQ$205^A117,IF(A117='Données projet'!$A$140,'Données projet'!$B$140,CT116+CS117-DB116)))</f>
        <v>378.97435897435929</v>
      </c>
      <c r="CU117" s="18">
        <f>CT117*VLOOKUP('Données projet'!$B$13,Paramètres!$A$1:$I$89,3,0)*VLOOKUP('Données projet'!$B$13,Paramètres!$A$1:$I$89,5,0)</f>
        <v>396.10400000000033</v>
      </c>
      <c r="CV117" s="14">
        <f t="shared" si="95"/>
        <v>90.986361636941226</v>
      </c>
      <c r="CW117" s="22">
        <f t="shared" si="67"/>
        <v>848.34904651767317</v>
      </c>
      <c r="CX117" s="62">
        <f t="shared" si="68"/>
        <v>1141.6823798510065</v>
      </c>
      <c r="CY117" s="62">
        <f ca="1">AVERAGE(OFFSET($CX$3,0,0,'Données projet'!$E$13+1,1))-AVERAGE(OFFSET($H$3,0,0,'Données projet'!$E$13+1,1))</f>
        <v>492.66134897013183</v>
      </c>
      <c r="CZ117" s="62">
        <f t="shared" si="96"/>
        <v>307.87428858945862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2">
        <f t="shared" si="55"/>
        <v>293.33333333333678</v>
      </c>
      <c r="S118" s="62">
        <f ca="1">AVERAGE(OFFSET($R$3,0,0,'Données projet'!$E$9+1,1))-AVERAGE(OFFSET($H$3,0,0,'Données projet'!$E$9+1,1))</f>
        <v>256.47911362806866</v>
      </c>
      <c r="T118" s="62">
        <f t="shared" si="88"/>
        <v>230.93438491511529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0.82887294434908454</v>
      </c>
      <c r="AA118" s="23">
        <f>EXP(-LN(2)/25)*AA117+(1-EXP(-LN(2)/25))/(LN(2)/25)*Calculateur!V118*Calculateur!X118*VLOOKUP('Données projet'!$B$9,Paramètres!$A$1:$I$89,3,0)*0.475*44/12</f>
        <v>0.78128554343517931</v>
      </c>
      <c r="AB118" s="23">
        <f>EXP(-LN(2)/2)*AB117+(1-EXP(-LN(2)/2))/(LN(2)/2)*V118*Y118*VLOOKUP('Données projet'!$B$9,Paramètres!$A$1:$I$89,3,0)*0.475*44/12</f>
        <v>9.7878222260625368E-13</v>
      </c>
      <c r="AC118" s="24">
        <f t="shared" si="57"/>
        <v>1.6101584877852426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-4.9658410716801891E-14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255.68195973350799</v>
      </c>
      <c r="AO118" s="62">
        <f t="shared" si="90"/>
        <v>269.20928353552461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243.51680047412441</v>
      </c>
      <c r="BJ118" s="62">
        <f t="shared" si="92"/>
        <v>224.00025638752402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-1.6671037883497774E-13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221.4629402571224</v>
      </c>
      <c r="CE118" s="62">
        <f t="shared" si="94"/>
        <v>204.26941562549416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3.3974358974359005</v>
      </c>
      <c r="CT118" s="13">
        <f>IF('Données projet'!$A$140&gt;35,CT117+CS118-DB117,IF(A118&lt;'Données projet'!$A$140,$CQ$205^A118,IF(A118='Données projet'!$A$140,'Données projet'!$B$140,CT117+CS118-DB117)))</f>
        <v>382.3717948717952</v>
      </c>
      <c r="CU118" s="18">
        <f>CT118*VLOOKUP('Données projet'!$B$13,Paramètres!$A$1:$I$89,3,0)*VLOOKUP('Données projet'!$B$13,Paramètres!$A$1:$I$89,5,0)</f>
        <v>399.65500000000043</v>
      </c>
      <c r="CV118" s="14">
        <f t="shared" si="95"/>
        <v>91.706718253683178</v>
      </c>
      <c r="CW118" s="22">
        <f t="shared" si="67"/>
        <v>855.78832595849883</v>
      </c>
      <c r="CX118" s="62">
        <f t="shared" si="68"/>
        <v>1149.1216592918322</v>
      </c>
      <c r="CY118" s="62">
        <f ca="1">AVERAGE(OFFSET($CX$3,0,0,'Données projet'!$E$13+1,1))-AVERAGE(OFFSET($H$3,0,0,'Données projet'!$E$13+1,1))</f>
        <v>492.66134897013183</v>
      </c>
      <c r="CZ118" s="62">
        <f t="shared" si="96"/>
        <v>307.87428858945862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2">
        <f t="shared" si="55"/>
        <v>293.33333333333678</v>
      </c>
      <c r="S119" s="62">
        <f ca="1">AVERAGE(OFFSET($R$3,0,0,'Données projet'!$E$9+1,1))-AVERAGE(OFFSET($H$3,0,0,'Données projet'!$E$9+1,1))</f>
        <v>256.47911362806866</v>
      </c>
      <c r="T119" s="62">
        <f t="shared" si="88"/>
        <v>230.93438491511529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0.81261925147297487</v>
      </c>
      <c r="AA119" s="23">
        <f>EXP(-LN(2)/25)*AA118+(1-EXP(-LN(2)/25))/(LN(2)/25)*Calculateur!V119*Calculateur!X119*VLOOKUP('Données projet'!$B$9,Paramètres!$A$1:$I$89,3,0)*0.475*44/12</f>
        <v>0.75992124916392323</v>
      </c>
      <c r="AB119" s="23">
        <f>EXP(-LN(2)/2)*AB118+(1-EXP(-LN(2)/2))/(LN(2)/2)*V119*Y119*VLOOKUP('Données projet'!$B$9,Paramètres!$A$1:$I$89,3,0)*0.475*44/12</f>
        <v>6.9210354690972288E-13</v>
      </c>
      <c r="AC119" s="24">
        <f t="shared" si="57"/>
        <v>1.5725405006375903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-4.9658410716801891E-14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255.68195973350799</v>
      </c>
      <c r="AO119" s="62">
        <f t="shared" si="90"/>
        <v>269.20928353552461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243.51680047412441</v>
      </c>
      <c r="BJ119" s="62">
        <f t="shared" si="92"/>
        <v>224.00025638752402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-1.6671037883497774E-13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221.4629402571224</v>
      </c>
      <c r="CE119" s="62">
        <f t="shared" si="94"/>
        <v>204.26941562549416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3.3974358974359005</v>
      </c>
      <c r="CT119" s="13">
        <f>IF('Données projet'!$A$140&gt;35,CT118+CS119-DB118,IF(A119&lt;'Données projet'!$A$140,$CQ$205^A119,IF(A119='Données projet'!$A$140,'Données projet'!$B$140,CT118+CS119-DB118)))</f>
        <v>385.76923076923111</v>
      </c>
      <c r="CU119" s="18">
        <f>CT119*VLOOKUP('Données projet'!$B$13,Paramètres!$A$1:$I$89,3,0)*VLOOKUP('Données projet'!$B$13,Paramètres!$A$1:$I$89,5,0)</f>
        <v>403.20600000000036</v>
      </c>
      <c r="CV119" s="14">
        <f t="shared" si="95"/>
        <v>92.426330228586465</v>
      </c>
      <c r="CW119" s="22">
        <f t="shared" si="67"/>
        <v>863.22630848145536</v>
      </c>
      <c r="CX119" s="62">
        <f t="shared" si="68"/>
        <v>1156.5596418147886</v>
      </c>
      <c r="CY119" s="62">
        <f ca="1">AVERAGE(OFFSET($CX$3,0,0,'Données projet'!$E$13+1,1))-AVERAGE(OFFSET($H$3,0,0,'Données projet'!$E$13+1,1))</f>
        <v>492.66134897013183</v>
      </c>
      <c r="CZ119" s="62">
        <f t="shared" si="96"/>
        <v>307.87428858945862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2">
        <f t="shared" si="55"/>
        <v>293.33333333333678</v>
      </c>
      <c r="S120" s="62">
        <f ca="1">AVERAGE(OFFSET($R$3,0,0,'Données projet'!$E$9+1,1))-AVERAGE(OFFSET($H$3,0,0,'Données projet'!$E$9+1,1))</f>
        <v>256.47911362806866</v>
      </c>
      <c r="T120" s="62">
        <f t="shared" si="88"/>
        <v>230.93438491511529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0.79668428360039201</v>
      </c>
      <c r="AA120" s="23">
        <f>EXP(-LN(2)/25)*AA119+(1-EXP(-LN(2)/25))/(LN(2)/25)*Calculateur!V120*Calculateur!X120*VLOOKUP('Données projet'!$B$9,Paramètres!$A$1:$I$89,3,0)*0.475*44/12</f>
        <v>0.7391411626430141</v>
      </c>
      <c r="AB120" s="23">
        <f>EXP(-LN(2)/2)*AB119+(1-EXP(-LN(2)/2))/(LN(2)/2)*V120*Y120*VLOOKUP('Données projet'!$B$9,Paramètres!$A$1:$I$89,3,0)*0.475*44/12</f>
        <v>4.8939111130312684E-13</v>
      </c>
      <c r="AC120" s="24">
        <f t="shared" si="57"/>
        <v>1.5358254462438956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-4.9658410716801891E-14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255.68195973350799</v>
      </c>
      <c r="AO120" s="62">
        <f t="shared" si="90"/>
        <v>269.20928353552461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243.51680047412441</v>
      </c>
      <c r="BJ120" s="62">
        <f t="shared" si="92"/>
        <v>224.00025638752402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-1.6671037883497774E-13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221.4629402571224</v>
      </c>
      <c r="CE120" s="62">
        <f t="shared" si="94"/>
        <v>204.26941562549416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3.3974358974359005</v>
      </c>
      <c r="CT120" s="13">
        <f>IF('Données projet'!$A$140&gt;35,CT119+CS120-DB119,IF(A120&lt;'Données projet'!$A$140,$CQ$205^A120,IF(A120='Données projet'!$A$140,'Données projet'!$B$140,CT119+CS120-DB119)))</f>
        <v>389.16666666666703</v>
      </c>
      <c r="CU120" s="18">
        <f>CT120*VLOOKUP('Données projet'!$B$13,Paramètres!$A$1:$I$89,3,0)*VLOOKUP('Données projet'!$B$13,Paramètres!$A$1:$I$89,5,0)</f>
        <v>406.7570000000004</v>
      </c>
      <c r="CV120" s="14">
        <f t="shared" si="95"/>
        <v>93.145204879435894</v>
      </c>
      <c r="CW120" s="22">
        <f t="shared" si="67"/>
        <v>870.66300683168481</v>
      </c>
      <c r="CX120" s="62">
        <f t="shared" si="68"/>
        <v>1163.9963401650182</v>
      </c>
      <c r="CY120" s="62">
        <f ca="1">AVERAGE(OFFSET($CX$3,0,0,'Données projet'!$E$13+1,1))-AVERAGE(OFFSET($H$3,0,0,'Données projet'!$E$13+1,1))</f>
        <v>492.66134897013183</v>
      </c>
      <c r="CZ120" s="62">
        <f t="shared" si="96"/>
        <v>307.87428858945862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2">
        <f t="shared" si="55"/>
        <v>293.33333333333678</v>
      </c>
      <c r="S121" s="62">
        <f ca="1">AVERAGE(OFFSET($R$3,0,0,'Données projet'!$E$9+1,1))-AVERAGE(OFFSET($H$3,0,0,'Données projet'!$E$9+1,1))</f>
        <v>256.47911362806866</v>
      </c>
      <c r="T121" s="62">
        <f t="shared" si="88"/>
        <v>230.93438491511529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0.78106179072841975</v>
      </c>
      <c r="AA121" s="23">
        <f>EXP(-LN(2)/25)*AA120+(1-EXP(-LN(2)/25))/(LN(2)/25)*Calculateur!V121*Calculateur!X121*VLOOKUP('Données projet'!$B$9,Paramètres!$A$1:$I$89,3,0)*0.475*44/12</f>
        <v>0.71892930868079652</v>
      </c>
      <c r="AB121" s="23">
        <f>EXP(-LN(2)/2)*AB120+(1-EXP(-LN(2)/2))/(LN(2)/2)*V121*Y121*VLOOKUP('Données projet'!$B$9,Paramètres!$A$1:$I$89,3,0)*0.475*44/12</f>
        <v>3.4605177345486144E-13</v>
      </c>
      <c r="AC121" s="24">
        <f t="shared" si="57"/>
        <v>1.4999910994095622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-4.9658410716801891E-14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255.68195973350799</v>
      </c>
      <c r="AO121" s="62">
        <f t="shared" si="90"/>
        <v>269.20928353552461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243.51680047412441</v>
      </c>
      <c r="BJ121" s="62">
        <f t="shared" si="92"/>
        <v>224.00025638752402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-1.6671037883497774E-13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221.4629402571224</v>
      </c>
      <c r="CE121" s="62">
        <f t="shared" si="94"/>
        <v>204.26941562549416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3.3974358974359005</v>
      </c>
      <c r="CT121" s="13">
        <f>IF('Données projet'!$A$140&gt;35,CT120+CS121-DB120,IF(A121&lt;'Données projet'!$A$140,$CQ$205^A121,IF(A121='Données projet'!$A$140,'Données projet'!$B$140,CT120+CS121-DB120)))</f>
        <v>392.56410256410294</v>
      </c>
      <c r="CU121" s="18">
        <f>CT121*VLOOKUP('Données projet'!$B$13,Paramètres!$A$1:$I$89,3,0)*VLOOKUP('Données projet'!$B$13,Paramètres!$A$1:$I$89,5,0)</f>
        <v>410.30800000000039</v>
      </c>
      <c r="CV121" s="14">
        <f t="shared" si="95"/>
        <v>93.863349388874639</v>
      </c>
      <c r="CW121" s="22">
        <f t="shared" si="67"/>
        <v>878.09843351895722</v>
      </c>
      <c r="CX121" s="62">
        <f t="shared" si="68"/>
        <v>1171.4317668522906</v>
      </c>
      <c r="CY121" s="62">
        <f ca="1">AVERAGE(OFFSET($CX$3,0,0,'Données projet'!$E$13+1,1))-AVERAGE(OFFSET($H$3,0,0,'Données projet'!$E$13+1,1))</f>
        <v>492.66134897013183</v>
      </c>
      <c r="CZ121" s="62">
        <f t="shared" si="96"/>
        <v>307.87428858945862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2">
        <f t="shared" si="55"/>
        <v>293.33333333333678</v>
      </c>
      <c r="S122" s="62">
        <f ca="1">AVERAGE(OFFSET($R$3,0,0,'Données projet'!$E$9+1,1))-AVERAGE(OFFSET($H$3,0,0,'Données projet'!$E$9+1,1))</f>
        <v>256.47911362806866</v>
      </c>
      <c r="T122" s="62">
        <f t="shared" si="88"/>
        <v>230.93438491511529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0.76574564541288714</v>
      </c>
      <c r="AA122" s="23">
        <f>EXP(-LN(2)/25)*AA121+(1-EXP(-LN(2)/25))/(LN(2)/25)*Calculateur!V122*Calculateur!X122*VLOOKUP('Données projet'!$B$9,Paramètres!$A$1:$I$89,3,0)*0.475*44/12</f>
        <v>0.69927014892807093</v>
      </c>
      <c r="AB122" s="23">
        <f>EXP(-LN(2)/2)*AB121+(1-EXP(-LN(2)/2))/(LN(2)/2)*V122*Y122*VLOOKUP('Données projet'!$B$9,Paramètres!$A$1:$I$89,3,0)*0.475*44/12</f>
        <v>2.4469555565156342E-13</v>
      </c>
      <c r="AC122" s="24">
        <f t="shared" si="57"/>
        <v>1.4650157943412028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-4.9658410716801891E-14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255.68195973350799</v>
      </c>
      <c r="AO122" s="62">
        <f t="shared" si="90"/>
        <v>269.20928353552461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243.51680047412441</v>
      </c>
      <c r="BJ122" s="62">
        <f t="shared" si="92"/>
        <v>224.00025638752402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-1.6671037883497774E-13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221.4629402571224</v>
      </c>
      <c r="CE122" s="62">
        <f t="shared" si="94"/>
        <v>204.26941562549416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3.3974358974359005</v>
      </c>
      <c r="CT122" s="13">
        <f>IF('Données projet'!$A$140&gt;35,CT121+CS122-DB121,IF(A122&lt;'Données projet'!$A$140,$CQ$205^A122,IF(A122='Données projet'!$A$140,'Données projet'!$B$140,CT121+CS122-DB121)))</f>
        <v>395.96153846153885</v>
      </c>
      <c r="CU122" s="18">
        <f>CT122*VLOOKUP('Données projet'!$B$13,Paramètres!$A$1:$I$89,3,0)*VLOOKUP('Données projet'!$B$13,Paramètres!$A$1:$I$89,5,0)</f>
        <v>413.85900000000044</v>
      </c>
      <c r="CV122" s="14">
        <f t="shared" si="95"/>
        <v>94.580770808047944</v>
      </c>
      <c r="CW122" s="22">
        <f t="shared" si="67"/>
        <v>885.53260082401755</v>
      </c>
      <c r="CX122" s="62">
        <f t="shared" si="68"/>
        <v>1178.8659341573509</v>
      </c>
      <c r="CY122" s="62">
        <f ca="1">AVERAGE(OFFSET($CX$3,0,0,'Données projet'!$E$13+1,1))-AVERAGE(OFFSET($H$3,0,0,'Données projet'!$E$13+1,1))</f>
        <v>492.66134897013183</v>
      </c>
      <c r="CZ122" s="62">
        <f t="shared" si="96"/>
        <v>307.87428858945862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2">
        <f t="shared" si="55"/>
        <v>293.33333333333678</v>
      </c>
      <c r="S123" s="62">
        <f ca="1">AVERAGE(OFFSET($R$3,0,0,'Données projet'!$E$9+1,1))-AVERAGE(OFFSET($H$3,0,0,'Données projet'!$E$9+1,1))</f>
        <v>256.47911362806866</v>
      </c>
      <c r="T123" s="62">
        <f t="shared" si="88"/>
        <v>230.93438491511529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0.75072984036506596</v>
      </c>
      <c r="AA123" s="23">
        <f>EXP(-LN(2)/25)*AA122+(1-EXP(-LN(2)/25))/(LN(2)/25)*Calculateur!V123*Calculateur!X123*VLOOKUP('Données projet'!$B$9,Paramètres!$A$1:$I$89,3,0)*0.475*44/12</f>
        <v>0.68014856993261386</v>
      </c>
      <c r="AB123" s="23">
        <f>EXP(-LN(2)/2)*AB122+(1-EXP(-LN(2)/2))/(LN(2)/2)*V123*Y123*VLOOKUP('Données projet'!$B$9,Paramètres!$A$1:$I$89,3,0)*0.475*44/12</f>
        <v>1.7302588672743072E-13</v>
      </c>
      <c r="AC123" s="24">
        <f t="shared" si="57"/>
        <v>1.4308784102978527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-4.9658410716801891E-14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255.68195973350799</v>
      </c>
      <c r="AO123" s="62">
        <f t="shared" si="90"/>
        <v>269.20928353552461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243.51680047412441</v>
      </c>
      <c r="BJ123" s="62">
        <f t="shared" si="92"/>
        <v>224.00025638752402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-1.6671037883497774E-13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221.4629402571224</v>
      </c>
      <c r="CE123" s="62">
        <f t="shared" si="94"/>
        <v>204.26941562549416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399.35897435897436</v>
      </c>
      <c r="CR123" s="13">
        <f>VLOOKUP(A123,'Données projet'!$A$139:$I$159,9,0)</f>
        <v>3.3974358974359005</v>
      </c>
      <c r="CS123" s="13">
        <f t="array" ref="CS123">INDEX(CR:CR,MIN(IF(ISNUMBER(CR123:CR319),ROW(CR123:CR319),"")))</f>
        <v>3.3974358974359005</v>
      </c>
      <c r="CT123" s="13">
        <f>IF('Données projet'!$A$140&gt;35,CT122+CS123-DB122,IF(A123&lt;'Données projet'!$A$140,$CQ$205^A123,IF(A123='Données projet'!$A$140,'Données projet'!$B$140,CT122+CS123-DB122)))</f>
        <v>399.35897435897476</v>
      </c>
      <c r="CU123" s="18">
        <f>CT123*VLOOKUP('Données projet'!$B$13,Paramètres!$A$1:$I$89,3,0)*VLOOKUP('Données projet'!$B$13,Paramètres!$A$1:$I$89,5,0)</f>
        <v>417.41000000000048</v>
      </c>
      <c r="CV123" s="14">
        <f t="shared" si="95"/>
        <v>95.297476060117091</v>
      </c>
      <c r="CW123" s="22">
        <f t="shared" si="67"/>
        <v>892.96552080470462</v>
      </c>
      <c r="CX123" s="62">
        <f t="shared" si="68"/>
        <v>1186.298854138038</v>
      </c>
      <c r="CY123" s="62">
        <f ca="1">AVERAGE(OFFSET($CX$3,0,0,'Données projet'!$E$13+1,1))-AVERAGE(OFFSET($H$3,0,0,'Données projet'!$E$13+1,1))</f>
        <v>492.66134897013183</v>
      </c>
      <c r="CZ123" s="62">
        <f t="shared" si="96"/>
        <v>307.87428858945862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21.153846153846153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2">
        <f t="shared" si="55"/>
        <v>293.33333333333678</v>
      </c>
      <c r="S124" s="62">
        <f ca="1">AVERAGE(OFFSET($R$3,0,0,'Données projet'!$E$9+1,1))-AVERAGE(OFFSET($H$3,0,0,'Données projet'!$E$9+1,1))</f>
        <v>256.47911362806866</v>
      </c>
      <c r="T124" s="62">
        <f t="shared" si="88"/>
        <v>230.93438491511529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0.73600848609549574</v>
      </c>
      <c r="AA124" s="23">
        <f>EXP(-LN(2)/25)*AA123+(1-EXP(-LN(2)/25))/(LN(2)/25)*Calculateur!V124*Calculateur!X124*VLOOKUP('Données projet'!$B$9,Paramètres!$A$1:$I$89,3,0)*0.475*44/12</f>
        <v>0.66154987152034772</v>
      </c>
      <c r="AB124" s="23">
        <f>EXP(-LN(2)/2)*AB123+(1-EXP(-LN(2)/2))/(LN(2)/2)*V124*Y124*VLOOKUP('Données projet'!$B$9,Paramètres!$A$1:$I$89,3,0)*0.475*44/12</f>
        <v>1.2234777782578171E-13</v>
      </c>
      <c r="AC124" s="24">
        <f t="shared" si="57"/>
        <v>1.3975583576159658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-4.9658410716801891E-14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255.68195973350799</v>
      </c>
      <c r="AO124" s="62">
        <f t="shared" si="90"/>
        <v>269.20928353552461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243.51680047412441</v>
      </c>
      <c r="BJ124" s="62">
        <f t="shared" si="92"/>
        <v>224.00025638752402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-1.6671037883497774E-13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221.4629402571224</v>
      </c>
      <c r="CE124" s="62">
        <f t="shared" si="94"/>
        <v>204.26941562549416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3.0769230769230718</v>
      </c>
      <c r="CT124" s="13">
        <f>IF('Données projet'!$A$140&gt;35,CT123+CS124-DB123,IF(A124&lt;'Données projet'!$A$140,$CQ$205^A124,IF(A124='Données projet'!$A$140,'Données projet'!$B$140,CT123+CS124-DB123)))</f>
        <v>381.28205128205173</v>
      </c>
      <c r="CU124" s="18">
        <f>CT124*VLOOKUP('Données projet'!$B$13,Paramètres!$A$1:$I$89,3,0)*VLOOKUP('Données projet'!$B$13,Paramètres!$A$1:$I$89,5,0)</f>
        <v>398.51600000000047</v>
      </c>
      <c r="CV124" s="14">
        <f t="shared" si="95"/>
        <v>91.475741943717054</v>
      </c>
      <c r="CW124" s="22">
        <f t="shared" si="67"/>
        <v>853.40228388530807</v>
      </c>
      <c r="CX124" s="62">
        <f t="shared" si="68"/>
        <v>1146.7356172186414</v>
      </c>
      <c r="CY124" s="62">
        <f ca="1">AVERAGE(OFFSET($CX$3,0,0,'Données projet'!$E$13+1,1))-AVERAGE(OFFSET($H$3,0,0,'Données projet'!$E$13+1,1))</f>
        <v>492.66134897013183</v>
      </c>
      <c r="CZ124" s="62">
        <f t="shared" si="96"/>
        <v>307.87428858945862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2">
        <f t="shared" si="55"/>
        <v>293.33333333333678</v>
      </c>
      <c r="S125" s="62">
        <f ca="1">AVERAGE(OFFSET($R$3,0,0,'Données projet'!$E$9+1,1))-AVERAGE(OFFSET($H$3,0,0,'Données projet'!$E$9+1,1))</f>
        <v>256.47911362806866</v>
      </c>
      <c r="T125" s="62">
        <f t="shared" si="88"/>
        <v>230.93438491511529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0.72157580860401238</v>
      </c>
      <c r="AA125" s="23">
        <f>EXP(-LN(2)/25)*AA124+(1-EXP(-LN(2)/25))/(LN(2)/25)*Calculateur!V125*Calculateur!X125*VLOOKUP('Données projet'!$B$9,Paramètres!$A$1:$I$89,3,0)*0.475*44/12</f>
        <v>0.64345975549422807</v>
      </c>
      <c r="AB125" s="23">
        <f>EXP(-LN(2)/2)*AB124+(1-EXP(-LN(2)/2))/(LN(2)/2)*V125*Y125*VLOOKUP('Données projet'!$B$9,Paramètres!$A$1:$I$89,3,0)*0.475*44/12</f>
        <v>8.651294336371536E-14</v>
      </c>
      <c r="AC125" s="24">
        <f t="shared" si="57"/>
        <v>1.3650355640983269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-4.9658410716801891E-14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255.68195973350799</v>
      </c>
      <c r="AO125" s="62">
        <f t="shared" si="90"/>
        <v>269.20928353552461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243.51680047412441</v>
      </c>
      <c r="BJ125" s="62">
        <f t="shared" si="92"/>
        <v>224.00025638752402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-1.6671037883497774E-13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221.4629402571224</v>
      </c>
      <c r="CE125" s="62">
        <f t="shared" si="94"/>
        <v>204.26941562549416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3.0769230769230718</v>
      </c>
      <c r="CT125" s="13">
        <f>IF('Données projet'!$A$140&gt;35,CT124+CS125-DB124,IF(A125&lt;'Données projet'!$A$140,$CQ$205^A125,IF(A125='Données projet'!$A$140,'Données projet'!$B$140,CT124+CS125-DB124)))</f>
        <v>384.35897435897482</v>
      </c>
      <c r="CU125" s="18">
        <f>CT125*VLOOKUP('Données projet'!$B$13,Paramètres!$A$1:$I$89,3,0)*VLOOKUP('Données projet'!$B$13,Paramètres!$A$1:$I$89,5,0)</f>
        <v>401.73200000000054</v>
      </c>
      <c r="CV125" s="14">
        <f t="shared" si="95"/>
        <v>92.127713294836596</v>
      </c>
      <c r="CW125" s="22">
        <f t="shared" si="67"/>
        <v>860.13900065517464</v>
      </c>
      <c r="CX125" s="62">
        <f t="shared" si="68"/>
        <v>1153.4723339885079</v>
      </c>
      <c r="CY125" s="62">
        <f ca="1">AVERAGE(OFFSET($CX$3,0,0,'Données projet'!$E$13+1,1))-AVERAGE(OFFSET($H$3,0,0,'Données projet'!$E$13+1,1))</f>
        <v>492.66134897013183</v>
      </c>
      <c r="CZ125" s="62">
        <f t="shared" si="96"/>
        <v>307.87428858945862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2">
        <f t="shared" si="55"/>
        <v>293.33333333333678</v>
      </c>
      <c r="S126" s="62">
        <f ca="1">AVERAGE(OFFSET($R$3,0,0,'Données projet'!$E$9+1,1))-AVERAGE(OFFSET($H$3,0,0,'Données projet'!$E$9+1,1))</f>
        <v>256.47911362806866</v>
      </c>
      <c r="T126" s="62">
        <f t="shared" si="88"/>
        <v>230.93438491511529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0.7074261471150729</v>
      </c>
      <c r="AA126" s="23">
        <f>EXP(-LN(2)/25)*AA125+(1-EXP(-LN(2)/25))/(LN(2)/25)*Calculateur!V126*Calculateur!X126*VLOOKUP('Données projet'!$B$9,Paramètres!$A$1:$I$89,3,0)*0.475*44/12</f>
        <v>0.62586431464216052</v>
      </c>
      <c r="AB126" s="23">
        <f>EXP(-LN(2)/2)*AB125+(1-EXP(-LN(2)/2))/(LN(2)/2)*V126*Y126*VLOOKUP('Données projet'!$B$9,Paramètres!$A$1:$I$89,3,0)*0.475*44/12</f>
        <v>6.1173888912890855E-14</v>
      </c>
      <c r="AC126" s="24">
        <f t="shared" si="57"/>
        <v>1.3332904617572947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-4.9658410716801891E-14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255.68195973350799</v>
      </c>
      <c r="AO126" s="62">
        <f t="shared" si="90"/>
        <v>269.20928353552461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243.51680047412441</v>
      </c>
      <c r="BJ126" s="62">
        <f t="shared" si="92"/>
        <v>224.00025638752402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-1.6671037883497774E-13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221.4629402571224</v>
      </c>
      <c r="CE126" s="62">
        <f t="shared" si="94"/>
        <v>204.26941562549416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3.0769230769230718</v>
      </c>
      <c r="CT126" s="13">
        <f>IF('Données projet'!$A$140&gt;35,CT125+CS126-DB125,IF(A126&lt;'Données projet'!$A$140,$CQ$205^A126,IF(A126='Données projet'!$A$140,'Données projet'!$B$140,CT125+CS126-DB125)))</f>
        <v>387.43589743589791</v>
      </c>
      <c r="CU126" s="18">
        <f>CT126*VLOOKUP('Données projet'!$B$13,Paramètres!$A$1:$I$89,3,0)*VLOOKUP('Données projet'!$B$13,Paramètres!$A$1:$I$89,5,0)</f>
        <v>404.94800000000055</v>
      </c>
      <c r="CV126" s="14">
        <f t="shared" si="95"/>
        <v>92.779077401322354</v>
      </c>
      <c r="CW126" s="22">
        <f t="shared" si="67"/>
        <v>866.87465980730406</v>
      </c>
      <c r="CX126" s="62">
        <f t="shared" si="68"/>
        <v>1160.2079931406374</v>
      </c>
      <c r="CY126" s="62">
        <f ca="1">AVERAGE(OFFSET($CX$3,0,0,'Données projet'!$E$13+1,1))-AVERAGE(OFFSET($H$3,0,0,'Données projet'!$E$13+1,1))</f>
        <v>492.66134897013183</v>
      </c>
      <c r="CZ126" s="62">
        <f t="shared" si="96"/>
        <v>307.87428858945862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2">
        <f t="shared" si="55"/>
        <v>293.33333333333678</v>
      </c>
      <c r="S127" s="62">
        <f ca="1">AVERAGE(OFFSET($R$3,0,0,'Données projet'!$E$9+1,1))-AVERAGE(OFFSET($H$3,0,0,'Données projet'!$E$9+1,1))</f>
        <v>256.47911362806866</v>
      </c>
      <c r="T127" s="62">
        <f t="shared" si="88"/>
        <v>230.93438491511529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0.69355395185749025</v>
      </c>
      <c r="AA127" s="23">
        <f>EXP(-LN(2)/25)*AA126+(1-EXP(-LN(2)/25))/(LN(2)/25)*Calculateur!V127*Calculateur!X127*VLOOKUP('Données projet'!$B$9,Paramètres!$A$1:$I$89,3,0)*0.475*44/12</f>
        <v>0.60875002204549677</v>
      </c>
      <c r="AB127" s="23">
        <f>EXP(-LN(2)/2)*AB126+(1-EXP(-LN(2)/2))/(LN(2)/2)*V127*Y127*VLOOKUP('Données projet'!$B$9,Paramètres!$A$1:$I$89,3,0)*0.475*44/12</f>
        <v>4.325647168185768E-14</v>
      </c>
      <c r="AC127" s="24">
        <f t="shared" si="57"/>
        <v>1.3023039739030302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-4.9658410716801891E-14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255.68195973350799</v>
      </c>
      <c r="AO127" s="62">
        <f t="shared" si="90"/>
        <v>269.20928353552461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243.51680047412441</v>
      </c>
      <c r="BJ127" s="62">
        <f t="shared" si="92"/>
        <v>224.00025638752402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-1.6671037883497774E-13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221.4629402571224</v>
      </c>
      <c r="CE127" s="62">
        <f t="shared" si="94"/>
        <v>204.26941562549416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3.0769230769230718</v>
      </c>
      <c r="CT127" s="13">
        <f>IF('Données projet'!$A$140&gt;35,CT126+CS127-DB126,IF(A127&lt;'Données projet'!$A$140,$CQ$205^A127,IF(A127='Données projet'!$A$140,'Données projet'!$B$140,CT126+CS127-DB126)))</f>
        <v>390.51282051282101</v>
      </c>
      <c r="CU127" s="18">
        <f>CT127*VLOOKUP('Données projet'!$B$13,Paramètres!$A$1:$I$89,3,0)*VLOOKUP('Données projet'!$B$13,Paramètres!$A$1:$I$89,5,0)</f>
        <v>408.16400000000056</v>
      </c>
      <c r="CV127" s="14">
        <f t="shared" si="95"/>
        <v>93.429839644741037</v>
      </c>
      <c r="CW127" s="22">
        <f t="shared" si="67"/>
        <v>873.60927071459162</v>
      </c>
      <c r="CX127" s="62">
        <f t="shared" si="68"/>
        <v>1166.942604047925</v>
      </c>
      <c r="CY127" s="62">
        <f ca="1">AVERAGE(OFFSET($CX$3,0,0,'Données projet'!$E$13+1,1))-AVERAGE(OFFSET($H$3,0,0,'Données projet'!$E$13+1,1))</f>
        <v>492.66134897013183</v>
      </c>
      <c r="CZ127" s="62">
        <f t="shared" si="96"/>
        <v>307.87428858945862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2">
        <f t="shared" si="55"/>
        <v>293.33333333333678</v>
      </c>
      <c r="S128" s="62">
        <f ca="1">AVERAGE(OFFSET($R$3,0,0,'Données projet'!$E$9+1,1))-AVERAGE(OFFSET($H$3,0,0,'Données projet'!$E$9+1,1))</f>
        <v>256.47911362806866</v>
      </c>
      <c r="T128" s="62">
        <f t="shared" si="88"/>
        <v>230.93438491511529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0.67995378188770517</v>
      </c>
      <c r="AA128" s="23">
        <f>EXP(-LN(2)/25)*AA127+(1-EXP(-LN(2)/25))/(LN(2)/25)*Calculateur!V128*Calculateur!X128*VLOOKUP('Données projet'!$B$9,Paramètres!$A$1:$I$89,3,0)*0.475*44/12</f>
        <v>0.59210372067989037</v>
      </c>
      <c r="AB128" s="23">
        <f>EXP(-LN(2)/2)*AB127+(1-EXP(-LN(2)/2))/(LN(2)/2)*V128*Y128*VLOOKUP('Données projet'!$B$9,Paramètres!$A$1:$I$89,3,0)*0.475*44/12</f>
        <v>3.0586944456445427E-14</v>
      </c>
      <c r="AC128" s="24">
        <f t="shared" si="57"/>
        <v>1.2720575025676262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-4.9658410716801891E-14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255.68195973350799</v>
      </c>
      <c r="AO128" s="62">
        <f t="shared" si="90"/>
        <v>269.20928353552461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243.51680047412441</v>
      </c>
      <c r="BJ128" s="62">
        <f t="shared" si="92"/>
        <v>224.00025638752402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-1.6671037883497774E-13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221.4629402571224</v>
      </c>
      <c r="CE128" s="62">
        <f t="shared" si="94"/>
        <v>204.26941562549416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3.0769230769230718</v>
      </c>
      <c r="CT128" s="13">
        <f>IF('Données projet'!$A$140&gt;35,CT127+CS128-DB127,IF(A128&lt;'Données projet'!$A$140,$CQ$205^A128,IF(A128='Données projet'!$A$140,'Données projet'!$B$140,CT127+CS128-DB127)))</f>
        <v>393.5897435897441</v>
      </c>
      <c r="CU128" s="18">
        <f>CT128*VLOOKUP('Données projet'!$B$13,Paramètres!$A$1:$I$89,3,0)*VLOOKUP('Données projet'!$B$13,Paramètres!$A$1:$I$89,5,0)</f>
        <v>411.38000000000056</v>
      </c>
      <c r="CV128" s="14">
        <f t="shared" si="95"/>
        <v>94.080005316957724</v>
      </c>
      <c r="CW128" s="22">
        <f t="shared" si="67"/>
        <v>880.34284259370236</v>
      </c>
      <c r="CX128" s="62">
        <f t="shared" si="68"/>
        <v>1173.6761759270357</v>
      </c>
      <c r="CY128" s="62">
        <f ca="1">AVERAGE(OFFSET($CX$3,0,0,'Données projet'!$E$13+1,1))-AVERAGE(OFFSET($H$3,0,0,'Données projet'!$E$13+1,1))</f>
        <v>492.66134897013183</v>
      </c>
      <c r="CZ128" s="62">
        <f t="shared" si="96"/>
        <v>307.87428858945862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2">
        <f t="shared" si="55"/>
        <v>293.33333333333678</v>
      </c>
      <c r="S129" s="62">
        <f ca="1">AVERAGE(OFFSET($R$3,0,0,'Données projet'!$E$9+1,1))-AVERAGE(OFFSET($H$3,0,0,'Données projet'!$E$9+1,1))</f>
        <v>256.47911362806866</v>
      </c>
      <c r="T129" s="62">
        <f t="shared" si="88"/>
        <v>230.93438491511529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0.66662030295574293</v>
      </c>
      <c r="AA129" s="23">
        <f>EXP(-LN(2)/25)*AA128+(1-EXP(-LN(2)/25))/(LN(2)/25)*Calculateur!V129*Calculateur!X129*VLOOKUP('Données projet'!$B$9,Paramètres!$A$1:$I$89,3,0)*0.475*44/12</f>
        <v>0.57591261330051735</v>
      </c>
      <c r="AB129" s="23">
        <f>EXP(-LN(2)/2)*AB128+(1-EXP(-LN(2)/2))/(LN(2)/2)*V129*Y129*VLOOKUP('Données projet'!$B$9,Paramètres!$A$1:$I$89,3,0)*0.475*44/12</f>
        <v>2.162823584092884E-14</v>
      </c>
      <c r="AC129" s="24">
        <f t="shared" si="57"/>
        <v>1.2425329162562819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-4.9658410716801891E-14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255.68195973350799</v>
      </c>
      <c r="AO129" s="62">
        <f t="shared" si="90"/>
        <v>269.20928353552461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243.51680047412441</v>
      </c>
      <c r="BJ129" s="62">
        <f t="shared" si="92"/>
        <v>224.00025638752402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-1.6671037883497774E-13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221.4629402571224</v>
      </c>
      <c r="CE129" s="62">
        <f t="shared" si="94"/>
        <v>204.26941562549416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3.0769230769230718</v>
      </c>
      <c r="CT129" s="13">
        <f>IF('Données projet'!$A$140&gt;35,CT128+CS129-DB128,IF(A129&lt;'Données projet'!$A$140,$CQ$205^A129,IF(A129='Données projet'!$A$140,'Données projet'!$B$140,CT128+CS129-DB128)))</f>
        <v>396.6666666666672</v>
      </c>
      <c r="CU129" s="18">
        <f>CT129*VLOOKUP('Données projet'!$B$13,Paramètres!$A$1:$I$89,3,0)*VLOOKUP('Données projet'!$B$13,Paramètres!$A$1:$I$89,5,0)</f>
        <v>414.59600000000063</v>
      </c>
      <c r="CV129" s="14">
        <f t="shared" si="95"/>
        <v>94.729579622319491</v>
      </c>
      <c r="CW129" s="22">
        <f t="shared" si="67"/>
        <v>887.07538450887421</v>
      </c>
      <c r="CX129" s="62">
        <f t="shared" si="68"/>
        <v>1180.4087178422076</v>
      </c>
      <c r="CY129" s="62">
        <f ca="1">AVERAGE(OFFSET($CX$3,0,0,'Données projet'!$E$13+1,1))-AVERAGE(OFFSET($H$3,0,0,'Données projet'!$E$13+1,1))</f>
        <v>492.66134897013183</v>
      </c>
      <c r="CZ129" s="62">
        <f t="shared" si="96"/>
        <v>307.87428858945862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2">
        <f t="shared" si="55"/>
        <v>293.33333333333678</v>
      </c>
      <c r="S130" s="62">
        <f ca="1">AVERAGE(OFFSET($R$3,0,0,'Données projet'!$E$9+1,1))-AVERAGE(OFFSET($H$3,0,0,'Données projet'!$E$9+1,1))</f>
        <v>256.47911362806866</v>
      </c>
      <c r="T130" s="62">
        <f t="shared" si="88"/>
        <v>230.93438491511529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0.65354828541301735</v>
      </c>
      <c r="AA130" s="23">
        <f>EXP(-LN(2)/25)*AA129+(1-EXP(-LN(2)/25))/(LN(2)/25)*Calculateur!V130*Calculateur!X130*VLOOKUP('Données projet'!$B$9,Paramètres!$A$1:$I$89,3,0)*0.475*44/12</f>
        <v>0.56016425260388669</v>
      </c>
      <c r="AB130" s="23">
        <f>EXP(-LN(2)/2)*AB129+(1-EXP(-LN(2)/2))/(LN(2)/2)*V130*Y130*VLOOKUP('Données projet'!$B$9,Paramètres!$A$1:$I$89,3,0)*0.475*44/12</f>
        <v>1.5293472228222714E-14</v>
      </c>
      <c r="AC130" s="24">
        <f t="shared" si="57"/>
        <v>1.2137125380169194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-4.9658410716801891E-14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255.68195973350799</v>
      </c>
      <c r="AO130" s="62">
        <f t="shared" si="90"/>
        <v>269.20928353552461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243.51680047412441</v>
      </c>
      <c r="BJ130" s="62">
        <f t="shared" si="92"/>
        <v>224.00025638752402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-1.6671037883497774E-13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221.4629402571224</v>
      </c>
      <c r="CE130" s="62">
        <f t="shared" si="94"/>
        <v>204.26941562549416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3.0769230769230718</v>
      </c>
      <c r="CT130" s="13">
        <f>IF('Données projet'!$A$140&gt;35,CT129+CS130-DB129,IF(A130&lt;'Données projet'!$A$140,$CQ$205^A130,IF(A130='Données projet'!$A$140,'Données projet'!$B$140,CT129+CS130-DB129)))</f>
        <v>399.74358974359029</v>
      </c>
      <c r="CU130" s="18">
        <f>CT130*VLOOKUP('Données projet'!$B$13,Paramètres!$A$1:$I$89,3,0)*VLOOKUP('Données projet'!$B$13,Paramètres!$A$1:$I$89,5,0)</f>
        <v>417.81200000000064</v>
      </c>
      <c r="CV130" s="14">
        <f t="shared" si="95"/>
        <v>95.378567679771166</v>
      </c>
      <c r="CW130" s="22">
        <f t="shared" si="67"/>
        <v>893.80690537560247</v>
      </c>
      <c r="CX130" s="62">
        <f t="shared" si="68"/>
        <v>1187.1402387089358</v>
      </c>
      <c r="CY130" s="62">
        <f ca="1">AVERAGE(OFFSET($CX$3,0,0,'Données projet'!$E$13+1,1))-AVERAGE(OFFSET($H$3,0,0,'Données projet'!$E$13+1,1))</f>
        <v>492.66134897013183</v>
      </c>
      <c r="CZ130" s="62">
        <f t="shared" si="96"/>
        <v>307.87428858945862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2">
        <f t="shared" ref="R131:R194" si="109">Q131+(I131+J131)*44/12</f>
        <v>293.33333333333678</v>
      </c>
      <c r="S131" s="62">
        <f ca="1">AVERAGE(OFFSET($R$3,0,0,'Données projet'!$E$9+1,1))-AVERAGE(OFFSET($H$3,0,0,'Données projet'!$E$9+1,1))</f>
        <v>256.47911362806866</v>
      </c>
      <c r="T131" s="62">
        <f t="shared" si="88"/>
        <v>230.93438491511529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0.64073260216116124</v>
      </c>
      <c r="AA131" s="23">
        <f>EXP(-LN(2)/25)*AA130+(1-EXP(-LN(2)/25))/(LN(2)/25)*Calculateur!V131*Calculateur!X131*VLOOKUP('Données projet'!$B$9,Paramètres!$A$1:$I$89,3,0)*0.475*44/12</f>
        <v>0.54484653165867569</v>
      </c>
      <c r="AB131" s="23">
        <f>EXP(-LN(2)/2)*AB130+(1-EXP(-LN(2)/2))/(LN(2)/2)*V131*Y131*VLOOKUP('Données projet'!$B$9,Paramètres!$A$1:$I$89,3,0)*0.475*44/12</f>
        <v>1.081411792046442E-14</v>
      </c>
      <c r="AC131" s="24">
        <f t="shared" si="57"/>
        <v>1.1855791338198478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-4.9658410716801891E-14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255.68195973350799</v>
      </c>
      <c r="AO131" s="62">
        <f t="shared" si="90"/>
        <v>269.20928353552461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243.51680047412441</v>
      </c>
      <c r="BJ131" s="62">
        <f t="shared" si="92"/>
        <v>224.00025638752402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-1.6671037883497774E-13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221.4629402571224</v>
      </c>
      <c r="CE131" s="62">
        <f t="shared" si="94"/>
        <v>204.26941562549416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3.0769230769230718</v>
      </c>
      <c r="CT131" s="13">
        <f>IF('Données projet'!$A$140&gt;35,CT130+CS131-DB130,IF(A131&lt;'Données projet'!$A$140,$CQ$205^A131,IF(A131='Données projet'!$A$140,'Données projet'!$B$140,CT130+CS131-DB130)))</f>
        <v>402.82051282051339</v>
      </c>
      <c r="CU131" s="18">
        <f>CT131*VLOOKUP('Données projet'!$B$13,Paramètres!$A$1:$I$89,3,0)*VLOOKUP('Données projet'!$B$13,Paramètres!$A$1:$I$89,5,0)</f>
        <v>421.02800000000065</v>
      </c>
      <c r="CV131" s="14">
        <f t="shared" si="95"/>
        <v>96.026974524902201</v>
      </c>
      <c r="CW131" s="22">
        <f t="shared" si="67"/>
        <v>900.53741396420571</v>
      </c>
      <c r="CX131" s="62">
        <f t="shared" si="68"/>
        <v>1193.8707472975391</v>
      </c>
      <c r="CY131" s="62">
        <f ca="1">AVERAGE(OFFSET($CX$3,0,0,'Données projet'!$E$13+1,1))-AVERAGE(OFFSET($H$3,0,0,'Données projet'!$E$13+1,1))</f>
        <v>492.66134897013183</v>
      </c>
      <c r="CZ131" s="62">
        <f t="shared" si="96"/>
        <v>307.87428858945862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2">
        <f t="shared" si="109"/>
        <v>293.33333333333678</v>
      </c>
      <c r="S132" s="62">
        <f ca="1">AVERAGE(OFFSET($R$3,0,0,'Données projet'!$E$9+1,1))-AVERAGE(OFFSET($H$3,0,0,'Données projet'!$E$9+1,1))</f>
        <v>256.47911362806866</v>
      </c>
      <c r="T132" s="62">
        <f t="shared" si="88"/>
        <v>230.93438491511529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0.62816822664107907</v>
      </c>
      <c r="AA132" s="23">
        <f>EXP(-LN(2)/25)*AA131+(1-EXP(-LN(2)/25))/(LN(2)/25)*Calculateur!V132*Calculateur!X132*VLOOKUP('Données projet'!$B$9,Paramètres!$A$1:$I$89,3,0)*0.475*44/12</f>
        <v>0.52994767459823533</v>
      </c>
      <c r="AB132" s="23">
        <f>EXP(-LN(2)/2)*AB131+(1-EXP(-LN(2)/2))/(LN(2)/2)*V132*Y132*VLOOKUP('Données projet'!$B$9,Paramètres!$A$1:$I$89,3,0)*0.475*44/12</f>
        <v>7.6467361141113569E-15</v>
      </c>
      <c r="AC132" s="24">
        <f t="shared" ref="AC132:AC153" si="111">SUM(Z132:AB132)</f>
        <v>1.1581159012393218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-4.9658410716801891E-14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255.68195973350799</v>
      </c>
      <c r="AO132" s="62">
        <f t="shared" si="90"/>
        <v>269.20928353552461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243.51680047412441</v>
      </c>
      <c r="BJ132" s="62">
        <f t="shared" si="92"/>
        <v>224.00025638752402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-1.6671037883497774E-13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221.4629402571224</v>
      </c>
      <c r="CE132" s="62">
        <f t="shared" si="94"/>
        <v>204.26941562549416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3.0769230769230718</v>
      </c>
      <c r="CT132" s="13">
        <f>IF('Données projet'!$A$140&gt;35,CT131+CS132-DB131,IF(A132&lt;'Données projet'!$A$140,$CQ$205^A132,IF(A132='Données projet'!$A$140,'Données projet'!$B$140,CT131+CS132-DB131)))</f>
        <v>405.89743589743648</v>
      </c>
      <c r="CU132" s="18">
        <f>CT132*VLOOKUP('Données projet'!$B$13,Paramètres!$A$1:$I$89,3,0)*VLOOKUP('Données projet'!$B$13,Paramètres!$A$1:$I$89,5,0)</f>
        <v>424.24400000000065</v>
      </c>
      <c r="CV132" s="14">
        <f t="shared" si="95"/>
        <v>96.674805111930937</v>
      </c>
      <c r="CW132" s="22">
        <f t="shared" ref="CW132:CW153" si="121">(CU132+CV132)*0.475*44/12</f>
        <v>907.26691890328073</v>
      </c>
      <c r="CX132" s="62">
        <f t="shared" ref="CX132:CX195" si="122">CW132+(CO132+CP132)*44/12</f>
        <v>1200.6002522366141</v>
      </c>
      <c r="CY132" s="62">
        <f ca="1">AVERAGE(OFFSET($CX$3,0,0,'Données projet'!$E$13+1,1))-AVERAGE(OFFSET($H$3,0,0,'Données projet'!$E$13+1,1))</f>
        <v>492.66134897013183</v>
      </c>
      <c r="CZ132" s="62">
        <f t="shared" si="96"/>
        <v>307.87428858945862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2">
        <f t="shared" si="109"/>
        <v>293.33333333333678</v>
      </c>
      <c r="S133" s="62">
        <f ca="1">AVERAGE(OFFSET($R$3,0,0,'Données projet'!$E$9+1,1))-AVERAGE(OFFSET($H$3,0,0,'Données projet'!$E$9+1,1))</f>
        <v>256.47911362806866</v>
      </c>
      <c r="T133" s="62">
        <f t="shared" ref="T133:T196" si="142">$T$3</f>
        <v>230.93438491511529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0.61585023086143331</v>
      </c>
      <c r="AA133" s="23">
        <f>EXP(-LN(2)/25)*AA132+(1-EXP(-LN(2)/25))/(LN(2)/25)*Calculateur!V133*Calculateur!X133*VLOOKUP('Données projet'!$B$9,Paramètres!$A$1:$I$89,3,0)*0.475*44/12</f>
        <v>0.51545622756760956</v>
      </c>
      <c r="AB133" s="23">
        <f>EXP(-LN(2)/2)*AB132+(1-EXP(-LN(2)/2))/(LN(2)/2)*V133*Y133*VLOOKUP('Données projet'!$B$9,Paramètres!$A$1:$I$89,3,0)*0.475*44/12</f>
        <v>5.40705896023221E-15</v>
      </c>
      <c r="AC133" s="24">
        <f t="shared" si="111"/>
        <v>1.1313064584290482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-4.9658410716801891E-14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255.68195973350799</v>
      </c>
      <c r="AO133" s="62">
        <f t="shared" ref="AO133:AO196" si="144">$AO$3</f>
        <v>269.20928353552461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243.51680047412441</v>
      </c>
      <c r="BJ133" s="62">
        <f t="shared" ref="BJ133:BJ196" si="146">$BJ$3</f>
        <v>224.00025638752402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-1.6671037883497774E-13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221.4629402571224</v>
      </c>
      <c r="CE133" s="62">
        <f t="shared" ref="CE133:CE196" si="148">$CE$3</f>
        <v>204.26941562549416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408.97435897435895</v>
      </c>
      <c r="CR133" s="13">
        <f>VLOOKUP(A133,'Données projet'!$A$139:$I$159,9,0)</f>
        <v>3.0769230769230718</v>
      </c>
      <c r="CS133" s="13">
        <f t="array" ref="CS133">INDEX(CR:CR,MIN(IF(ISNUMBER(CR133:CR329),ROW(CR133:CR329),"")))</f>
        <v>3.0769230769230718</v>
      </c>
      <c r="CT133" s="13">
        <f>IF('Données projet'!$A$140&gt;35,CT132+CS133-DB132,IF(A133&lt;'Données projet'!$A$140,$CQ$205^A133,IF(A133='Données projet'!$A$140,'Données projet'!$B$140,CT132+CS133-DB132)))</f>
        <v>408.97435897435957</v>
      </c>
      <c r="CU133" s="18">
        <f>CT133*VLOOKUP('Données projet'!$B$13,Paramètres!$A$1:$I$89,3,0)*VLOOKUP('Données projet'!$B$13,Paramètres!$A$1:$I$89,5,0)</f>
        <v>427.46000000000072</v>
      </c>
      <c r="CV133" s="14">
        <f t="shared" ref="CV133:CV153" si="149">EXP(-1.0587+0.8836*LN(CU133)+0.284)</f>
        <v>97.322064315625241</v>
      </c>
      <c r="CW133" s="22">
        <f t="shared" si="121"/>
        <v>913.99542868304843</v>
      </c>
      <c r="CX133" s="62">
        <f t="shared" si="122"/>
        <v>1207.3287620163817</v>
      </c>
      <c r="CY133" s="62">
        <f ca="1">AVERAGE(OFFSET($CX$3,0,0,'Données projet'!$E$13+1,1))-AVERAGE(OFFSET($H$3,0,0,'Données projet'!$E$13+1,1))</f>
        <v>492.66134897013183</v>
      </c>
      <c r="CZ133" s="62">
        <f t="shared" ref="CZ133:CZ196" si="150">$CZ$3</f>
        <v>307.87428858945862</v>
      </c>
      <c r="DA133" s="16">
        <f>IF(ISNA(VLOOKUP(A133,'Données projet'!$A$139:$I$159,3,0)),0,VLOOKUP(A133,'Données projet'!$A$139:$I$159,3,0))</f>
        <v>12</v>
      </c>
      <c r="DB133" s="16">
        <f>IF(ISNA(VLOOKUP(A133,'Données projet'!$A$139:$I$159,4,0)),0,VLOOKUP(A133,'Données projet'!$A$139:$I$159,4,0))</f>
        <v>408.97435897435895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2">
        <f t="shared" si="109"/>
        <v>293.33333333333678</v>
      </c>
      <c r="S134" s="62">
        <f ca="1">AVERAGE(OFFSET($R$3,0,0,'Données projet'!$E$9+1,1))-AVERAGE(OFFSET($H$3,0,0,'Données projet'!$E$9+1,1))</f>
        <v>256.47911362806866</v>
      </c>
      <c r="T134" s="62">
        <f t="shared" si="142"/>
        <v>230.93438491511529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0.60377378346579091</v>
      </c>
      <c r="AA134" s="23">
        <f>EXP(-LN(2)/25)*AA133+(1-EXP(-LN(2)/25))/(LN(2)/25)*Calculateur!V134*Calculateur!X134*VLOOKUP('Données projet'!$B$9,Paramètres!$A$1:$I$89,3,0)*0.475*44/12</f>
        <v>0.50136104991810837</v>
      </c>
      <c r="AB134" s="23">
        <f>EXP(-LN(2)/2)*AB133+(1-EXP(-LN(2)/2))/(LN(2)/2)*V134*Y134*VLOOKUP('Données projet'!$B$9,Paramètres!$A$1:$I$89,3,0)*0.475*44/12</f>
        <v>3.8233680570556784E-15</v>
      </c>
      <c r="AC134" s="24">
        <f t="shared" si="111"/>
        <v>1.1051348333839031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-4.9658410716801891E-14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255.68195973350799</v>
      </c>
      <c r="AO134" s="62">
        <f t="shared" si="144"/>
        <v>269.20928353552461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243.51680047412441</v>
      </c>
      <c r="BJ134" s="62">
        <f t="shared" si="146"/>
        <v>224.00025638752402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-1.6671037883497774E-13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221.4629402571224</v>
      </c>
      <c r="CE134" s="62">
        <f t="shared" si="148"/>
        <v>204.26941562549416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6.2527760746888816E-13</v>
      </c>
      <c r="CU134" s="18">
        <f>CT134*VLOOKUP('Données projet'!$B$13,Paramètres!$A$1:$I$89,3,0)*VLOOKUP('Données projet'!$B$13,Paramètres!$A$1:$I$89,5,0)</f>
        <v>6.5354015532648198E-13</v>
      </c>
      <c r="CV134" s="14">
        <f t="shared" si="149"/>
        <v>7.8909019831354483E-12</v>
      </c>
      <c r="CW134" s="22">
        <f t="shared" si="121"/>
        <v>1.4881570057821194E-11</v>
      </c>
      <c r="CX134" s="62">
        <f t="shared" si="122"/>
        <v>293.33333333334821</v>
      </c>
      <c r="CY134" s="62">
        <f ca="1">AVERAGE(OFFSET($CX$3,0,0,'Données projet'!$E$13+1,1))-AVERAGE(OFFSET($H$3,0,0,'Données projet'!$E$13+1,1))</f>
        <v>492.66134897013183</v>
      </c>
      <c r="CZ134" s="62">
        <f t="shared" si="150"/>
        <v>307.87428858945862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2">
        <f t="shared" si="109"/>
        <v>293.33333333333678</v>
      </c>
      <c r="S135" s="62">
        <f ca="1">AVERAGE(OFFSET($R$3,0,0,'Données projet'!$E$9+1,1))-AVERAGE(OFFSET($H$3,0,0,'Données projet'!$E$9+1,1))</f>
        <v>256.47911362806866</v>
      </c>
      <c r="T135" s="62">
        <f t="shared" si="142"/>
        <v>230.93438491511529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0.59193414783767151</v>
      </c>
      <c r="AA135" s="23">
        <f>EXP(-LN(2)/25)*AA134+(1-EXP(-LN(2)/25))/(LN(2)/25)*Calculateur!V135*Calculateur!X135*VLOOKUP('Données projet'!$B$9,Paramètres!$A$1:$I$89,3,0)*0.475*44/12</f>
        <v>0.48765130564266596</v>
      </c>
      <c r="AB135" s="23">
        <f>EXP(-LN(2)/2)*AB134+(1-EXP(-LN(2)/2))/(LN(2)/2)*V135*Y135*VLOOKUP('Données projet'!$B$9,Paramètres!$A$1:$I$89,3,0)*0.475*44/12</f>
        <v>2.703529480116105E-15</v>
      </c>
      <c r="AC135" s="24">
        <f t="shared" si="111"/>
        <v>1.0795854534803402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-4.9658410716801891E-14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255.68195973350799</v>
      </c>
      <c r="AO135" s="62">
        <f t="shared" si="144"/>
        <v>269.20928353552461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243.51680047412441</v>
      </c>
      <c r="BJ135" s="62">
        <f t="shared" si="146"/>
        <v>224.00025638752402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-1.6671037883497774E-13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221.4629402571224</v>
      </c>
      <c r="CE135" s="62">
        <f t="shared" si="148"/>
        <v>204.26941562549416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6.2527760746888816E-13</v>
      </c>
      <c r="CU135" s="18">
        <f>CT135*VLOOKUP('Données projet'!$B$13,Paramètres!$A$1:$I$89,3,0)*VLOOKUP('Données projet'!$B$13,Paramètres!$A$1:$I$89,5,0)</f>
        <v>6.5354015532648198E-13</v>
      </c>
      <c r="CV135" s="14">
        <f t="shared" si="149"/>
        <v>7.8909019831354483E-12</v>
      </c>
      <c r="CW135" s="22">
        <f t="shared" si="121"/>
        <v>1.4881570057821194E-11</v>
      </c>
      <c r="CX135" s="62">
        <f t="shared" si="122"/>
        <v>293.33333333334821</v>
      </c>
      <c r="CY135" s="62">
        <f ca="1">AVERAGE(OFFSET($CX$3,0,0,'Données projet'!$E$13+1,1))-AVERAGE(OFFSET($H$3,0,0,'Données projet'!$E$13+1,1))</f>
        <v>492.66134897013183</v>
      </c>
      <c r="CZ135" s="62">
        <f t="shared" si="150"/>
        <v>307.87428858945862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2">
        <f t="shared" si="109"/>
        <v>293.33333333333678</v>
      </c>
      <c r="S136" s="62">
        <f ca="1">AVERAGE(OFFSET($R$3,0,0,'Données projet'!$E$9+1,1))-AVERAGE(OFFSET($H$3,0,0,'Données projet'!$E$9+1,1))</f>
        <v>256.47911362806866</v>
      </c>
      <c r="T136" s="62">
        <f t="shared" si="142"/>
        <v>230.93438491511529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0.5803266802427548</v>
      </c>
      <c r="AA136" s="23">
        <f>EXP(-LN(2)/25)*AA135+(1-EXP(-LN(2)/25))/(LN(2)/25)*Calculateur!V136*Calculateur!X136*VLOOKUP('Données projet'!$B$9,Paramètres!$A$1:$I$89,3,0)*0.475*44/12</f>
        <v>0.47431645504539965</v>
      </c>
      <c r="AB136" s="23">
        <f>EXP(-LN(2)/2)*AB135+(1-EXP(-LN(2)/2))/(LN(2)/2)*V136*Y136*VLOOKUP('Données projet'!$B$9,Paramètres!$A$1:$I$89,3,0)*0.475*44/12</f>
        <v>1.9116840285278392E-15</v>
      </c>
      <c r="AC136" s="24">
        <f t="shared" si="111"/>
        <v>1.0546431352881565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-4.9658410716801891E-14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255.68195973350799</v>
      </c>
      <c r="AO136" s="62">
        <f t="shared" si="144"/>
        <v>269.20928353552461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243.51680047412441</v>
      </c>
      <c r="BJ136" s="62">
        <f t="shared" si="146"/>
        <v>224.00025638752402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-1.6671037883497774E-13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221.4629402571224</v>
      </c>
      <c r="CE136" s="62">
        <f t="shared" si="148"/>
        <v>204.26941562549416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6.2527760746888816E-13</v>
      </c>
      <c r="CU136" s="18">
        <f>CT136*VLOOKUP('Données projet'!$B$13,Paramètres!$A$1:$I$89,3,0)*VLOOKUP('Données projet'!$B$13,Paramètres!$A$1:$I$89,5,0)</f>
        <v>6.5354015532648198E-13</v>
      </c>
      <c r="CV136" s="14">
        <f t="shared" si="149"/>
        <v>7.8909019831354483E-12</v>
      </c>
      <c r="CW136" s="22">
        <f t="shared" si="121"/>
        <v>1.4881570057821194E-11</v>
      </c>
      <c r="CX136" s="62">
        <f t="shared" si="122"/>
        <v>293.33333333334821</v>
      </c>
      <c r="CY136" s="62">
        <f ca="1">AVERAGE(OFFSET($CX$3,0,0,'Données projet'!$E$13+1,1))-AVERAGE(OFFSET($H$3,0,0,'Données projet'!$E$13+1,1))</f>
        <v>492.66134897013183</v>
      </c>
      <c r="CZ136" s="62">
        <f t="shared" si="150"/>
        <v>307.87428858945862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2">
        <f t="shared" si="109"/>
        <v>293.33333333333678</v>
      </c>
      <c r="S137" s="62">
        <f ca="1">AVERAGE(OFFSET($R$3,0,0,'Données projet'!$E$9+1,1))-AVERAGE(OFFSET($H$3,0,0,'Données projet'!$E$9+1,1))</f>
        <v>256.47911362806866</v>
      </c>
      <c r="T137" s="62">
        <f t="shared" si="142"/>
        <v>230.93438491511529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0.56894682800751828</v>
      </c>
      <c r="AA137" s="23">
        <f>EXP(-LN(2)/25)*AA136+(1-EXP(-LN(2)/25))/(LN(2)/25)*Calculateur!V137*Calculateur!X137*VLOOKUP('Données projet'!$B$9,Paramètres!$A$1:$I$89,3,0)*0.475*44/12</f>
        <v>0.4613462466389649</v>
      </c>
      <c r="AB137" s="23">
        <f>EXP(-LN(2)/2)*AB136+(1-EXP(-LN(2)/2))/(LN(2)/2)*V137*Y137*VLOOKUP('Données projet'!$B$9,Paramètres!$A$1:$I$89,3,0)*0.475*44/12</f>
        <v>1.3517647400580525E-15</v>
      </c>
      <c r="AC137" s="24">
        <f t="shared" si="111"/>
        <v>1.0302930746464845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-4.9658410716801891E-14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255.68195973350799</v>
      </c>
      <c r="AO137" s="62">
        <f t="shared" si="144"/>
        <v>269.20928353552461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243.51680047412441</v>
      </c>
      <c r="BJ137" s="62">
        <f t="shared" si="146"/>
        <v>224.00025638752402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-1.6671037883497774E-13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221.4629402571224</v>
      </c>
      <c r="CE137" s="62">
        <f t="shared" si="148"/>
        <v>204.26941562549416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6.2527760746888816E-13</v>
      </c>
      <c r="CU137" s="18">
        <f>CT137*VLOOKUP('Données projet'!$B$13,Paramètres!$A$1:$I$89,3,0)*VLOOKUP('Données projet'!$B$13,Paramètres!$A$1:$I$89,5,0)</f>
        <v>6.5354015532648198E-13</v>
      </c>
      <c r="CV137" s="14">
        <f t="shared" si="149"/>
        <v>7.8909019831354483E-12</v>
      </c>
      <c r="CW137" s="22">
        <f t="shared" si="121"/>
        <v>1.4881570057821194E-11</v>
      </c>
      <c r="CX137" s="62">
        <f t="shared" si="122"/>
        <v>293.33333333334821</v>
      </c>
      <c r="CY137" s="62">
        <f ca="1">AVERAGE(OFFSET($CX$3,0,0,'Données projet'!$E$13+1,1))-AVERAGE(OFFSET($H$3,0,0,'Données projet'!$E$13+1,1))</f>
        <v>492.66134897013183</v>
      </c>
      <c r="CZ137" s="62">
        <f t="shared" si="150"/>
        <v>307.87428858945862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2">
        <f t="shared" si="109"/>
        <v>293.33333333333678</v>
      </c>
      <c r="S138" s="62">
        <f ca="1">AVERAGE(OFFSET($R$3,0,0,'Données projet'!$E$9+1,1))-AVERAGE(OFFSET($H$3,0,0,'Données projet'!$E$9+1,1))</f>
        <v>256.47911362806866</v>
      </c>
      <c r="T138" s="62">
        <f t="shared" si="142"/>
        <v>230.93438491511529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0.55779012773359027</v>
      </c>
      <c r="AA138" s="23">
        <f>EXP(-LN(2)/25)*AA137+(1-EXP(-LN(2)/25))/(LN(2)/25)*Calculateur!V138*Calculateur!X138*VLOOKUP('Données projet'!$B$9,Paramètres!$A$1:$I$89,3,0)*0.475*44/12</f>
        <v>0.44873070926347769</v>
      </c>
      <c r="AB138" s="23">
        <f>EXP(-LN(2)/2)*AB137+(1-EXP(-LN(2)/2))/(LN(2)/2)*V138*Y138*VLOOKUP('Données projet'!$B$9,Paramètres!$A$1:$I$89,3,0)*0.475*44/12</f>
        <v>9.5584201426391961E-16</v>
      </c>
      <c r="AC138" s="24">
        <f t="shared" si="111"/>
        <v>1.0065208369970688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-4.9658410716801891E-14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255.68195973350799</v>
      </c>
      <c r="AO138" s="62">
        <f t="shared" si="144"/>
        <v>269.20928353552461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243.51680047412441</v>
      </c>
      <c r="BJ138" s="62">
        <f t="shared" si="146"/>
        <v>224.00025638752402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-1.6671037883497774E-13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221.4629402571224</v>
      </c>
      <c r="CE138" s="62">
        <f t="shared" si="148"/>
        <v>204.26941562549416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6.2527760746888816E-13</v>
      </c>
      <c r="CU138" s="18">
        <f>CT138*VLOOKUP('Données projet'!$B$13,Paramètres!$A$1:$I$89,3,0)*VLOOKUP('Données projet'!$B$13,Paramètres!$A$1:$I$89,5,0)</f>
        <v>6.5354015532648198E-13</v>
      </c>
      <c r="CV138" s="14">
        <f t="shared" si="149"/>
        <v>7.8909019831354483E-12</v>
      </c>
      <c r="CW138" s="22">
        <f t="shared" si="121"/>
        <v>1.4881570057821194E-11</v>
      </c>
      <c r="CX138" s="62">
        <f t="shared" si="122"/>
        <v>293.33333333334821</v>
      </c>
      <c r="CY138" s="62">
        <f ca="1">AVERAGE(OFFSET($CX$3,0,0,'Données projet'!$E$13+1,1))-AVERAGE(OFFSET($H$3,0,0,'Données projet'!$E$13+1,1))</f>
        <v>492.66134897013183</v>
      </c>
      <c r="CZ138" s="62">
        <f t="shared" si="150"/>
        <v>307.87428858945862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2">
        <f t="shared" si="109"/>
        <v>293.33333333333678</v>
      </c>
      <c r="S139" s="62">
        <f ca="1">AVERAGE(OFFSET($R$3,0,0,'Données projet'!$E$9+1,1))-AVERAGE(OFFSET($H$3,0,0,'Données projet'!$E$9+1,1))</f>
        <v>256.47911362806866</v>
      </c>
      <c r="T139" s="62">
        <f t="shared" si="142"/>
        <v>230.93438491511529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0.54685220354711872</v>
      </c>
      <c r="AA139" s="23">
        <f>EXP(-LN(2)/25)*AA138+(1-EXP(-LN(2)/25))/(LN(2)/25)*Calculateur!V139*Calculateur!X139*VLOOKUP('Données projet'!$B$9,Paramètres!$A$1:$I$89,3,0)*0.475*44/12</f>
        <v>0.4364601444209455</v>
      </c>
      <c r="AB139" s="23">
        <f>EXP(-LN(2)/2)*AB138+(1-EXP(-LN(2)/2))/(LN(2)/2)*V139*Y139*VLOOKUP('Données projet'!$B$9,Paramètres!$A$1:$I$89,3,0)*0.475*44/12</f>
        <v>6.7588237002902625E-16</v>
      </c>
      <c r="AC139" s="24">
        <f t="shared" si="111"/>
        <v>0.98331234796806488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-4.9658410716801891E-14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255.68195973350799</v>
      </c>
      <c r="AO139" s="62">
        <f t="shared" si="144"/>
        <v>269.20928353552461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243.51680047412441</v>
      </c>
      <c r="BJ139" s="62">
        <f t="shared" si="146"/>
        <v>224.00025638752402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-1.6671037883497774E-13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221.4629402571224</v>
      </c>
      <c r="CE139" s="62">
        <f t="shared" si="148"/>
        <v>204.26941562549416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6.2527760746888816E-13</v>
      </c>
      <c r="CU139" s="18">
        <f>CT139*VLOOKUP('Données projet'!$B$13,Paramètres!$A$1:$I$89,3,0)*VLOOKUP('Données projet'!$B$13,Paramètres!$A$1:$I$89,5,0)</f>
        <v>6.5354015532648198E-13</v>
      </c>
      <c r="CV139" s="14">
        <f t="shared" si="149"/>
        <v>7.8909019831354483E-12</v>
      </c>
      <c r="CW139" s="22">
        <f t="shared" si="121"/>
        <v>1.4881570057821194E-11</v>
      </c>
      <c r="CX139" s="62">
        <f t="shared" si="122"/>
        <v>293.33333333334821</v>
      </c>
      <c r="CY139" s="62">
        <f ca="1">AVERAGE(OFFSET($CX$3,0,0,'Données projet'!$E$13+1,1))-AVERAGE(OFFSET($H$3,0,0,'Données projet'!$E$13+1,1))</f>
        <v>492.66134897013183</v>
      </c>
      <c r="CZ139" s="62">
        <f t="shared" si="150"/>
        <v>307.87428858945862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2">
        <f t="shared" si="109"/>
        <v>293.33333333333678</v>
      </c>
      <c r="S140" s="62">
        <f ca="1">AVERAGE(OFFSET($R$3,0,0,'Données projet'!$E$9+1,1))-AVERAGE(OFFSET($H$3,0,0,'Données projet'!$E$9+1,1))</f>
        <v>256.47911362806866</v>
      </c>
      <c r="T140" s="62">
        <f t="shared" si="142"/>
        <v>230.93438491511529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0.5361287653824689</v>
      </c>
      <c r="AA140" s="23">
        <f>EXP(-LN(2)/25)*AA139+(1-EXP(-LN(2)/25))/(LN(2)/25)*Calculateur!V140*Calculateur!X140*VLOOKUP('Données projet'!$B$9,Paramètres!$A$1:$I$89,3,0)*0.475*44/12</f>
        <v>0.42452511881931326</v>
      </c>
      <c r="AB140" s="23">
        <f>EXP(-LN(2)/2)*AB139+(1-EXP(-LN(2)/2))/(LN(2)/2)*V140*Y140*VLOOKUP('Données projet'!$B$9,Paramètres!$A$1:$I$89,3,0)*0.475*44/12</f>
        <v>4.779210071319598E-16</v>
      </c>
      <c r="AC140" s="24">
        <f t="shared" si="111"/>
        <v>0.96065388420178266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-4.9658410716801891E-14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255.68195973350799</v>
      </c>
      <c r="AO140" s="62">
        <f t="shared" si="144"/>
        <v>269.20928353552461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243.51680047412441</v>
      </c>
      <c r="BJ140" s="62">
        <f t="shared" si="146"/>
        <v>224.00025638752402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-1.6671037883497774E-13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221.4629402571224</v>
      </c>
      <c r="CE140" s="62">
        <f t="shared" si="148"/>
        <v>204.26941562549416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6.2527760746888816E-13</v>
      </c>
      <c r="CU140" s="18">
        <f>CT140*VLOOKUP('Données projet'!$B$13,Paramètres!$A$1:$I$89,3,0)*VLOOKUP('Données projet'!$B$13,Paramètres!$A$1:$I$89,5,0)</f>
        <v>6.5354015532648198E-13</v>
      </c>
      <c r="CV140" s="14">
        <f t="shared" si="149"/>
        <v>7.8909019831354483E-12</v>
      </c>
      <c r="CW140" s="22">
        <f t="shared" si="121"/>
        <v>1.4881570057821194E-11</v>
      </c>
      <c r="CX140" s="62">
        <f t="shared" si="122"/>
        <v>293.33333333334821</v>
      </c>
      <c r="CY140" s="62">
        <f ca="1">AVERAGE(OFFSET($CX$3,0,0,'Données projet'!$E$13+1,1))-AVERAGE(OFFSET($H$3,0,0,'Données projet'!$E$13+1,1))</f>
        <v>492.66134897013183</v>
      </c>
      <c r="CZ140" s="62">
        <f t="shared" si="150"/>
        <v>307.87428858945862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2">
        <f t="shared" si="109"/>
        <v>293.33333333333678</v>
      </c>
      <c r="S141" s="62">
        <f ca="1">AVERAGE(OFFSET($R$3,0,0,'Données projet'!$E$9+1,1))-AVERAGE(OFFSET($H$3,0,0,'Données projet'!$E$9+1,1))</f>
        <v>256.47911362806866</v>
      </c>
      <c r="T141" s="62">
        <f t="shared" si="142"/>
        <v>230.93438491511529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0.52561560729957635</v>
      </c>
      <c r="AA141" s="23">
        <f>EXP(-LN(2)/25)*AA140+(1-EXP(-LN(2)/25))/(LN(2)/25)*Calculateur!V141*Calculateur!X141*VLOOKUP('Données projet'!$B$9,Paramètres!$A$1:$I$89,3,0)*0.475*44/12</f>
        <v>0.41291645712039343</v>
      </c>
      <c r="AB141" s="23">
        <f>EXP(-LN(2)/2)*AB140+(1-EXP(-LN(2)/2))/(LN(2)/2)*V141*Y141*VLOOKUP('Données projet'!$B$9,Paramètres!$A$1:$I$89,3,0)*0.475*44/12</f>
        <v>3.3794118501451313E-16</v>
      </c>
      <c r="AC141" s="24">
        <f t="shared" si="111"/>
        <v>0.93853206441997006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-4.9658410716801891E-14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255.68195973350799</v>
      </c>
      <c r="AO141" s="62">
        <f t="shared" si="144"/>
        <v>269.20928353552461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243.51680047412441</v>
      </c>
      <c r="BJ141" s="62">
        <f t="shared" si="146"/>
        <v>224.00025638752402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-1.6671037883497774E-13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221.4629402571224</v>
      </c>
      <c r="CE141" s="62">
        <f t="shared" si="148"/>
        <v>204.26941562549416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6.2527760746888816E-13</v>
      </c>
      <c r="CU141" s="18">
        <f>CT141*VLOOKUP('Données projet'!$B$13,Paramètres!$A$1:$I$89,3,0)*VLOOKUP('Données projet'!$B$13,Paramètres!$A$1:$I$89,5,0)</f>
        <v>6.5354015532648198E-13</v>
      </c>
      <c r="CV141" s="14">
        <f t="shared" si="149"/>
        <v>7.8909019831354483E-12</v>
      </c>
      <c r="CW141" s="22">
        <f t="shared" si="121"/>
        <v>1.4881570057821194E-11</v>
      </c>
      <c r="CX141" s="62">
        <f t="shared" si="122"/>
        <v>293.33333333334821</v>
      </c>
      <c r="CY141" s="62">
        <f ca="1">AVERAGE(OFFSET($CX$3,0,0,'Données projet'!$E$13+1,1))-AVERAGE(OFFSET($H$3,0,0,'Données projet'!$E$13+1,1))</f>
        <v>492.66134897013183</v>
      </c>
      <c r="CZ141" s="62">
        <f t="shared" si="150"/>
        <v>307.87428858945862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2">
        <f t="shared" si="109"/>
        <v>293.33333333333678</v>
      </c>
      <c r="S142" s="62">
        <f ca="1">AVERAGE(OFFSET($R$3,0,0,'Données projet'!$E$9+1,1))-AVERAGE(OFFSET($H$3,0,0,'Données projet'!$E$9+1,1))</f>
        <v>256.47911362806866</v>
      </c>
      <c r="T142" s="62">
        <f t="shared" si="142"/>
        <v>230.93438491511529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0.51530860583429605</v>
      </c>
      <c r="AA142" s="23">
        <f>EXP(-LN(2)/25)*AA141+(1-EXP(-LN(2)/25))/(LN(2)/25)*Calculateur!V142*Calculateur!X142*VLOOKUP('Données projet'!$B$9,Paramètres!$A$1:$I$89,3,0)*0.475*44/12</f>
        <v>0.40162523488610352</v>
      </c>
      <c r="AB142" s="23">
        <f>EXP(-LN(2)/2)*AB141+(1-EXP(-LN(2)/2))/(LN(2)/2)*V142*Y142*VLOOKUP('Données projet'!$B$9,Paramètres!$A$1:$I$89,3,0)*0.475*44/12</f>
        <v>2.389605035659799E-16</v>
      </c>
      <c r="AC142" s="24">
        <f t="shared" si="111"/>
        <v>0.91693384072039974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-4.9658410716801891E-14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255.68195973350799</v>
      </c>
      <c r="AO142" s="62">
        <f t="shared" si="144"/>
        <v>269.20928353552461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243.51680047412441</v>
      </c>
      <c r="BJ142" s="62">
        <f t="shared" si="146"/>
        <v>224.00025638752402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-1.6671037883497774E-13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221.4629402571224</v>
      </c>
      <c r="CE142" s="62">
        <f t="shared" si="148"/>
        <v>204.26941562549416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6.2527760746888816E-13</v>
      </c>
      <c r="CU142" s="18">
        <f>CT142*VLOOKUP('Données projet'!$B$13,Paramètres!$A$1:$I$89,3,0)*VLOOKUP('Données projet'!$B$13,Paramètres!$A$1:$I$89,5,0)</f>
        <v>6.5354015532648198E-13</v>
      </c>
      <c r="CV142" s="14">
        <f t="shared" si="149"/>
        <v>7.8909019831354483E-12</v>
      </c>
      <c r="CW142" s="22">
        <f t="shared" si="121"/>
        <v>1.4881570057821194E-11</v>
      </c>
      <c r="CX142" s="62">
        <f t="shared" si="122"/>
        <v>293.33333333334821</v>
      </c>
      <c r="CY142" s="62">
        <f ca="1">AVERAGE(OFFSET($CX$3,0,0,'Données projet'!$E$13+1,1))-AVERAGE(OFFSET($H$3,0,0,'Données projet'!$E$13+1,1))</f>
        <v>492.66134897013183</v>
      </c>
      <c r="CZ142" s="62">
        <f t="shared" si="150"/>
        <v>307.87428858945862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2">
        <f t="shared" si="109"/>
        <v>293.33333333333678</v>
      </c>
      <c r="S143" s="62">
        <f ca="1">AVERAGE(OFFSET($R$3,0,0,'Données projet'!$E$9+1,1))-AVERAGE(OFFSET($H$3,0,0,'Données projet'!$E$9+1,1))</f>
        <v>256.47911362806866</v>
      </c>
      <c r="T143" s="62">
        <f t="shared" si="142"/>
        <v>230.93438491511529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0.50520371838109979</v>
      </c>
      <c r="AA143" s="23">
        <f>EXP(-LN(2)/25)*AA142+(1-EXP(-LN(2)/25))/(LN(2)/25)*Calculateur!V143*Calculateur!X143*VLOOKUP('Données projet'!$B$9,Paramètres!$A$1:$I$89,3,0)*0.475*44/12</f>
        <v>0.39064277171758982</v>
      </c>
      <c r="AB143" s="23">
        <f>EXP(-LN(2)/2)*AB142+(1-EXP(-LN(2)/2))/(LN(2)/2)*V143*Y143*VLOOKUP('Données projet'!$B$9,Paramètres!$A$1:$I$89,3,0)*0.475*44/12</f>
        <v>1.6897059250725656E-16</v>
      </c>
      <c r="AC143" s="24">
        <f t="shared" si="111"/>
        <v>0.89584649009868977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-4.9658410716801891E-14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255.68195973350799</v>
      </c>
      <c r="AO143" s="62">
        <f t="shared" si="144"/>
        <v>269.20928353552461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243.51680047412441</v>
      </c>
      <c r="BJ143" s="62">
        <f t="shared" si="146"/>
        <v>224.00025638752402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-1.6671037883497774E-13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221.4629402571224</v>
      </c>
      <c r="CE143" s="62">
        <f t="shared" si="148"/>
        <v>204.26941562549416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6.2527760746888816E-13</v>
      </c>
      <c r="CU143" s="18">
        <f>CT143*VLOOKUP('Données projet'!$B$13,Paramètres!$A$1:$I$89,3,0)*VLOOKUP('Données projet'!$B$13,Paramètres!$A$1:$I$89,5,0)</f>
        <v>6.5354015532648198E-13</v>
      </c>
      <c r="CV143" s="14">
        <f t="shared" si="149"/>
        <v>7.8909019831354483E-12</v>
      </c>
      <c r="CW143" s="22">
        <f t="shared" si="121"/>
        <v>1.4881570057821194E-11</v>
      </c>
      <c r="CX143" s="62">
        <f t="shared" si="122"/>
        <v>293.33333333334821</v>
      </c>
      <c r="CY143" s="62">
        <f ca="1">AVERAGE(OFFSET($CX$3,0,0,'Données projet'!$E$13+1,1))-AVERAGE(OFFSET($H$3,0,0,'Données projet'!$E$13+1,1))</f>
        <v>492.66134897013183</v>
      </c>
      <c r="CZ143" s="62">
        <f t="shared" si="150"/>
        <v>307.87428858945862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2">
        <f t="shared" si="109"/>
        <v>293.33333333333678</v>
      </c>
      <c r="S144" s="62">
        <f ca="1">AVERAGE(OFFSET($R$3,0,0,'Données projet'!$E$9+1,1))-AVERAGE(OFFSET($H$3,0,0,'Données projet'!$E$9+1,1))</f>
        <v>256.47911362806866</v>
      </c>
      <c r="T144" s="62">
        <f t="shared" si="142"/>
        <v>230.93438491511529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0.49529698160748797</v>
      </c>
      <c r="AA144" s="23">
        <f>EXP(-LN(2)/25)*AA143+(1-EXP(-LN(2)/25))/(LN(2)/25)*Calculateur!V144*Calculateur!X144*VLOOKUP('Données projet'!$B$9,Paramètres!$A$1:$I$89,3,0)*0.475*44/12</f>
        <v>0.37996062458196178</v>
      </c>
      <c r="AB144" s="23">
        <f>EXP(-LN(2)/2)*AB143+(1-EXP(-LN(2)/2))/(LN(2)/2)*V144*Y144*VLOOKUP('Données projet'!$B$9,Paramètres!$A$1:$I$89,3,0)*0.475*44/12</f>
        <v>1.1948025178298995E-16</v>
      </c>
      <c r="AC144" s="24">
        <f t="shared" si="111"/>
        <v>0.87525760618944981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-4.9658410716801891E-14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255.68195973350799</v>
      </c>
      <c r="AO144" s="62">
        <f t="shared" si="144"/>
        <v>269.20928353552461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243.51680047412441</v>
      </c>
      <c r="BJ144" s="62">
        <f t="shared" si="146"/>
        <v>224.00025638752402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-1.6671037883497774E-13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221.4629402571224</v>
      </c>
      <c r="CE144" s="62">
        <f t="shared" si="148"/>
        <v>204.26941562549416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6.2527760746888816E-13</v>
      </c>
      <c r="CU144" s="18">
        <f>CT144*VLOOKUP('Données projet'!$B$13,Paramètres!$A$1:$I$89,3,0)*VLOOKUP('Données projet'!$B$13,Paramètres!$A$1:$I$89,5,0)</f>
        <v>6.5354015532648198E-13</v>
      </c>
      <c r="CV144" s="14">
        <f t="shared" si="149"/>
        <v>7.8909019831354483E-12</v>
      </c>
      <c r="CW144" s="22">
        <f t="shared" si="121"/>
        <v>1.4881570057821194E-11</v>
      </c>
      <c r="CX144" s="62">
        <f t="shared" si="122"/>
        <v>293.33333333334821</v>
      </c>
      <c r="CY144" s="62">
        <f ca="1">AVERAGE(OFFSET($CX$3,0,0,'Données projet'!$E$13+1,1))-AVERAGE(OFFSET($H$3,0,0,'Données projet'!$E$13+1,1))</f>
        <v>492.66134897013183</v>
      </c>
      <c r="CZ144" s="62">
        <f t="shared" si="150"/>
        <v>307.87428858945862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2">
        <f t="shared" si="109"/>
        <v>293.33333333333678</v>
      </c>
      <c r="S145" s="62">
        <f ca="1">AVERAGE(OFFSET($R$3,0,0,'Données projet'!$E$9+1,1))-AVERAGE(OFFSET($H$3,0,0,'Données projet'!$E$9+1,1))</f>
        <v>256.47911362806866</v>
      </c>
      <c r="T145" s="62">
        <f t="shared" si="142"/>
        <v>230.93438491511529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0.48558450989949387</v>
      </c>
      <c r="AA145" s="23">
        <f>EXP(-LN(2)/25)*AA144+(1-EXP(-LN(2)/25))/(LN(2)/25)*Calculateur!V145*Calculateur!X145*VLOOKUP('Données projet'!$B$9,Paramètres!$A$1:$I$89,3,0)*0.475*44/12</f>
        <v>0.36957058132150722</v>
      </c>
      <c r="AB145" s="23">
        <f>EXP(-LN(2)/2)*AB144+(1-EXP(-LN(2)/2))/(LN(2)/2)*V145*Y145*VLOOKUP('Données projet'!$B$9,Paramètres!$A$1:$I$89,3,0)*0.475*44/12</f>
        <v>8.4485296253628282E-17</v>
      </c>
      <c r="AC145" s="24">
        <f t="shared" si="111"/>
        <v>0.8551550912210012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-4.9658410716801891E-14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255.68195973350799</v>
      </c>
      <c r="AO145" s="62">
        <f t="shared" si="144"/>
        <v>269.20928353552461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243.51680047412441</v>
      </c>
      <c r="BJ145" s="62">
        <f t="shared" si="146"/>
        <v>224.00025638752402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-1.6671037883497774E-13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221.4629402571224</v>
      </c>
      <c r="CE145" s="62">
        <f t="shared" si="148"/>
        <v>204.26941562549416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6.2527760746888816E-13</v>
      </c>
      <c r="CU145" s="18">
        <f>CT145*VLOOKUP('Données projet'!$B$13,Paramètres!$A$1:$I$89,3,0)*VLOOKUP('Données projet'!$B$13,Paramètres!$A$1:$I$89,5,0)</f>
        <v>6.5354015532648198E-13</v>
      </c>
      <c r="CV145" s="14">
        <f t="shared" si="149"/>
        <v>7.8909019831354483E-12</v>
      </c>
      <c r="CW145" s="22">
        <f t="shared" si="121"/>
        <v>1.4881570057821194E-11</v>
      </c>
      <c r="CX145" s="62">
        <f t="shared" si="122"/>
        <v>293.33333333334821</v>
      </c>
      <c r="CY145" s="62">
        <f ca="1">AVERAGE(OFFSET($CX$3,0,0,'Données projet'!$E$13+1,1))-AVERAGE(OFFSET($H$3,0,0,'Données projet'!$E$13+1,1))</f>
        <v>492.66134897013183</v>
      </c>
      <c r="CZ145" s="62">
        <f t="shared" si="150"/>
        <v>307.87428858945862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2">
        <f t="shared" si="109"/>
        <v>293.33333333333678</v>
      </c>
      <c r="S146" s="62">
        <f ca="1">AVERAGE(OFFSET($R$3,0,0,'Données projet'!$E$9+1,1))-AVERAGE(OFFSET($H$3,0,0,'Données projet'!$E$9+1,1))</f>
        <v>256.47911362806866</v>
      </c>
      <c r="T146" s="62">
        <f t="shared" si="142"/>
        <v>230.93438491511529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0.47606249383767074</v>
      </c>
      <c r="AA146" s="23">
        <f>EXP(-LN(2)/25)*AA145+(1-EXP(-LN(2)/25))/(LN(2)/25)*Calculateur!V146*Calculateur!X146*VLOOKUP('Données projet'!$B$9,Paramètres!$A$1:$I$89,3,0)*0.475*44/12</f>
        <v>0.35946465434039837</v>
      </c>
      <c r="AB146" s="23">
        <f>EXP(-LN(2)/2)*AB145+(1-EXP(-LN(2)/2))/(LN(2)/2)*V146*Y146*VLOOKUP('Données projet'!$B$9,Paramètres!$A$1:$I$89,3,0)*0.475*44/12</f>
        <v>5.9740125891494975E-17</v>
      </c>
      <c r="AC146" s="24">
        <f t="shared" si="111"/>
        <v>0.83552714817806917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-4.9658410716801891E-14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255.68195973350799</v>
      </c>
      <c r="AO146" s="62">
        <f t="shared" si="144"/>
        <v>269.20928353552461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243.51680047412441</v>
      </c>
      <c r="BJ146" s="62">
        <f t="shared" si="146"/>
        <v>224.00025638752402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-1.6671037883497774E-13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221.4629402571224</v>
      </c>
      <c r="CE146" s="62">
        <f t="shared" si="148"/>
        <v>204.26941562549416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6.2527760746888816E-13</v>
      </c>
      <c r="CU146" s="18">
        <f>CT146*VLOOKUP('Données projet'!$B$13,Paramètres!$A$1:$I$89,3,0)*VLOOKUP('Données projet'!$B$13,Paramètres!$A$1:$I$89,5,0)</f>
        <v>6.5354015532648198E-13</v>
      </c>
      <c r="CV146" s="14">
        <f t="shared" si="149"/>
        <v>7.8909019831354483E-12</v>
      </c>
      <c r="CW146" s="22">
        <f t="shared" si="121"/>
        <v>1.4881570057821194E-11</v>
      </c>
      <c r="CX146" s="62">
        <f t="shared" si="122"/>
        <v>293.33333333334821</v>
      </c>
      <c r="CY146" s="62">
        <f ca="1">AVERAGE(OFFSET($CX$3,0,0,'Données projet'!$E$13+1,1))-AVERAGE(OFFSET($H$3,0,0,'Données projet'!$E$13+1,1))</f>
        <v>492.66134897013183</v>
      </c>
      <c r="CZ146" s="62">
        <f t="shared" si="150"/>
        <v>307.87428858945862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2">
        <f t="shared" si="109"/>
        <v>293.33333333333678</v>
      </c>
      <c r="S147" s="62">
        <f ca="1">AVERAGE(OFFSET($R$3,0,0,'Données projet'!$E$9+1,1))-AVERAGE(OFFSET($H$3,0,0,'Données projet'!$E$9+1,1))</f>
        <v>256.47911362806866</v>
      </c>
      <c r="T147" s="62">
        <f t="shared" si="142"/>
        <v>230.93438491511529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0.46672719870296364</v>
      </c>
      <c r="AA147" s="23">
        <f>EXP(-LN(2)/25)*AA146+(1-EXP(-LN(2)/25))/(LN(2)/25)*Calculateur!V147*Calculateur!X147*VLOOKUP('Données projet'!$B$9,Paramètres!$A$1:$I$89,3,0)*0.475*44/12</f>
        <v>0.34963507446403558</v>
      </c>
      <c r="AB147" s="23">
        <f>EXP(-LN(2)/2)*AB146+(1-EXP(-LN(2)/2))/(LN(2)/2)*V147*Y147*VLOOKUP('Données projet'!$B$9,Paramètres!$A$1:$I$89,3,0)*0.475*44/12</f>
        <v>4.2242648126814141E-17</v>
      </c>
      <c r="AC147" s="24">
        <f t="shared" si="111"/>
        <v>0.81636227316699927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-4.9658410716801891E-14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255.68195973350799</v>
      </c>
      <c r="AO147" s="62">
        <f t="shared" si="144"/>
        <v>269.20928353552461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243.51680047412441</v>
      </c>
      <c r="BJ147" s="62">
        <f t="shared" si="146"/>
        <v>224.00025638752402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-1.6671037883497774E-13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221.4629402571224</v>
      </c>
      <c r="CE147" s="62">
        <f t="shared" si="148"/>
        <v>204.26941562549416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6.2527760746888816E-13</v>
      </c>
      <c r="CU147" s="18">
        <f>CT147*VLOOKUP('Données projet'!$B$13,Paramètres!$A$1:$I$89,3,0)*VLOOKUP('Données projet'!$B$13,Paramètres!$A$1:$I$89,5,0)</f>
        <v>6.5354015532648198E-13</v>
      </c>
      <c r="CV147" s="14">
        <f t="shared" si="149"/>
        <v>7.8909019831354483E-12</v>
      </c>
      <c r="CW147" s="22">
        <f t="shared" si="121"/>
        <v>1.4881570057821194E-11</v>
      </c>
      <c r="CX147" s="62">
        <f t="shared" si="122"/>
        <v>293.33333333334821</v>
      </c>
      <c r="CY147" s="62">
        <f ca="1">AVERAGE(OFFSET($CX$3,0,0,'Données projet'!$E$13+1,1))-AVERAGE(OFFSET($H$3,0,0,'Données projet'!$E$13+1,1))</f>
        <v>492.66134897013183</v>
      </c>
      <c r="CZ147" s="62">
        <f t="shared" si="150"/>
        <v>307.87428858945862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2">
        <f t="shared" si="109"/>
        <v>293.33333333333678</v>
      </c>
      <c r="S148" s="62">
        <f ca="1">AVERAGE(OFFSET($R$3,0,0,'Données projet'!$E$9+1,1))-AVERAGE(OFFSET($H$3,0,0,'Données projet'!$E$9+1,1))</f>
        <v>256.47911362806866</v>
      </c>
      <c r="T148" s="62">
        <f t="shared" si="142"/>
        <v>230.93438491511529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0.45757496301188039</v>
      </c>
      <c r="AA148" s="23">
        <f>EXP(-LN(2)/25)*AA147+(1-EXP(-LN(2)/25))/(LN(2)/25)*Calculateur!V148*Calculateur!X148*VLOOKUP('Données projet'!$B$9,Paramètres!$A$1:$I$89,3,0)*0.475*44/12</f>
        <v>0.34007428496630704</v>
      </c>
      <c r="AB148" s="23">
        <f>EXP(-LN(2)/2)*AB147+(1-EXP(-LN(2)/2))/(LN(2)/2)*V148*Y148*VLOOKUP('Données projet'!$B$9,Paramètres!$A$1:$I$89,3,0)*0.475*44/12</f>
        <v>2.9870062945747488E-17</v>
      </c>
      <c r="AC148" s="24">
        <f t="shared" si="111"/>
        <v>0.79764924797818737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-4.9658410716801891E-14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255.68195973350799</v>
      </c>
      <c r="AO148" s="62">
        <f t="shared" si="144"/>
        <v>269.20928353552461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243.51680047412441</v>
      </c>
      <c r="BJ148" s="62">
        <f t="shared" si="146"/>
        <v>224.00025638752402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-1.6671037883497774E-13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221.4629402571224</v>
      </c>
      <c r="CE148" s="62">
        <f t="shared" si="148"/>
        <v>204.26941562549416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6.2527760746888816E-13</v>
      </c>
      <c r="CU148" s="18">
        <f>CT148*VLOOKUP('Données projet'!$B$13,Paramètres!$A$1:$I$89,3,0)*VLOOKUP('Données projet'!$B$13,Paramètres!$A$1:$I$89,5,0)</f>
        <v>6.5354015532648198E-13</v>
      </c>
      <c r="CV148" s="14">
        <f t="shared" si="149"/>
        <v>7.8909019831354483E-12</v>
      </c>
      <c r="CW148" s="22">
        <f t="shared" si="121"/>
        <v>1.4881570057821194E-11</v>
      </c>
      <c r="CX148" s="62">
        <f t="shared" si="122"/>
        <v>293.33333333334821</v>
      </c>
      <c r="CY148" s="62">
        <f ca="1">AVERAGE(OFFSET($CX$3,0,0,'Données projet'!$E$13+1,1))-AVERAGE(OFFSET($H$3,0,0,'Données projet'!$E$13+1,1))</f>
        <v>492.66134897013183</v>
      </c>
      <c r="CZ148" s="62">
        <f t="shared" si="150"/>
        <v>307.87428858945862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2">
        <f t="shared" si="109"/>
        <v>293.33333333333678</v>
      </c>
      <c r="S149" s="62">
        <f ca="1">AVERAGE(OFFSET($R$3,0,0,'Données projet'!$E$9+1,1))-AVERAGE(OFFSET($H$3,0,0,'Données projet'!$E$9+1,1))</f>
        <v>256.47911362806866</v>
      </c>
      <c r="T149" s="62">
        <f t="shared" si="142"/>
        <v>230.93438491511529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0.44860219708038668</v>
      </c>
      <c r="AA149" s="23">
        <f>EXP(-LN(2)/25)*AA148+(1-EXP(-LN(2)/25))/(LN(2)/25)*Calculateur!V149*Calculateur!X149*VLOOKUP('Données projet'!$B$9,Paramètres!$A$1:$I$89,3,0)*0.475*44/12</f>
        <v>0.33077493576017397</v>
      </c>
      <c r="AB149" s="23">
        <f>EXP(-LN(2)/2)*AB148+(1-EXP(-LN(2)/2))/(LN(2)/2)*V149*Y149*VLOOKUP('Données projet'!$B$9,Paramètres!$A$1:$I$89,3,0)*0.475*44/12</f>
        <v>2.112132406340707E-17</v>
      </c>
      <c r="AC149" s="24">
        <f t="shared" si="111"/>
        <v>0.77937713284056065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-4.9658410716801891E-14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255.68195973350799</v>
      </c>
      <c r="AO149" s="62">
        <f t="shared" si="144"/>
        <v>269.20928353552461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243.51680047412441</v>
      </c>
      <c r="BJ149" s="62">
        <f t="shared" si="146"/>
        <v>224.00025638752402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-1.6671037883497774E-13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221.4629402571224</v>
      </c>
      <c r="CE149" s="62">
        <f t="shared" si="148"/>
        <v>204.26941562549416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6.2527760746888816E-13</v>
      </c>
      <c r="CU149" s="18">
        <f>CT149*VLOOKUP('Données projet'!$B$13,Paramètres!$A$1:$I$89,3,0)*VLOOKUP('Données projet'!$B$13,Paramètres!$A$1:$I$89,5,0)</f>
        <v>6.5354015532648198E-13</v>
      </c>
      <c r="CV149" s="14">
        <f t="shared" si="149"/>
        <v>7.8909019831354483E-12</v>
      </c>
      <c r="CW149" s="22">
        <f t="shared" si="121"/>
        <v>1.4881570057821194E-11</v>
      </c>
      <c r="CX149" s="62">
        <f t="shared" si="122"/>
        <v>293.33333333334821</v>
      </c>
      <c r="CY149" s="62">
        <f ca="1">AVERAGE(OFFSET($CX$3,0,0,'Données projet'!$E$13+1,1))-AVERAGE(OFFSET($H$3,0,0,'Données projet'!$E$13+1,1))</f>
        <v>492.66134897013183</v>
      </c>
      <c r="CZ149" s="62">
        <f t="shared" si="150"/>
        <v>307.87428858945862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2">
        <f t="shared" si="109"/>
        <v>293.33333333333678</v>
      </c>
      <c r="S150" s="62">
        <f ca="1">AVERAGE(OFFSET($R$3,0,0,'Données projet'!$E$9+1,1))-AVERAGE(OFFSET($H$3,0,0,'Données projet'!$E$9+1,1))</f>
        <v>256.47911362806866</v>
      </c>
      <c r="T150" s="62">
        <f t="shared" si="142"/>
        <v>230.93438491511529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0.43980538161596278</v>
      </c>
      <c r="AA150" s="23">
        <f>EXP(-LN(2)/25)*AA149+(1-EXP(-LN(2)/25))/(LN(2)/25)*Calculateur!V150*Calculateur!X150*VLOOKUP('Données projet'!$B$9,Paramètres!$A$1:$I$89,3,0)*0.475*44/12</f>
        <v>0.32172987774711415</v>
      </c>
      <c r="AB150" s="23">
        <f>EXP(-LN(2)/2)*AB149+(1-EXP(-LN(2)/2))/(LN(2)/2)*V150*Y150*VLOOKUP('Données projet'!$B$9,Paramètres!$A$1:$I$89,3,0)*0.475*44/12</f>
        <v>1.4935031472873744E-17</v>
      </c>
      <c r="AC150" s="24">
        <f t="shared" si="111"/>
        <v>0.76153525936307687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-4.9658410716801891E-14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255.68195973350799</v>
      </c>
      <c r="AO150" s="62">
        <f t="shared" si="144"/>
        <v>269.20928353552461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243.51680047412441</v>
      </c>
      <c r="BJ150" s="62">
        <f t="shared" si="146"/>
        <v>224.00025638752402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-1.6671037883497774E-13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221.4629402571224</v>
      </c>
      <c r="CE150" s="62">
        <f t="shared" si="148"/>
        <v>204.26941562549416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6.2527760746888816E-13</v>
      </c>
      <c r="CU150" s="18">
        <f>CT150*VLOOKUP('Données projet'!$B$13,Paramètres!$A$1:$I$89,3,0)*VLOOKUP('Données projet'!$B$13,Paramètres!$A$1:$I$89,5,0)</f>
        <v>6.5354015532648198E-13</v>
      </c>
      <c r="CV150" s="14">
        <f t="shared" si="149"/>
        <v>7.8909019831354483E-12</v>
      </c>
      <c r="CW150" s="22">
        <f t="shared" si="121"/>
        <v>1.4881570057821194E-11</v>
      </c>
      <c r="CX150" s="62">
        <f t="shared" si="122"/>
        <v>293.33333333334821</v>
      </c>
      <c r="CY150" s="62">
        <f ca="1">AVERAGE(OFFSET($CX$3,0,0,'Données projet'!$E$13+1,1))-AVERAGE(OFFSET($H$3,0,0,'Données projet'!$E$13+1,1))</f>
        <v>492.66134897013183</v>
      </c>
      <c r="CZ150" s="62">
        <f t="shared" si="150"/>
        <v>307.87428858945862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2">
        <f t="shared" si="109"/>
        <v>293.33333333333678</v>
      </c>
      <c r="S151" s="62">
        <f ca="1">AVERAGE(OFFSET($R$3,0,0,'Données projet'!$E$9+1,1))-AVERAGE(OFFSET($H$3,0,0,'Données projet'!$E$9+1,1))</f>
        <v>256.47911362806866</v>
      </c>
      <c r="T151" s="62">
        <f t="shared" si="142"/>
        <v>230.93438491511529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0.43118106633726855</v>
      </c>
      <c r="AA151" s="23">
        <f>EXP(-LN(2)/25)*AA150+(1-EXP(-LN(2)/25))/(LN(2)/25)*Calculateur!V151*Calculateur!X151*VLOOKUP('Données projet'!$B$9,Paramètres!$A$1:$I$89,3,0)*0.475*44/12</f>
        <v>0.31293215732108037</v>
      </c>
      <c r="AB151" s="23">
        <f>EXP(-LN(2)/2)*AB150+(1-EXP(-LN(2)/2))/(LN(2)/2)*V151*Y151*VLOOKUP('Données projet'!$B$9,Paramètres!$A$1:$I$89,3,0)*0.475*44/12</f>
        <v>1.0560662031703535E-17</v>
      </c>
      <c r="AC151" s="24">
        <f t="shared" si="111"/>
        <v>0.74411322365834898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-4.9658410716801891E-14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255.68195973350799</v>
      </c>
      <c r="AO151" s="62">
        <f t="shared" si="144"/>
        <v>269.20928353552461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243.51680047412441</v>
      </c>
      <c r="BJ151" s="62">
        <f t="shared" si="146"/>
        <v>224.00025638752402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-1.6671037883497774E-13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221.4629402571224</v>
      </c>
      <c r="CE151" s="62">
        <f t="shared" si="148"/>
        <v>204.26941562549416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6.2527760746888816E-13</v>
      </c>
      <c r="CU151" s="18">
        <f>CT151*VLOOKUP('Données projet'!$B$13,Paramètres!$A$1:$I$89,3,0)*VLOOKUP('Données projet'!$B$13,Paramètres!$A$1:$I$89,5,0)</f>
        <v>6.5354015532648198E-13</v>
      </c>
      <c r="CV151" s="14">
        <f t="shared" si="149"/>
        <v>7.8909019831354483E-12</v>
      </c>
      <c r="CW151" s="22">
        <f t="shared" si="121"/>
        <v>1.4881570057821194E-11</v>
      </c>
      <c r="CX151" s="62">
        <f t="shared" si="122"/>
        <v>293.33333333334821</v>
      </c>
      <c r="CY151" s="62">
        <f ca="1">AVERAGE(OFFSET($CX$3,0,0,'Données projet'!$E$13+1,1))-AVERAGE(OFFSET($H$3,0,0,'Données projet'!$E$13+1,1))</f>
        <v>492.66134897013183</v>
      </c>
      <c r="CZ151" s="62">
        <f t="shared" si="150"/>
        <v>307.87428858945862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2">
        <f t="shared" si="109"/>
        <v>293.33333333333678</v>
      </c>
      <c r="S152" s="62">
        <f ca="1">AVERAGE(OFFSET($R$3,0,0,'Données projet'!$E$9+1,1))-AVERAGE(OFFSET($H$3,0,0,'Données projet'!$E$9+1,1))</f>
        <v>256.47911362806866</v>
      </c>
      <c r="T152" s="62">
        <f t="shared" si="142"/>
        <v>230.93438491511529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0.42272586862087663</v>
      </c>
      <c r="AA152" s="23">
        <f>EXP(-LN(2)/25)*AA151+(1-EXP(-LN(2)/25))/(LN(2)/25)*Calculateur!V152*Calculateur!X152*VLOOKUP('Données projet'!$B$9,Paramètres!$A$1:$I$89,3,0)*0.475*44/12</f>
        <v>0.3043750110227485</v>
      </c>
      <c r="AB152" s="23">
        <f>EXP(-LN(2)/2)*AB151+(1-EXP(-LN(2)/2))/(LN(2)/2)*V152*Y152*VLOOKUP('Données projet'!$B$9,Paramètres!$A$1:$I$89,3,0)*0.475*44/12</f>
        <v>7.4675157364368719E-18</v>
      </c>
      <c r="AC152" s="24">
        <f t="shared" si="111"/>
        <v>0.72710087964362513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-4.9658410716801891E-14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255.68195973350799</v>
      </c>
      <c r="AO152" s="62">
        <f t="shared" si="144"/>
        <v>269.20928353552461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243.51680047412441</v>
      </c>
      <c r="BJ152" s="62">
        <f t="shared" si="146"/>
        <v>224.00025638752402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-1.6671037883497774E-13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221.4629402571224</v>
      </c>
      <c r="CE152" s="62">
        <f t="shared" si="148"/>
        <v>204.26941562549416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6.2527760746888816E-13</v>
      </c>
      <c r="CU152" s="18">
        <f>CT152*VLOOKUP('Données projet'!$B$13,Paramètres!$A$1:$I$89,3,0)*VLOOKUP('Données projet'!$B$13,Paramètres!$A$1:$I$89,5,0)</f>
        <v>6.5354015532648198E-13</v>
      </c>
      <c r="CV152" s="14">
        <f t="shared" si="149"/>
        <v>7.8909019831354483E-12</v>
      </c>
      <c r="CW152" s="22">
        <f t="shared" si="121"/>
        <v>1.4881570057821194E-11</v>
      </c>
      <c r="CX152" s="62">
        <f t="shared" si="122"/>
        <v>293.33333333334821</v>
      </c>
      <c r="CY152" s="62">
        <f ca="1">AVERAGE(OFFSET($CX$3,0,0,'Données projet'!$E$13+1,1))-AVERAGE(OFFSET($H$3,0,0,'Données projet'!$E$13+1,1))</f>
        <v>492.66134897013183</v>
      </c>
      <c r="CZ152" s="62">
        <f t="shared" si="150"/>
        <v>307.87428858945862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2">
        <f t="shared" si="109"/>
        <v>293.33333333333678</v>
      </c>
      <c r="S153" s="62">
        <f ca="1">AVERAGE(OFFSET($R$3,0,0,'Données projet'!$E$9+1,1))-AVERAGE(OFFSET($H$3,0,0,'Données projet'!$E$9+1,1))</f>
        <v>256.47911362806866</v>
      </c>
      <c r="T153" s="62">
        <f t="shared" si="142"/>
        <v>230.93438491511529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0.41443647217454177</v>
      </c>
      <c r="AA153" s="23">
        <f>EXP(-LN(2)/25)*AA152+(1-EXP(-LN(2)/25))/(LN(2)/25)*Calculateur!V153*Calculateur!X153*VLOOKUP('Données projet'!$B$9,Paramètres!$A$1:$I$89,3,0)*0.475*44/12</f>
        <v>0.29605186033994529</v>
      </c>
      <c r="AB153" s="23">
        <f>EXP(-LN(2)/2)*AB152+(1-EXP(-LN(2)/2))/(LN(2)/2)*V153*Y153*VLOOKUP('Données projet'!$B$9,Paramètres!$A$1:$I$89,3,0)*0.475*44/12</f>
        <v>5.2803310158517676E-18</v>
      </c>
      <c r="AC153" s="24">
        <f t="shared" si="111"/>
        <v>0.71048833251448706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-4.9658410716801891E-14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255.68195973350799</v>
      </c>
      <c r="AO153" s="62">
        <f t="shared" si="144"/>
        <v>269.20928353552461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243.51680047412441</v>
      </c>
      <c r="BJ153" s="62">
        <f t="shared" si="146"/>
        <v>224.00025638752402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-1.6671037883497774E-13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221.4629402571224</v>
      </c>
      <c r="CE153" s="62">
        <f t="shared" si="148"/>
        <v>204.26941562549416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6.2527760746888816E-13</v>
      </c>
      <c r="CU153" s="18">
        <f>CT153*VLOOKUP('Données projet'!$B$13,Paramètres!$A$1:$I$89,3,0)*VLOOKUP('Données projet'!$B$13,Paramètres!$A$1:$I$89,5,0)</f>
        <v>6.5354015532648198E-13</v>
      </c>
      <c r="CV153" s="14">
        <f t="shared" si="149"/>
        <v>7.8909019831354483E-12</v>
      </c>
      <c r="CW153" s="22">
        <f t="shared" si="121"/>
        <v>1.4881570057821194E-11</v>
      </c>
      <c r="CX153" s="62">
        <f t="shared" si="122"/>
        <v>293.33333333334821</v>
      </c>
      <c r="CY153" s="62">
        <f ca="1">AVERAGE(OFFSET($CX$3,0,0,'Données projet'!$E$13+1,1))-AVERAGE(OFFSET($H$3,0,0,'Données projet'!$E$13+1,1))</f>
        <v>492.66134897013183</v>
      </c>
      <c r="CZ153" s="62">
        <f t="shared" si="150"/>
        <v>307.87428858945862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2">
        <f t="shared" si="109"/>
        <v>293.33333333333678</v>
      </c>
      <c r="S154" s="62">
        <f ca="1">AVERAGE(OFFSET($R$3,0,0,'Données projet'!$E$9+1,1))-AVERAGE(OFFSET($H$3,0,0,'Données projet'!$E$9+1,1))</f>
        <v>256.47911362806866</v>
      </c>
      <c r="T154" s="62">
        <f t="shared" si="142"/>
        <v>230.93438491511529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0.40630962573648693</v>
      </c>
      <c r="AA154" s="23">
        <f>EXP(-LN(2)/25)*AA153+(1-EXP(-LN(2)/25))/(LN(2)/25)*Calculateur!V154*Calculateur!X154*VLOOKUP('Données projet'!$B$9,Paramètres!$A$1:$I$89,3,0)*0.475*44/12</f>
        <v>0.28795630665025879</v>
      </c>
      <c r="AB154" s="23">
        <f>EXP(-LN(2)/2)*AB153+(1-EXP(-LN(2)/2))/(LN(2)/2)*V154*Y154*VLOOKUP('Données projet'!$B$9,Paramètres!$A$1:$I$89,3,0)*0.475*44/12</f>
        <v>3.733757868218436E-18</v>
      </c>
      <c r="AC154" s="24">
        <f t="shared" ref="AC154:AC203" si="163">SUM(Z154:AB154)</f>
        <v>0.69426593238674572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-4.9658410716801891E-14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255.68195973350799</v>
      </c>
      <c r="AO154" s="62">
        <f t="shared" si="144"/>
        <v>269.20928353552461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243.51680047412441</v>
      </c>
      <c r="BJ154" s="62">
        <f t="shared" si="146"/>
        <v>224.00025638752402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-1.6671037883497774E-13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221.4629402571224</v>
      </c>
      <c r="CE154" s="62">
        <f t="shared" si="148"/>
        <v>204.26941562549416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6.2527760746888816E-13</v>
      </c>
      <c r="CU154" s="18">
        <f>CT154*VLOOKUP('Données projet'!$B$13,Paramètres!$A$1:$I$89,3,0)*VLOOKUP('Données projet'!$B$13,Paramètres!$A$1:$I$89,5,0)</f>
        <v>6.5354015532648198E-13</v>
      </c>
      <c r="CV154" s="14">
        <f t="shared" ref="CV154:CV203" si="173">EXP(-1.0587+0.8836*LN(CU154)+0.284)</f>
        <v>7.8909019831354483E-12</v>
      </c>
      <c r="CW154" s="22">
        <f t="shared" ref="CW154:CW203" si="174">(CU154+CV154)*0.475*44/12</f>
        <v>1.4881570057821194E-11</v>
      </c>
      <c r="CX154" s="62">
        <f t="shared" si="122"/>
        <v>293.33333333334821</v>
      </c>
      <c r="CY154" s="62">
        <f ca="1">AVERAGE(OFFSET($CX$3,0,0,'Données projet'!$E$13+1,1))-AVERAGE(OFFSET($H$3,0,0,'Données projet'!$E$13+1,1))</f>
        <v>492.66134897013183</v>
      </c>
      <c r="CZ154" s="62">
        <f t="shared" si="150"/>
        <v>307.87428858945862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2">
        <f t="shared" si="109"/>
        <v>293.33333333333678</v>
      </c>
      <c r="S155" s="62">
        <f ca="1">AVERAGE(OFFSET($R$3,0,0,'Données projet'!$E$9+1,1))-AVERAGE(OFFSET($H$3,0,0,'Données projet'!$E$9+1,1))</f>
        <v>256.47911362806866</v>
      </c>
      <c r="T155" s="62">
        <f t="shared" si="142"/>
        <v>230.93438491511529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0.3983421418001955</v>
      </c>
      <c r="AA155" s="23">
        <f>EXP(-LN(2)/25)*AA154+(1-EXP(-LN(2)/25))/(LN(2)/25)*Calculateur!V155*Calculateur!X155*VLOOKUP('Données projet'!$B$9,Paramètres!$A$1:$I$89,3,0)*0.475*44/12</f>
        <v>0.2800821263019434</v>
      </c>
      <c r="AB155" s="23">
        <f>EXP(-LN(2)/2)*AB154+(1-EXP(-LN(2)/2))/(LN(2)/2)*V155*Y155*VLOOKUP('Données projet'!$B$9,Paramètres!$A$1:$I$89,3,0)*0.475*44/12</f>
        <v>2.6401655079258838E-18</v>
      </c>
      <c r="AC155" s="24">
        <f t="shared" si="163"/>
        <v>0.67842426810213885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-4.9658410716801891E-14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255.68195973350799</v>
      </c>
      <c r="AO155" s="62">
        <f t="shared" si="144"/>
        <v>269.20928353552461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243.51680047412441</v>
      </c>
      <c r="BJ155" s="62">
        <f t="shared" si="146"/>
        <v>224.00025638752402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-1.6671037883497774E-13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221.4629402571224</v>
      </c>
      <c r="CE155" s="62">
        <f t="shared" si="148"/>
        <v>204.26941562549416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6.2527760746888816E-13</v>
      </c>
      <c r="CU155" s="18">
        <f>CT155*VLOOKUP('Données projet'!$B$13,Paramètres!$A$1:$I$89,3,0)*VLOOKUP('Données projet'!$B$13,Paramètres!$A$1:$I$89,5,0)</f>
        <v>6.5354015532648198E-13</v>
      </c>
      <c r="CV155" s="14">
        <f t="shared" si="173"/>
        <v>7.8909019831354483E-12</v>
      </c>
      <c r="CW155" s="22">
        <f t="shared" si="174"/>
        <v>1.4881570057821194E-11</v>
      </c>
      <c r="CX155" s="62">
        <f t="shared" si="122"/>
        <v>293.33333333334821</v>
      </c>
      <c r="CY155" s="62">
        <f ca="1">AVERAGE(OFFSET($CX$3,0,0,'Données projet'!$E$13+1,1))-AVERAGE(OFFSET($H$3,0,0,'Données projet'!$E$13+1,1))</f>
        <v>492.66134897013183</v>
      </c>
      <c r="CZ155" s="62">
        <f t="shared" si="150"/>
        <v>307.87428858945862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2">
        <f t="shared" si="109"/>
        <v>293.33333333333678</v>
      </c>
      <c r="S156" s="62">
        <f ca="1">AVERAGE(OFFSET($R$3,0,0,'Données projet'!$E$9+1,1))-AVERAGE(OFFSET($H$3,0,0,'Données projet'!$E$9+1,1))</f>
        <v>256.47911362806866</v>
      </c>
      <c r="T156" s="62">
        <f t="shared" si="142"/>
        <v>230.93438491511529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0.39053089536420937</v>
      </c>
      <c r="AA156" s="23">
        <f>EXP(-LN(2)/25)*AA155+(1-EXP(-LN(2)/25))/(LN(2)/25)*Calculateur!V156*Calculateur!X156*VLOOKUP('Données projet'!$B$9,Paramètres!$A$1:$I$89,3,0)*0.475*44/12</f>
        <v>0.27242326582933785</v>
      </c>
      <c r="AB156" s="23">
        <f>EXP(-LN(2)/2)*AB155+(1-EXP(-LN(2)/2))/(LN(2)/2)*V156*Y156*VLOOKUP('Données projet'!$B$9,Paramètres!$A$1:$I$89,3,0)*0.475*44/12</f>
        <v>1.866878934109218E-18</v>
      </c>
      <c r="AC156" s="24">
        <f t="shared" si="163"/>
        <v>0.66295416119354722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-4.9658410716801891E-14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255.68195973350799</v>
      </c>
      <c r="AO156" s="62">
        <f t="shared" si="144"/>
        <v>269.20928353552461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243.51680047412441</v>
      </c>
      <c r="BJ156" s="62">
        <f t="shared" si="146"/>
        <v>224.00025638752402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-1.6671037883497774E-13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221.4629402571224</v>
      </c>
      <c r="CE156" s="62">
        <f t="shared" si="148"/>
        <v>204.26941562549416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6.2527760746888816E-13</v>
      </c>
      <c r="CU156" s="18">
        <f>CT156*VLOOKUP('Données projet'!$B$13,Paramètres!$A$1:$I$89,3,0)*VLOOKUP('Données projet'!$B$13,Paramètres!$A$1:$I$89,5,0)</f>
        <v>6.5354015532648198E-13</v>
      </c>
      <c r="CV156" s="14">
        <f t="shared" si="173"/>
        <v>7.8909019831354483E-12</v>
      </c>
      <c r="CW156" s="22">
        <f t="shared" si="174"/>
        <v>1.4881570057821194E-11</v>
      </c>
      <c r="CX156" s="62">
        <f t="shared" si="122"/>
        <v>293.33333333334821</v>
      </c>
      <c r="CY156" s="62">
        <f ca="1">AVERAGE(OFFSET($CX$3,0,0,'Données projet'!$E$13+1,1))-AVERAGE(OFFSET($H$3,0,0,'Données projet'!$E$13+1,1))</f>
        <v>492.66134897013183</v>
      </c>
      <c r="CZ156" s="62">
        <f t="shared" si="150"/>
        <v>307.87428858945862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2">
        <f t="shared" si="109"/>
        <v>293.33333333333678</v>
      </c>
      <c r="S157" s="62">
        <f ca="1">AVERAGE(OFFSET($R$3,0,0,'Données projet'!$E$9+1,1))-AVERAGE(OFFSET($H$3,0,0,'Données projet'!$E$9+1,1))</f>
        <v>256.47911362806866</v>
      </c>
      <c r="T157" s="62">
        <f t="shared" si="142"/>
        <v>230.93438491511529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0.38287282270644307</v>
      </c>
      <c r="AA157" s="23">
        <f>EXP(-LN(2)/25)*AA156+(1-EXP(-LN(2)/25))/(LN(2)/25)*Calculateur!V157*Calculateur!X157*VLOOKUP('Données projet'!$B$9,Paramètres!$A$1:$I$89,3,0)*0.475*44/12</f>
        <v>0.26497383729911766</v>
      </c>
      <c r="AB157" s="23">
        <f>EXP(-LN(2)/2)*AB156+(1-EXP(-LN(2)/2))/(LN(2)/2)*V157*Y157*VLOOKUP('Données projet'!$B$9,Paramètres!$A$1:$I$89,3,0)*0.475*44/12</f>
        <v>1.3200827539629419E-18</v>
      </c>
      <c r="AC157" s="24">
        <f t="shared" si="163"/>
        <v>0.64784666000556079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-4.9658410716801891E-14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255.68195973350799</v>
      </c>
      <c r="AO157" s="62">
        <f t="shared" si="144"/>
        <v>269.20928353552461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243.51680047412441</v>
      </c>
      <c r="BJ157" s="62">
        <f t="shared" si="146"/>
        <v>224.00025638752402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-1.6671037883497774E-13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221.4629402571224</v>
      </c>
      <c r="CE157" s="62">
        <f t="shared" si="148"/>
        <v>204.26941562549416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6.2527760746888816E-13</v>
      </c>
      <c r="CU157" s="18">
        <f>CT157*VLOOKUP('Données projet'!$B$13,Paramètres!$A$1:$I$89,3,0)*VLOOKUP('Données projet'!$B$13,Paramètres!$A$1:$I$89,5,0)</f>
        <v>6.5354015532648198E-13</v>
      </c>
      <c r="CV157" s="14">
        <f t="shared" si="173"/>
        <v>7.8909019831354483E-12</v>
      </c>
      <c r="CW157" s="22">
        <f t="shared" si="174"/>
        <v>1.4881570057821194E-11</v>
      </c>
      <c r="CX157" s="62">
        <f t="shared" si="122"/>
        <v>293.33333333334821</v>
      </c>
      <c r="CY157" s="62">
        <f ca="1">AVERAGE(OFFSET($CX$3,0,0,'Données projet'!$E$13+1,1))-AVERAGE(OFFSET($H$3,0,0,'Données projet'!$E$13+1,1))</f>
        <v>492.66134897013183</v>
      </c>
      <c r="CZ157" s="62">
        <f t="shared" si="150"/>
        <v>307.87428858945862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2">
        <f t="shared" si="109"/>
        <v>293.33333333333678</v>
      </c>
      <c r="S158" s="62">
        <f ca="1">AVERAGE(OFFSET($R$3,0,0,'Données projet'!$E$9+1,1))-AVERAGE(OFFSET($H$3,0,0,'Données projet'!$E$9+1,1))</f>
        <v>256.47911362806866</v>
      </c>
      <c r="T158" s="62">
        <f t="shared" si="142"/>
        <v>230.93438491511529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0.37536492018253248</v>
      </c>
      <c r="AA158" s="23">
        <f>EXP(-LN(2)/25)*AA157+(1-EXP(-LN(2)/25))/(LN(2)/25)*Calculateur!V158*Calculateur!X158*VLOOKUP('Données projet'!$B$9,Paramètres!$A$1:$I$89,3,0)*0.475*44/12</f>
        <v>0.25772811378380478</v>
      </c>
      <c r="AB158" s="23">
        <f>EXP(-LN(2)/2)*AB157+(1-EXP(-LN(2)/2))/(LN(2)/2)*V158*Y158*VLOOKUP('Données projet'!$B$9,Paramètres!$A$1:$I$89,3,0)*0.475*44/12</f>
        <v>9.3343946705460899E-19</v>
      </c>
      <c r="AC158" s="24">
        <f t="shared" si="163"/>
        <v>0.6330930339663372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-4.9658410716801891E-14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255.68195973350799</v>
      </c>
      <c r="AO158" s="62">
        <f t="shared" si="144"/>
        <v>269.20928353552461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243.51680047412441</v>
      </c>
      <c r="BJ158" s="62">
        <f t="shared" si="146"/>
        <v>224.00025638752402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-1.6671037883497774E-13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221.4629402571224</v>
      </c>
      <c r="CE158" s="62">
        <f t="shared" si="148"/>
        <v>204.26941562549416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6.2527760746888816E-13</v>
      </c>
      <c r="CU158" s="18">
        <f>CT158*VLOOKUP('Données projet'!$B$13,Paramètres!$A$1:$I$89,3,0)*VLOOKUP('Données projet'!$B$13,Paramètres!$A$1:$I$89,5,0)</f>
        <v>6.5354015532648198E-13</v>
      </c>
      <c r="CV158" s="14">
        <f t="shared" si="173"/>
        <v>7.8909019831354483E-12</v>
      </c>
      <c r="CW158" s="22">
        <f t="shared" si="174"/>
        <v>1.4881570057821194E-11</v>
      </c>
      <c r="CX158" s="62">
        <f t="shared" si="122"/>
        <v>293.33333333334821</v>
      </c>
      <c r="CY158" s="62">
        <f ca="1">AVERAGE(OFFSET($CX$3,0,0,'Données projet'!$E$13+1,1))-AVERAGE(OFFSET($H$3,0,0,'Données projet'!$E$13+1,1))</f>
        <v>492.66134897013183</v>
      </c>
      <c r="CZ158" s="62">
        <f t="shared" si="150"/>
        <v>307.87428858945862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2">
        <f t="shared" si="109"/>
        <v>293.33333333333678</v>
      </c>
      <c r="S159" s="62">
        <f ca="1">AVERAGE(OFFSET($R$3,0,0,'Données projet'!$E$9+1,1))-AVERAGE(OFFSET($H$3,0,0,'Données projet'!$E$9+1,1))</f>
        <v>256.47911362806866</v>
      </c>
      <c r="T159" s="62">
        <f t="shared" si="142"/>
        <v>230.93438491511529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0.36800424304774737</v>
      </c>
      <c r="AA159" s="23">
        <f>EXP(-LN(2)/25)*AA158+(1-EXP(-LN(2)/25))/(LN(2)/25)*Calculateur!V159*Calculateur!X159*VLOOKUP('Données projet'!$B$9,Paramètres!$A$1:$I$89,3,0)*0.475*44/12</f>
        <v>0.25068052495905419</v>
      </c>
      <c r="AB159" s="23">
        <f>EXP(-LN(2)/2)*AB158+(1-EXP(-LN(2)/2))/(LN(2)/2)*V159*Y159*VLOOKUP('Données projet'!$B$9,Paramètres!$A$1:$I$89,3,0)*0.475*44/12</f>
        <v>6.6004137698147095E-19</v>
      </c>
      <c r="AC159" s="24">
        <f t="shared" si="163"/>
        <v>0.6186847680068015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-4.9658410716801891E-14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255.68195973350799</v>
      </c>
      <c r="AO159" s="62">
        <f t="shared" si="144"/>
        <v>269.20928353552461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243.51680047412441</v>
      </c>
      <c r="BJ159" s="62">
        <f t="shared" si="146"/>
        <v>224.00025638752402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-1.6671037883497774E-13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221.4629402571224</v>
      </c>
      <c r="CE159" s="62">
        <f t="shared" si="148"/>
        <v>204.26941562549416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6.2527760746888816E-13</v>
      </c>
      <c r="CU159" s="18">
        <f>CT159*VLOOKUP('Données projet'!$B$13,Paramètres!$A$1:$I$89,3,0)*VLOOKUP('Données projet'!$B$13,Paramètres!$A$1:$I$89,5,0)</f>
        <v>6.5354015532648198E-13</v>
      </c>
      <c r="CV159" s="14">
        <f t="shared" si="173"/>
        <v>7.8909019831354483E-12</v>
      </c>
      <c r="CW159" s="22">
        <f t="shared" si="174"/>
        <v>1.4881570057821194E-11</v>
      </c>
      <c r="CX159" s="62">
        <f t="shared" si="122"/>
        <v>293.33333333334821</v>
      </c>
      <c r="CY159" s="62">
        <f ca="1">AVERAGE(OFFSET($CX$3,0,0,'Données projet'!$E$13+1,1))-AVERAGE(OFFSET($H$3,0,0,'Données projet'!$E$13+1,1))</f>
        <v>492.66134897013183</v>
      </c>
      <c r="CZ159" s="62">
        <f t="shared" si="150"/>
        <v>307.87428858945862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2">
        <f t="shared" si="109"/>
        <v>293.33333333333678</v>
      </c>
      <c r="S160" s="62">
        <f ca="1">AVERAGE(OFFSET($R$3,0,0,'Données projet'!$E$9+1,1))-AVERAGE(OFFSET($H$3,0,0,'Données projet'!$E$9+1,1))</f>
        <v>256.47911362806866</v>
      </c>
      <c r="T160" s="62">
        <f t="shared" si="142"/>
        <v>230.93438491511529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0.36078790430200569</v>
      </c>
      <c r="AA160" s="23">
        <f>EXP(-LN(2)/25)*AA159+(1-EXP(-LN(2)/25))/(LN(2)/25)*Calculateur!V160*Calculateur!X160*VLOOKUP('Données projet'!$B$9,Paramètres!$A$1:$I$89,3,0)*0.475*44/12</f>
        <v>0.24382565282133298</v>
      </c>
      <c r="AB160" s="23">
        <f>EXP(-LN(2)/2)*AB159+(1-EXP(-LN(2)/2))/(LN(2)/2)*V160*Y160*VLOOKUP('Données projet'!$B$9,Paramètres!$A$1:$I$89,3,0)*0.475*44/12</f>
        <v>4.667197335273045E-19</v>
      </c>
      <c r="AC160" s="24">
        <f t="shared" si="163"/>
        <v>0.60461355712333864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-4.9658410716801891E-14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255.68195973350799</v>
      </c>
      <c r="AO160" s="62">
        <f t="shared" si="144"/>
        <v>269.20928353552461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243.51680047412441</v>
      </c>
      <c r="BJ160" s="62">
        <f t="shared" si="146"/>
        <v>224.00025638752402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-1.6671037883497774E-13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221.4629402571224</v>
      </c>
      <c r="CE160" s="62">
        <f t="shared" si="148"/>
        <v>204.26941562549416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6.2527760746888816E-13</v>
      </c>
      <c r="CU160" s="18">
        <f>CT160*VLOOKUP('Données projet'!$B$13,Paramètres!$A$1:$I$89,3,0)*VLOOKUP('Données projet'!$B$13,Paramètres!$A$1:$I$89,5,0)</f>
        <v>6.5354015532648198E-13</v>
      </c>
      <c r="CV160" s="14">
        <f t="shared" si="173"/>
        <v>7.8909019831354483E-12</v>
      </c>
      <c r="CW160" s="22">
        <f t="shared" si="174"/>
        <v>1.4881570057821194E-11</v>
      </c>
      <c r="CX160" s="62">
        <f t="shared" si="122"/>
        <v>293.33333333334821</v>
      </c>
      <c r="CY160" s="62">
        <f ca="1">AVERAGE(OFFSET($CX$3,0,0,'Données projet'!$E$13+1,1))-AVERAGE(OFFSET($H$3,0,0,'Données projet'!$E$13+1,1))</f>
        <v>492.66134897013183</v>
      </c>
      <c r="CZ160" s="62">
        <f t="shared" si="150"/>
        <v>307.87428858945862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2">
        <f t="shared" si="109"/>
        <v>293.33333333333678</v>
      </c>
      <c r="S161" s="62">
        <f ca="1">AVERAGE(OFFSET($R$3,0,0,'Données projet'!$E$9+1,1))-AVERAGE(OFFSET($H$3,0,0,'Données projet'!$E$9+1,1))</f>
        <v>256.47911362806866</v>
      </c>
      <c r="T161" s="62">
        <f t="shared" si="142"/>
        <v>230.93438491511529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0.35371307355753595</v>
      </c>
      <c r="AA161" s="23">
        <f>EXP(-LN(2)/25)*AA160+(1-EXP(-LN(2)/25))/(LN(2)/25)*Calculateur!V161*Calculateur!X161*VLOOKUP('Données projet'!$B$9,Paramètres!$A$1:$I$89,3,0)*0.475*44/12</f>
        <v>0.23715822752269983</v>
      </c>
      <c r="AB161" s="23">
        <f>EXP(-LN(2)/2)*AB160+(1-EXP(-LN(2)/2))/(LN(2)/2)*V161*Y161*VLOOKUP('Données projet'!$B$9,Paramètres!$A$1:$I$89,3,0)*0.475*44/12</f>
        <v>3.3002068849073547E-19</v>
      </c>
      <c r="AC161" s="24">
        <f t="shared" si="163"/>
        <v>0.59087130108023578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-4.9658410716801891E-14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255.68195973350799</v>
      </c>
      <c r="AO161" s="62">
        <f t="shared" si="144"/>
        <v>269.20928353552461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243.51680047412441</v>
      </c>
      <c r="BJ161" s="62">
        <f t="shared" si="146"/>
        <v>224.00025638752402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-1.6671037883497774E-13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221.4629402571224</v>
      </c>
      <c r="CE161" s="62">
        <f t="shared" si="148"/>
        <v>204.26941562549416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6.2527760746888816E-13</v>
      </c>
      <c r="CU161" s="18">
        <f>CT161*VLOOKUP('Données projet'!$B$13,Paramètres!$A$1:$I$89,3,0)*VLOOKUP('Données projet'!$B$13,Paramètres!$A$1:$I$89,5,0)</f>
        <v>6.5354015532648198E-13</v>
      </c>
      <c r="CV161" s="14">
        <f t="shared" si="173"/>
        <v>7.8909019831354483E-12</v>
      </c>
      <c r="CW161" s="22">
        <f t="shared" si="174"/>
        <v>1.4881570057821194E-11</v>
      </c>
      <c r="CX161" s="62">
        <f t="shared" si="122"/>
        <v>293.33333333334821</v>
      </c>
      <c r="CY161" s="62">
        <f ca="1">AVERAGE(OFFSET($CX$3,0,0,'Données projet'!$E$13+1,1))-AVERAGE(OFFSET($H$3,0,0,'Données projet'!$E$13+1,1))</f>
        <v>492.66134897013183</v>
      </c>
      <c r="CZ161" s="62">
        <f t="shared" si="150"/>
        <v>307.87428858945862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2">
        <f t="shared" si="109"/>
        <v>293.33333333333678</v>
      </c>
      <c r="S162" s="62">
        <f ca="1">AVERAGE(OFFSET($R$3,0,0,'Données projet'!$E$9+1,1))-AVERAGE(OFFSET($H$3,0,0,'Données projet'!$E$9+1,1))</f>
        <v>256.47911362806866</v>
      </c>
      <c r="T162" s="62">
        <f t="shared" si="142"/>
        <v>230.93438491511529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0.34677697592874462</v>
      </c>
      <c r="AA162" s="23">
        <f>EXP(-LN(2)/25)*AA161+(1-EXP(-LN(2)/25))/(LN(2)/25)*Calculateur!V162*Calculateur!X162*VLOOKUP('Données projet'!$B$9,Paramètres!$A$1:$I$89,3,0)*0.475*44/12</f>
        <v>0.23067312331948245</v>
      </c>
      <c r="AB162" s="23">
        <f>EXP(-LN(2)/2)*AB161+(1-EXP(-LN(2)/2))/(LN(2)/2)*V162*Y162*VLOOKUP('Données projet'!$B$9,Paramètres!$A$1:$I$89,3,0)*0.475*44/12</f>
        <v>2.3335986676365225E-19</v>
      </c>
      <c r="AC162" s="24">
        <f t="shared" si="163"/>
        <v>0.5774500992482271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-4.9658410716801891E-14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255.68195973350799</v>
      </c>
      <c r="AO162" s="62">
        <f t="shared" si="144"/>
        <v>269.20928353552461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243.51680047412441</v>
      </c>
      <c r="BJ162" s="62">
        <f t="shared" si="146"/>
        <v>224.00025638752402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-1.6671037883497774E-13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221.4629402571224</v>
      </c>
      <c r="CE162" s="62">
        <f t="shared" si="148"/>
        <v>204.26941562549416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6.2527760746888816E-13</v>
      </c>
      <c r="CU162" s="18">
        <f>CT162*VLOOKUP('Données projet'!$B$13,Paramètres!$A$1:$I$89,3,0)*VLOOKUP('Données projet'!$B$13,Paramètres!$A$1:$I$89,5,0)</f>
        <v>6.5354015532648198E-13</v>
      </c>
      <c r="CV162" s="14">
        <f t="shared" si="173"/>
        <v>7.8909019831354483E-12</v>
      </c>
      <c r="CW162" s="22">
        <f t="shared" si="174"/>
        <v>1.4881570057821194E-11</v>
      </c>
      <c r="CX162" s="62">
        <f t="shared" si="122"/>
        <v>293.33333333334821</v>
      </c>
      <c r="CY162" s="62">
        <f ca="1">AVERAGE(OFFSET($CX$3,0,0,'Données projet'!$E$13+1,1))-AVERAGE(OFFSET($H$3,0,0,'Données projet'!$E$13+1,1))</f>
        <v>492.66134897013183</v>
      </c>
      <c r="CZ162" s="62">
        <f t="shared" si="150"/>
        <v>307.87428858945862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2">
        <f t="shared" si="109"/>
        <v>293.33333333333678</v>
      </c>
      <c r="S163" s="62">
        <f ca="1">AVERAGE(OFFSET($R$3,0,0,'Données projet'!$E$9+1,1))-AVERAGE(OFFSET($H$3,0,0,'Données projet'!$E$9+1,1))</f>
        <v>256.47911362806866</v>
      </c>
      <c r="T163" s="62">
        <f t="shared" si="142"/>
        <v>230.93438491511529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0.33997689094385208</v>
      </c>
      <c r="AA163" s="23">
        <f>EXP(-LN(2)/25)*AA162+(1-EXP(-LN(2)/25))/(LN(2)/25)*Calculateur!V163*Calculateur!X163*VLOOKUP('Données projet'!$B$9,Paramètres!$A$1:$I$89,3,0)*0.475*44/12</f>
        <v>0.22436535463173884</v>
      </c>
      <c r="AB163" s="23">
        <f>EXP(-LN(2)/2)*AB162+(1-EXP(-LN(2)/2))/(LN(2)/2)*V163*Y163*VLOOKUP('Données projet'!$B$9,Paramètres!$A$1:$I$89,3,0)*0.475*44/12</f>
        <v>1.6501034424536774E-19</v>
      </c>
      <c r="AC163" s="24">
        <f t="shared" si="163"/>
        <v>0.56434224557559087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-4.9658410716801891E-14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255.68195973350799</v>
      </c>
      <c r="AO163" s="62">
        <f t="shared" si="144"/>
        <v>269.20928353552461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243.51680047412441</v>
      </c>
      <c r="BJ163" s="62">
        <f t="shared" si="146"/>
        <v>224.00025638752402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-1.6671037883497774E-13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221.4629402571224</v>
      </c>
      <c r="CE163" s="62">
        <f t="shared" si="148"/>
        <v>204.26941562549416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6.2527760746888816E-13</v>
      </c>
      <c r="CU163" s="18">
        <f>CT163*VLOOKUP('Données projet'!$B$13,Paramètres!$A$1:$I$89,3,0)*VLOOKUP('Données projet'!$B$13,Paramètres!$A$1:$I$89,5,0)</f>
        <v>6.5354015532648198E-13</v>
      </c>
      <c r="CV163" s="14">
        <f t="shared" si="173"/>
        <v>7.8909019831354483E-12</v>
      </c>
      <c r="CW163" s="22">
        <f t="shared" si="174"/>
        <v>1.4881570057821194E-11</v>
      </c>
      <c r="CX163" s="62">
        <f t="shared" si="122"/>
        <v>293.33333333334821</v>
      </c>
      <c r="CY163" s="62">
        <f ca="1">AVERAGE(OFFSET($CX$3,0,0,'Données projet'!$E$13+1,1))-AVERAGE(OFFSET($H$3,0,0,'Données projet'!$E$13+1,1))</f>
        <v>492.66134897013183</v>
      </c>
      <c r="CZ163" s="62">
        <f t="shared" si="150"/>
        <v>307.87428858945862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2">
        <f t="shared" si="109"/>
        <v>293.33333333333678</v>
      </c>
      <c r="S164" s="62">
        <f ca="1">AVERAGE(OFFSET($R$3,0,0,'Données projet'!$E$9+1,1))-AVERAGE(OFFSET($H$3,0,0,'Données projet'!$E$9+1,1))</f>
        <v>256.47911362806866</v>
      </c>
      <c r="T164" s="62">
        <f t="shared" si="142"/>
        <v>230.93438491511529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0.33331015147787096</v>
      </c>
      <c r="AA164" s="23">
        <f>EXP(-LN(2)/25)*AA163+(1-EXP(-LN(2)/25))/(LN(2)/25)*Calculateur!V164*Calculateur!X164*VLOOKUP('Données projet'!$B$9,Paramètres!$A$1:$I$89,3,0)*0.475*44/12</f>
        <v>0.21823007221047275</v>
      </c>
      <c r="AB164" s="23">
        <f>EXP(-LN(2)/2)*AB163+(1-EXP(-LN(2)/2))/(LN(2)/2)*V164*Y164*VLOOKUP('Données projet'!$B$9,Paramètres!$A$1:$I$89,3,0)*0.475*44/12</f>
        <v>1.1667993338182612E-19</v>
      </c>
      <c r="AC164" s="24">
        <f t="shared" si="163"/>
        <v>0.55154022368834377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-4.9658410716801891E-14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255.68195973350799</v>
      </c>
      <c r="AO164" s="62">
        <f t="shared" si="144"/>
        <v>269.20928353552461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243.51680047412441</v>
      </c>
      <c r="BJ164" s="62">
        <f t="shared" si="146"/>
        <v>224.00025638752402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-1.6671037883497774E-13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221.4629402571224</v>
      </c>
      <c r="CE164" s="62">
        <f t="shared" si="148"/>
        <v>204.26941562549416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6.2527760746888816E-13</v>
      </c>
      <c r="CU164" s="18">
        <f>CT164*VLOOKUP('Données projet'!$B$13,Paramètres!$A$1:$I$89,3,0)*VLOOKUP('Données projet'!$B$13,Paramètres!$A$1:$I$89,5,0)</f>
        <v>6.5354015532648198E-13</v>
      </c>
      <c r="CV164" s="14">
        <f t="shared" si="173"/>
        <v>7.8909019831354483E-12</v>
      </c>
      <c r="CW164" s="22">
        <f t="shared" si="174"/>
        <v>1.4881570057821194E-11</v>
      </c>
      <c r="CX164" s="62">
        <f t="shared" si="122"/>
        <v>293.33333333334821</v>
      </c>
      <c r="CY164" s="62">
        <f ca="1">AVERAGE(OFFSET($CX$3,0,0,'Données projet'!$E$13+1,1))-AVERAGE(OFFSET($H$3,0,0,'Données projet'!$E$13+1,1))</f>
        <v>492.66134897013183</v>
      </c>
      <c r="CZ164" s="62">
        <f t="shared" si="150"/>
        <v>307.87428858945862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2">
        <f t="shared" si="109"/>
        <v>293.33333333333678</v>
      </c>
      <c r="S165" s="62">
        <f ca="1">AVERAGE(OFFSET($R$3,0,0,'Données projet'!$E$9+1,1))-AVERAGE(OFFSET($H$3,0,0,'Données projet'!$E$9+1,1))</f>
        <v>256.47911362806866</v>
      </c>
      <c r="T165" s="62">
        <f t="shared" si="142"/>
        <v>230.93438491511529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0.32677414270650817</v>
      </c>
      <c r="AA165" s="23">
        <f>EXP(-LN(2)/25)*AA164+(1-EXP(-LN(2)/25))/(LN(2)/25)*Calculateur!V165*Calculateur!X165*VLOOKUP('Données projet'!$B$9,Paramètres!$A$1:$I$89,3,0)*0.475*44/12</f>
        <v>0.21226255940965663</v>
      </c>
      <c r="AB165" s="23">
        <f>EXP(-LN(2)/2)*AB164+(1-EXP(-LN(2)/2))/(LN(2)/2)*V165*Y165*VLOOKUP('Données projet'!$B$9,Paramètres!$A$1:$I$89,3,0)*0.475*44/12</f>
        <v>8.2505172122683869E-20</v>
      </c>
      <c r="AC165" s="24">
        <f t="shared" si="163"/>
        <v>0.53903670211616483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-4.9658410716801891E-14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255.68195973350799</v>
      </c>
      <c r="AO165" s="62">
        <f t="shared" si="144"/>
        <v>269.20928353552461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243.51680047412441</v>
      </c>
      <c r="BJ165" s="62">
        <f t="shared" si="146"/>
        <v>224.00025638752402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-1.6671037883497774E-13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221.4629402571224</v>
      </c>
      <c r="CE165" s="62">
        <f t="shared" si="148"/>
        <v>204.26941562549416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6.2527760746888816E-13</v>
      </c>
      <c r="CU165" s="18">
        <f>CT165*VLOOKUP('Données projet'!$B$13,Paramètres!$A$1:$I$89,3,0)*VLOOKUP('Données projet'!$B$13,Paramètres!$A$1:$I$89,5,0)</f>
        <v>6.5354015532648198E-13</v>
      </c>
      <c r="CV165" s="14">
        <f t="shared" si="173"/>
        <v>7.8909019831354483E-12</v>
      </c>
      <c r="CW165" s="22">
        <f t="shared" si="174"/>
        <v>1.4881570057821194E-11</v>
      </c>
      <c r="CX165" s="62">
        <f t="shared" si="122"/>
        <v>293.33333333334821</v>
      </c>
      <c r="CY165" s="62">
        <f ca="1">AVERAGE(OFFSET($CX$3,0,0,'Données projet'!$E$13+1,1))-AVERAGE(OFFSET($H$3,0,0,'Données projet'!$E$13+1,1))</f>
        <v>492.66134897013183</v>
      </c>
      <c r="CZ165" s="62">
        <f t="shared" si="150"/>
        <v>307.87428858945862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2">
        <f t="shared" si="109"/>
        <v>293.33333333333678</v>
      </c>
      <c r="S166" s="62">
        <f ca="1">AVERAGE(OFFSET($R$3,0,0,'Données projet'!$E$9+1,1))-AVERAGE(OFFSET($H$3,0,0,'Données projet'!$E$9+1,1))</f>
        <v>256.47911362806866</v>
      </c>
      <c r="T166" s="62">
        <f t="shared" si="142"/>
        <v>230.93438491511529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0.32036630108058012</v>
      </c>
      <c r="AA166" s="23">
        <f>EXP(-LN(2)/25)*AA165+(1-EXP(-LN(2)/25))/(LN(2)/25)*Calculateur!V166*Calculateur!X166*VLOOKUP('Données projet'!$B$9,Paramètres!$A$1:$I$89,3,0)*0.475*44/12</f>
        <v>0.20645822856019672</v>
      </c>
      <c r="AB166" s="23">
        <f>EXP(-LN(2)/2)*AB165+(1-EXP(-LN(2)/2))/(LN(2)/2)*V166*Y166*VLOOKUP('Données projet'!$B$9,Paramètres!$A$1:$I$89,3,0)*0.475*44/12</f>
        <v>5.8339966690913062E-20</v>
      </c>
      <c r="AC166" s="24">
        <f t="shared" si="163"/>
        <v>0.52682452964077686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-4.9658410716801891E-14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255.68195973350799</v>
      </c>
      <c r="AO166" s="62">
        <f t="shared" si="144"/>
        <v>269.20928353552461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243.51680047412441</v>
      </c>
      <c r="BJ166" s="62">
        <f t="shared" si="146"/>
        <v>224.00025638752402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-1.6671037883497774E-13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221.4629402571224</v>
      </c>
      <c r="CE166" s="62">
        <f t="shared" si="148"/>
        <v>204.26941562549416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6.2527760746888816E-13</v>
      </c>
      <c r="CU166" s="18">
        <f>CT166*VLOOKUP('Données projet'!$B$13,Paramètres!$A$1:$I$89,3,0)*VLOOKUP('Données projet'!$B$13,Paramètres!$A$1:$I$89,5,0)</f>
        <v>6.5354015532648198E-13</v>
      </c>
      <c r="CV166" s="14">
        <f t="shared" si="173"/>
        <v>7.8909019831354483E-12</v>
      </c>
      <c r="CW166" s="22">
        <f t="shared" si="174"/>
        <v>1.4881570057821194E-11</v>
      </c>
      <c r="CX166" s="62">
        <f t="shared" si="122"/>
        <v>293.33333333334821</v>
      </c>
      <c r="CY166" s="62">
        <f ca="1">AVERAGE(OFFSET($CX$3,0,0,'Données projet'!$E$13+1,1))-AVERAGE(OFFSET($H$3,0,0,'Données projet'!$E$13+1,1))</f>
        <v>492.66134897013183</v>
      </c>
      <c r="CZ166" s="62">
        <f t="shared" si="150"/>
        <v>307.87428858945862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2">
        <f t="shared" si="109"/>
        <v>293.33333333333678</v>
      </c>
      <c r="S167" s="62">
        <f ca="1">AVERAGE(OFFSET($R$3,0,0,'Données projet'!$E$9+1,1))-AVERAGE(OFFSET($H$3,0,0,'Données projet'!$E$9+1,1))</f>
        <v>256.47911362806866</v>
      </c>
      <c r="T167" s="62">
        <f t="shared" si="142"/>
        <v>230.93438491511529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0.31408411332053904</v>
      </c>
      <c r="AA167" s="23">
        <f>EXP(-LN(2)/25)*AA166+(1-EXP(-LN(2)/25))/(LN(2)/25)*Calculateur!V167*Calculateur!X167*VLOOKUP('Données projet'!$B$9,Paramètres!$A$1:$I$89,3,0)*0.475*44/12</f>
        <v>0.20081261744305176</v>
      </c>
      <c r="AB167" s="23">
        <f>EXP(-LN(2)/2)*AB166+(1-EXP(-LN(2)/2))/(LN(2)/2)*V167*Y167*VLOOKUP('Données projet'!$B$9,Paramètres!$A$1:$I$89,3,0)*0.475*44/12</f>
        <v>4.1252586061341934E-20</v>
      </c>
      <c r="AC167" s="24">
        <f t="shared" si="163"/>
        <v>0.51489673076359077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-4.9658410716801891E-14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255.68195973350799</v>
      </c>
      <c r="AO167" s="62">
        <f t="shared" si="144"/>
        <v>269.20928353552461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243.51680047412441</v>
      </c>
      <c r="BJ167" s="62">
        <f t="shared" si="146"/>
        <v>224.00025638752402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-1.6671037883497774E-13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221.4629402571224</v>
      </c>
      <c r="CE167" s="62">
        <f t="shared" si="148"/>
        <v>204.26941562549416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6.2527760746888816E-13</v>
      </c>
      <c r="CU167" s="18">
        <f>CT167*VLOOKUP('Données projet'!$B$13,Paramètres!$A$1:$I$89,3,0)*VLOOKUP('Données projet'!$B$13,Paramètres!$A$1:$I$89,5,0)</f>
        <v>6.5354015532648198E-13</v>
      </c>
      <c r="CV167" s="14">
        <f t="shared" si="173"/>
        <v>7.8909019831354483E-12</v>
      </c>
      <c r="CW167" s="22">
        <f t="shared" si="174"/>
        <v>1.4881570057821194E-11</v>
      </c>
      <c r="CX167" s="62">
        <f t="shared" si="122"/>
        <v>293.33333333334821</v>
      </c>
      <c r="CY167" s="62">
        <f ca="1">AVERAGE(OFFSET($CX$3,0,0,'Données projet'!$E$13+1,1))-AVERAGE(OFFSET($H$3,0,0,'Données projet'!$E$13+1,1))</f>
        <v>492.66134897013183</v>
      </c>
      <c r="CZ167" s="62">
        <f t="shared" si="150"/>
        <v>307.87428858945862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2">
        <f t="shared" si="109"/>
        <v>293.33333333333678</v>
      </c>
      <c r="S168" s="62">
        <f ca="1">AVERAGE(OFFSET($R$3,0,0,'Données projet'!$E$9+1,1))-AVERAGE(OFFSET($H$3,0,0,'Données projet'!$E$9+1,1))</f>
        <v>256.47911362806866</v>
      </c>
      <c r="T168" s="62">
        <f t="shared" si="142"/>
        <v>230.93438491511529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0.30792511543071621</v>
      </c>
      <c r="AA168" s="23">
        <f>EXP(-LN(2)/25)*AA167+(1-EXP(-LN(2)/25))/(LN(2)/25)*Calculateur!V168*Calculateur!X168*VLOOKUP('Données projet'!$B$9,Paramètres!$A$1:$I$89,3,0)*0.475*44/12</f>
        <v>0.19532138585879491</v>
      </c>
      <c r="AB168" s="23">
        <f>EXP(-LN(2)/2)*AB167+(1-EXP(-LN(2)/2))/(LN(2)/2)*V168*Y168*VLOOKUP('Données projet'!$B$9,Paramètres!$A$1:$I$89,3,0)*0.475*44/12</f>
        <v>2.9169983345456531E-20</v>
      </c>
      <c r="AC168" s="24">
        <f t="shared" si="163"/>
        <v>0.50324650128951109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-4.9658410716801891E-14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255.68195973350799</v>
      </c>
      <c r="AO168" s="62">
        <f t="shared" si="144"/>
        <v>269.20928353552461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243.51680047412441</v>
      </c>
      <c r="BJ168" s="62">
        <f t="shared" si="146"/>
        <v>224.00025638752402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-1.6671037883497774E-13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221.4629402571224</v>
      </c>
      <c r="CE168" s="62">
        <f t="shared" si="148"/>
        <v>204.26941562549416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6.2527760746888816E-13</v>
      </c>
      <c r="CU168" s="18">
        <f>CT168*VLOOKUP('Données projet'!$B$13,Paramètres!$A$1:$I$89,3,0)*VLOOKUP('Données projet'!$B$13,Paramètres!$A$1:$I$89,5,0)</f>
        <v>6.5354015532648198E-13</v>
      </c>
      <c r="CV168" s="14">
        <f t="shared" si="173"/>
        <v>7.8909019831354483E-12</v>
      </c>
      <c r="CW168" s="22">
        <f t="shared" si="174"/>
        <v>1.4881570057821194E-11</v>
      </c>
      <c r="CX168" s="62">
        <f t="shared" si="122"/>
        <v>293.33333333334821</v>
      </c>
      <c r="CY168" s="62">
        <f ca="1">AVERAGE(OFFSET($CX$3,0,0,'Données projet'!$E$13+1,1))-AVERAGE(OFFSET($H$3,0,0,'Données projet'!$E$13+1,1))</f>
        <v>492.66134897013183</v>
      </c>
      <c r="CZ168" s="62">
        <f t="shared" si="150"/>
        <v>307.87428858945862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2">
        <f t="shared" si="109"/>
        <v>293.33333333333678</v>
      </c>
      <c r="S169" s="62">
        <f ca="1">AVERAGE(OFFSET($R$3,0,0,'Données projet'!$E$9+1,1))-AVERAGE(OFFSET($H$3,0,0,'Données projet'!$E$9+1,1))</f>
        <v>256.47911362806866</v>
      </c>
      <c r="T169" s="62">
        <f t="shared" si="142"/>
        <v>230.93438491511529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0.30188689173289501</v>
      </c>
      <c r="AA169" s="23">
        <f>EXP(-LN(2)/25)*AA168+(1-EXP(-LN(2)/25))/(LN(2)/25)*Calculateur!V169*Calculateur!X169*VLOOKUP('Données projet'!$B$9,Paramètres!$A$1:$I$89,3,0)*0.475*44/12</f>
        <v>0.18998031229098089</v>
      </c>
      <c r="AB169" s="23">
        <f>EXP(-LN(2)/2)*AB168+(1-EXP(-LN(2)/2))/(LN(2)/2)*V169*Y169*VLOOKUP('Données projet'!$B$9,Paramètres!$A$1:$I$89,3,0)*0.475*44/12</f>
        <v>2.0626293030670967E-20</v>
      </c>
      <c r="AC169" s="24">
        <f t="shared" si="163"/>
        <v>0.4918672040238759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-4.9658410716801891E-14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255.68195973350799</v>
      </c>
      <c r="AO169" s="62">
        <f t="shared" si="144"/>
        <v>269.20928353552461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243.51680047412441</v>
      </c>
      <c r="BJ169" s="62">
        <f t="shared" si="146"/>
        <v>224.00025638752402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-1.6671037883497774E-13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221.4629402571224</v>
      </c>
      <c r="CE169" s="62">
        <f t="shared" si="148"/>
        <v>204.26941562549416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6.2527760746888816E-13</v>
      </c>
      <c r="CU169" s="18">
        <f>CT169*VLOOKUP('Données projet'!$B$13,Paramètres!$A$1:$I$89,3,0)*VLOOKUP('Données projet'!$B$13,Paramètres!$A$1:$I$89,5,0)</f>
        <v>6.5354015532648198E-13</v>
      </c>
      <c r="CV169" s="14">
        <f t="shared" si="173"/>
        <v>7.8909019831354483E-12</v>
      </c>
      <c r="CW169" s="22">
        <f t="shared" si="174"/>
        <v>1.4881570057821194E-11</v>
      </c>
      <c r="CX169" s="62">
        <f t="shared" si="122"/>
        <v>293.33333333334821</v>
      </c>
      <c r="CY169" s="62">
        <f ca="1">AVERAGE(OFFSET($CX$3,0,0,'Données projet'!$E$13+1,1))-AVERAGE(OFFSET($H$3,0,0,'Données projet'!$E$13+1,1))</f>
        <v>492.66134897013183</v>
      </c>
      <c r="CZ169" s="62">
        <f t="shared" si="150"/>
        <v>307.87428858945862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2">
        <f t="shared" si="109"/>
        <v>293.33333333333678</v>
      </c>
      <c r="S170" s="62">
        <f ca="1">AVERAGE(OFFSET($R$3,0,0,'Données projet'!$E$9+1,1))-AVERAGE(OFFSET($H$3,0,0,'Données projet'!$E$9+1,1))</f>
        <v>256.47911362806866</v>
      </c>
      <c r="T170" s="62">
        <f t="shared" si="142"/>
        <v>230.93438491511529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0.29596707391883531</v>
      </c>
      <c r="AA170" s="23">
        <f>EXP(-LN(2)/25)*AA169+(1-EXP(-LN(2)/25))/(LN(2)/25)*Calculateur!V170*Calculateur!X170*VLOOKUP('Données projet'!$B$9,Paramètres!$A$1:$I$89,3,0)*0.475*44/12</f>
        <v>0.18478529066075361</v>
      </c>
      <c r="AB170" s="23">
        <f>EXP(-LN(2)/2)*AB169+(1-EXP(-LN(2)/2))/(LN(2)/2)*V170*Y170*VLOOKUP('Données projet'!$B$9,Paramètres!$A$1:$I$89,3,0)*0.475*44/12</f>
        <v>1.4584991672728265E-20</v>
      </c>
      <c r="AC170" s="24">
        <f t="shared" si="163"/>
        <v>0.48075236457958892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-4.9658410716801891E-14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255.68195973350799</v>
      </c>
      <c r="AO170" s="62">
        <f t="shared" si="144"/>
        <v>269.20928353552461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243.51680047412441</v>
      </c>
      <c r="BJ170" s="62">
        <f t="shared" si="146"/>
        <v>224.00025638752402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-1.6671037883497774E-13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221.4629402571224</v>
      </c>
      <c r="CE170" s="62">
        <f t="shared" si="148"/>
        <v>204.26941562549416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6.2527760746888816E-13</v>
      </c>
      <c r="CU170" s="18">
        <f>CT170*VLOOKUP('Données projet'!$B$13,Paramètres!$A$1:$I$89,3,0)*VLOOKUP('Données projet'!$B$13,Paramètres!$A$1:$I$89,5,0)</f>
        <v>6.5354015532648198E-13</v>
      </c>
      <c r="CV170" s="14">
        <f t="shared" si="173"/>
        <v>7.8909019831354483E-12</v>
      </c>
      <c r="CW170" s="22">
        <f t="shared" si="174"/>
        <v>1.4881570057821194E-11</v>
      </c>
      <c r="CX170" s="62">
        <f t="shared" si="122"/>
        <v>293.33333333334821</v>
      </c>
      <c r="CY170" s="62">
        <f ca="1">AVERAGE(OFFSET($CX$3,0,0,'Données projet'!$E$13+1,1))-AVERAGE(OFFSET($H$3,0,0,'Données projet'!$E$13+1,1))</f>
        <v>492.66134897013183</v>
      </c>
      <c r="CZ170" s="62">
        <f t="shared" si="150"/>
        <v>307.87428858945862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2">
        <f t="shared" si="109"/>
        <v>293.33333333333678</v>
      </c>
      <c r="S171" s="62">
        <f ca="1">AVERAGE(OFFSET($R$3,0,0,'Données projet'!$E$9+1,1))-AVERAGE(OFFSET($H$3,0,0,'Données projet'!$E$9+1,1))</f>
        <v>256.47911362806866</v>
      </c>
      <c r="T171" s="62">
        <f t="shared" si="142"/>
        <v>230.93438491511529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0.29016334012137696</v>
      </c>
      <c r="AA171" s="23">
        <f>EXP(-LN(2)/25)*AA170+(1-EXP(-LN(2)/25))/(LN(2)/25)*Calculateur!V171*Calculateur!X171*VLOOKUP('Données projet'!$B$9,Paramètres!$A$1:$I$89,3,0)*0.475*44/12</f>
        <v>0.17973232717019919</v>
      </c>
      <c r="AB171" s="23">
        <f>EXP(-LN(2)/2)*AB170+(1-EXP(-LN(2)/2))/(LN(2)/2)*V171*Y171*VLOOKUP('Données projet'!$B$9,Paramètres!$A$1:$I$89,3,0)*0.475*44/12</f>
        <v>1.0313146515335484E-20</v>
      </c>
      <c r="AC171" s="24">
        <f t="shared" si="163"/>
        <v>0.46989566729157617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-4.9658410716801891E-14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255.68195973350799</v>
      </c>
      <c r="AO171" s="62">
        <f t="shared" si="144"/>
        <v>269.20928353552461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243.51680047412441</v>
      </c>
      <c r="BJ171" s="62">
        <f t="shared" si="146"/>
        <v>224.00025638752402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-1.6671037883497774E-13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221.4629402571224</v>
      </c>
      <c r="CE171" s="62">
        <f t="shared" si="148"/>
        <v>204.26941562549416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6.2527760746888816E-13</v>
      </c>
      <c r="CU171" s="18">
        <f>CT171*VLOOKUP('Données projet'!$B$13,Paramètres!$A$1:$I$89,3,0)*VLOOKUP('Données projet'!$B$13,Paramètres!$A$1:$I$89,5,0)</f>
        <v>6.5354015532648198E-13</v>
      </c>
      <c r="CV171" s="14">
        <f t="shared" si="173"/>
        <v>7.8909019831354483E-12</v>
      </c>
      <c r="CW171" s="22">
        <f t="shared" si="174"/>
        <v>1.4881570057821194E-11</v>
      </c>
      <c r="CX171" s="62">
        <f t="shared" si="122"/>
        <v>293.33333333334821</v>
      </c>
      <c r="CY171" s="62">
        <f ca="1">AVERAGE(OFFSET($CX$3,0,0,'Données projet'!$E$13+1,1))-AVERAGE(OFFSET($H$3,0,0,'Données projet'!$E$13+1,1))</f>
        <v>492.66134897013183</v>
      </c>
      <c r="CZ171" s="62">
        <f t="shared" si="150"/>
        <v>307.87428858945862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2">
        <f t="shared" si="109"/>
        <v>293.33333333333678</v>
      </c>
      <c r="S172" s="62">
        <f ca="1">AVERAGE(OFFSET($R$3,0,0,'Données projet'!$E$9+1,1))-AVERAGE(OFFSET($H$3,0,0,'Données projet'!$E$9+1,1))</f>
        <v>256.47911362806866</v>
      </c>
      <c r="T172" s="62">
        <f t="shared" si="142"/>
        <v>230.93438491511529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0.2844734140037587</v>
      </c>
      <c r="AA172" s="23">
        <f>EXP(-LN(2)/25)*AA171+(1-EXP(-LN(2)/25))/(LN(2)/25)*Calculateur!V172*Calculateur!X172*VLOOKUP('Données projet'!$B$9,Paramètres!$A$1:$I$89,3,0)*0.475*44/12</f>
        <v>0.17481753723201779</v>
      </c>
      <c r="AB172" s="23">
        <f>EXP(-LN(2)/2)*AB171+(1-EXP(-LN(2)/2))/(LN(2)/2)*V172*Y172*VLOOKUP('Données projet'!$B$9,Paramètres!$A$1:$I$89,3,0)*0.475*44/12</f>
        <v>7.2924958363641327E-21</v>
      </c>
      <c r="AC172" s="24">
        <f t="shared" si="163"/>
        <v>0.45929095123577646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-4.9658410716801891E-14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255.68195973350799</v>
      </c>
      <c r="AO172" s="62">
        <f t="shared" si="144"/>
        <v>269.20928353552461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243.51680047412441</v>
      </c>
      <c r="BJ172" s="62">
        <f t="shared" si="146"/>
        <v>224.00025638752402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-1.6671037883497774E-13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221.4629402571224</v>
      </c>
      <c r="CE172" s="62">
        <f t="shared" si="148"/>
        <v>204.26941562549416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6.2527760746888816E-13</v>
      </c>
      <c r="CU172" s="18">
        <f>CT172*VLOOKUP('Données projet'!$B$13,Paramètres!$A$1:$I$89,3,0)*VLOOKUP('Données projet'!$B$13,Paramètres!$A$1:$I$89,5,0)</f>
        <v>6.5354015532648198E-13</v>
      </c>
      <c r="CV172" s="14">
        <f t="shared" si="173"/>
        <v>7.8909019831354483E-12</v>
      </c>
      <c r="CW172" s="22">
        <f t="shared" si="174"/>
        <v>1.4881570057821194E-11</v>
      </c>
      <c r="CX172" s="62">
        <f t="shared" si="122"/>
        <v>293.33333333334821</v>
      </c>
      <c r="CY172" s="62">
        <f ca="1">AVERAGE(OFFSET($CX$3,0,0,'Données projet'!$E$13+1,1))-AVERAGE(OFFSET($H$3,0,0,'Données projet'!$E$13+1,1))</f>
        <v>492.66134897013183</v>
      </c>
      <c r="CZ172" s="62">
        <f t="shared" si="150"/>
        <v>307.87428858945862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2">
        <f t="shared" si="109"/>
        <v>293.33333333333678</v>
      </c>
      <c r="S173" s="62">
        <f ca="1">AVERAGE(OFFSET($R$3,0,0,'Données projet'!$E$9+1,1))-AVERAGE(OFFSET($H$3,0,0,'Données projet'!$E$9+1,1))</f>
        <v>256.47911362806866</v>
      </c>
      <c r="T173" s="62">
        <f t="shared" si="142"/>
        <v>230.93438491511529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0.27889506386679469</v>
      </c>
      <c r="AA173" s="23">
        <f>EXP(-LN(2)/25)*AA172+(1-EXP(-LN(2)/25))/(LN(2)/25)*Calculateur!V173*Calculateur!X173*VLOOKUP('Données projet'!$B$9,Paramètres!$A$1:$I$89,3,0)*0.475*44/12</f>
        <v>0.17003714248315352</v>
      </c>
      <c r="AB173" s="23">
        <f>EXP(-LN(2)/2)*AB172+(1-EXP(-LN(2)/2))/(LN(2)/2)*V173*Y173*VLOOKUP('Données projet'!$B$9,Paramètres!$A$1:$I$89,3,0)*0.475*44/12</f>
        <v>5.1565732576677418E-21</v>
      </c>
      <c r="AC173" s="24">
        <f t="shared" si="163"/>
        <v>0.44893220634994824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-4.9658410716801891E-14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255.68195973350799</v>
      </c>
      <c r="AO173" s="62">
        <f t="shared" si="144"/>
        <v>269.20928353552461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243.51680047412441</v>
      </c>
      <c r="BJ173" s="62">
        <f t="shared" si="146"/>
        <v>224.00025638752402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-1.6671037883497774E-13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221.4629402571224</v>
      </c>
      <c r="CE173" s="62">
        <f t="shared" si="148"/>
        <v>204.26941562549416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6.2527760746888816E-13</v>
      </c>
      <c r="CU173" s="18">
        <f>CT173*VLOOKUP('Données projet'!$B$13,Paramètres!$A$1:$I$89,3,0)*VLOOKUP('Données projet'!$B$13,Paramètres!$A$1:$I$89,5,0)</f>
        <v>6.5354015532648198E-13</v>
      </c>
      <c r="CV173" s="14">
        <f t="shared" si="173"/>
        <v>7.8909019831354483E-12</v>
      </c>
      <c r="CW173" s="22">
        <f t="shared" si="174"/>
        <v>1.4881570057821194E-11</v>
      </c>
      <c r="CX173" s="62">
        <f t="shared" si="122"/>
        <v>293.33333333334821</v>
      </c>
      <c r="CY173" s="62">
        <f ca="1">AVERAGE(OFFSET($CX$3,0,0,'Données projet'!$E$13+1,1))-AVERAGE(OFFSET($H$3,0,0,'Données projet'!$E$13+1,1))</f>
        <v>492.66134897013183</v>
      </c>
      <c r="CZ173" s="62">
        <f t="shared" si="150"/>
        <v>307.87428858945862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2">
        <f t="shared" si="109"/>
        <v>293.33333333333678</v>
      </c>
      <c r="S174" s="62">
        <f ca="1">AVERAGE(OFFSET($R$3,0,0,'Données projet'!$E$9+1,1))-AVERAGE(OFFSET($H$3,0,0,'Données projet'!$E$9+1,1))</f>
        <v>256.47911362806866</v>
      </c>
      <c r="T174" s="62">
        <f t="shared" si="142"/>
        <v>230.93438491511529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0.27342610177355892</v>
      </c>
      <c r="AA174" s="23">
        <f>EXP(-LN(2)/25)*AA173+(1-EXP(-LN(2)/25))/(LN(2)/25)*Calculateur!V174*Calculateur!X174*VLOOKUP('Données projet'!$B$9,Paramètres!$A$1:$I$89,3,0)*0.475*44/12</f>
        <v>0.16538746788008699</v>
      </c>
      <c r="AB174" s="23">
        <f>EXP(-LN(2)/2)*AB173+(1-EXP(-LN(2)/2))/(LN(2)/2)*V174*Y174*VLOOKUP('Données projet'!$B$9,Paramètres!$A$1:$I$89,3,0)*0.475*44/12</f>
        <v>3.6462479181820664E-21</v>
      </c>
      <c r="AC174" s="24">
        <f t="shared" si="163"/>
        <v>0.43881356965364593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-4.9658410716801891E-14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255.68195973350799</v>
      </c>
      <c r="AO174" s="62">
        <f t="shared" si="144"/>
        <v>269.20928353552461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243.51680047412441</v>
      </c>
      <c r="BJ174" s="62">
        <f t="shared" si="146"/>
        <v>224.00025638752402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-1.6671037883497774E-13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221.4629402571224</v>
      </c>
      <c r="CE174" s="62">
        <f t="shared" si="148"/>
        <v>204.26941562549416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6.2527760746888816E-13</v>
      </c>
      <c r="CU174" s="18">
        <f>CT174*VLOOKUP('Données projet'!$B$13,Paramètres!$A$1:$I$89,3,0)*VLOOKUP('Données projet'!$B$13,Paramètres!$A$1:$I$89,5,0)</f>
        <v>6.5354015532648198E-13</v>
      </c>
      <c r="CV174" s="14">
        <f t="shared" si="173"/>
        <v>7.8909019831354483E-12</v>
      </c>
      <c r="CW174" s="22">
        <f t="shared" si="174"/>
        <v>1.4881570057821194E-11</v>
      </c>
      <c r="CX174" s="62">
        <f t="shared" si="122"/>
        <v>293.33333333334821</v>
      </c>
      <c r="CY174" s="62">
        <f ca="1">AVERAGE(OFFSET($CX$3,0,0,'Données projet'!$E$13+1,1))-AVERAGE(OFFSET($H$3,0,0,'Données projet'!$E$13+1,1))</f>
        <v>492.66134897013183</v>
      </c>
      <c r="CZ174" s="62">
        <f t="shared" si="150"/>
        <v>307.87428858945862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2">
        <f t="shared" si="109"/>
        <v>293.33333333333678</v>
      </c>
      <c r="S175" s="62">
        <f ca="1">AVERAGE(OFFSET($R$3,0,0,'Données projet'!$E$9+1,1))-AVERAGE(OFFSET($H$3,0,0,'Données projet'!$E$9+1,1))</f>
        <v>256.47911362806866</v>
      </c>
      <c r="T175" s="62">
        <f t="shared" si="142"/>
        <v>230.93438491511529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0.268064382691234</v>
      </c>
      <c r="AA175" s="23">
        <f>EXP(-LN(2)/25)*AA174+(1-EXP(-LN(2)/25))/(LN(2)/25)*Calculateur!V175*Calculateur!X175*VLOOKUP('Données projet'!$B$9,Paramètres!$A$1:$I$89,3,0)*0.475*44/12</f>
        <v>0.16086493887355707</v>
      </c>
      <c r="AB175" s="23">
        <f>EXP(-LN(2)/2)*AB174+(1-EXP(-LN(2)/2))/(LN(2)/2)*V175*Y175*VLOOKUP('Données projet'!$B$9,Paramètres!$A$1:$I$89,3,0)*0.475*44/12</f>
        <v>2.5782866288338709E-21</v>
      </c>
      <c r="AC175" s="24">
        <f t="shared" si="163"/>
        <v>0.42892932156479108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-4.9658410716801891E-14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255.68195973350799</v>
      </c>
      <c r="AO175" s="62">
        <f t="shared" si="144"/>
        <v>269.20928353552461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243.51680047412441</v>
      </c>
      <c r="BJ175" s="62">
        <f t="shared" si="146"/>
        <v>224.00025638752402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-1.6671037883497774E-13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221.4629402571224</v>
      </c>
      <c r="CE175" s="62">
        <f t="shared" si="148"/>
        <v>204.26941562549416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6.2527760746888816E-13</v>
      </c>
      <c r="CU175" s="18">
        <f>CT175*VLOOKUP('Données projet'!$B$13,Paramètres!$A$1:$I$89,3,0)*VLOOKUP('Données projet'!$B$13,Paramètres!$A$1:$I$89,5,0)</f>
        <v>6.5354015532648198E-13</v>
      </c>
      <c r="CV175" s="14">
        <f t="shared" si="173"/>
        <v>7.8909019831354483E-12</v>
      </c>
      <c r="CW175" s="22">
        <f t="shared" si="174"/>
        <v>1.4881570057821194E-11</v>
      </c>
      <c r="CX175" s="62">
        <f t="shared" si="122"/>
        <v>293.33333333334821</v>
      </c>
      <c r="CY175" s="62">
        <f ca="1">AVERAGE(OFFSET($CX$3,0,0,'Données projet'!$E$13+1,1))-AVERAGE(OFFSET($H$3,0,0,'Données projet'!$E$13+1,1))</f>
        <v>492.66134897013183</v>
      </c>
      <c r="CZ175" s="62">
        <f t="shared" si="150"/>
        <v>307.87428858945862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2">
        <f t="shared" si="109"/>
        <v>293.33333333333678</v>
      </c>
      <c r="S176" s="62">
        <f ca="1">AVERAGE(OFFSET($R$3,0,0,'Données projet'!$E$9+1,1))-AVERAGE(OFFSET($H$3,0,0,'Données projet'!$E$9+1,1))</f>
        <v>256.47911362806866</v>
      </c>
      <c r="T176" s="62">
        <f t="shared" si="142"/>
        <v>230.93438491511529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0.26280780364978773</v>
      </c>
      <c r="AA176" s="23">
        <f>EXP(-LN(2)/25)*AA175+(1-EXP(-LN(2)/25))/(LN(2)/25)*Calculateur!V176*Calculateur!X176*VLOOKUP('Données projet'!$B$9,Paramètres!$A$1:$I$89,3,0)*0.475*44/12</f>
        <v>0.15646607866054019</v>
      </c>
      <c r="AB176" s="23">
        <f>EXP(-LN(2)/2)*AB175+(1-EXP(-LN(2)/2))/(LN(2)/2)*V176*Y176*VLOOKUP('Données projet'!$B$9,Paramètres!$A$1:$I$89,3,0)*0.475*44/12</f>
        <v>1.8231239590910332E-21</v>
      </c>
      <c r="AC176" s="24">
        <f t="shared" si="163"/>
        <v>0.41927388231032792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-4.9658410716801891E-14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255.68195973350799</v>
      </c>
      <c r="AO176" s="62">
        <f t="shared" si="144"/>
        <v>269.20928353552461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243.51680047412441</v>
      </c>
      <c r="BJ176" s="62">
        <f t="shared" si="146"/>
        <v>224.00025638752402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-1.6671037883497774E-13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221.4629402571224</v>
      </c>
      <c r="CE176" s="62">
        <f t="shared" si="148"/>
        <v>204.26941562549416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6.2527760746888816E-13</v>
      </c>
      <c r="CU176" s="18">
        <f>CT176*VLOOKUP('Données projet'!$B$13,Paramètres!$A$1:$I$89,3,0)*VLOOKUP('Données projet'!$B$13,Paramètres!$A$1:$I$89,5,0)</f>
        <v>6.5354015532648198E-13</v>
      </c>
      <c r="CV176" s="14">
        <f t="shared" si="173"/>
        <v>7.8909019831354483E-12</v>
      </c>
      <c r="CW176" s="22">
        <f t="shared" si="174"/>
        <v>1.4881570057821194E-11</v>
      </c>
      <c r="CX176" s="62">
        <f t="shared" si="122"/>
        <v>293.33333333334821</v>
      </c>
      <c r="CY176" s="62">
        <f ca="1">AVERAGE(OFFSET($CX$3,0,0,'Données projet'!$E$13+1,1))-AVERAGE(OFFSET($H$3,0,0,'Données projet'!$E$13+1,1))</f>
        <v>492.66134897013183</v>
      </c>
      <c r="CZ176" s="62">
        <f t="shared" si="150"/>
        <v>307.87428858945862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2">
        <f t="shared" si="109"/>
        <v>293.33333333333678</v>
      </c>
      <c r="S177" s="62">
        <f ca="1">AVERAGE(OFFSET($R$3,0,0,'Données projet'!$E$9+1,1))-AVERAGE(OFFSET($H$3,0,0,'Données projet'!$E$9+1,1))</f>
        <v>256.47911362806866</v>
      </c>
      <c r="T177" s="62">
        <f t="shared" si="142"/>
        <v>230.93438491511529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0.25765430291714764</v>
      </c>
      <c r="AA177" s="23">
        <f>EXP(-LN(2)/25)*AA176+(1-EXP(-LN(2)/25))/(LN(2)/25)*Calculateur!V177*Calculateur!X177*VLOOKUP('Données projet'!$B$9,Paramètres!$A$1:$I$89,3,0)*0.475*44/12</f>
        <v>0.15218750551137425</v>
      </c>
      <c r="AB177" s="23">
        <f>EXP(-LN(2)/2)*AB176+(1-EXP(-LN(2)/2))/(LN(2)/2)*V177*Y177*VLOOKUP('Données projet'!$B$9,Paramètres!$A$1:$I$89,3,0)*0.475*44/12</f>
        <v>1.2891433144169354E-21</v>
      </c>
      <c r="AC177" s="24">
        <f t="shared" si="163"/>
        <v>0.40984180842852191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-4.9658410716801891E-14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255.68195973350799</v>
      </c>
      <c r="AO177" s="62">
        <f t="shared" si="144"/>
        <v>269.20928353552461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243.51680047412441</v>
      </c>
      <c r="BJ177" s="62">
        <f t="shared" si="146"/>
        <v>224.00025638752402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-1.6671037883497774E-13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221.4629402571224</v>
      </c>
      <c r="CE177" s="62">
        <f t="shared" si="148"/>
        <v>204.26941562549416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6.2527760746888816E-13</v>
      </c>
      <c r="CU177" s="18">
        <f>CT177*VLOOKUP('Données projet'!$B$13,Paramètres!$A$1:$I$89,3,0)*VLOOKUP('Données projet'!$B$13,Paramètres!$A$1:$I$89,5,0)</f>
        <v>6.5354015532648198E-13</v>
      </c>
      <c r="CV177" s="14">
        <f t="shared" si="173"/>
        <v>7.8909019831354483E-12</v>
      </c>
      <c r="CW177" s="22">
        <f t="shared" si="174"/>
        <v>1.4881570057821194E-11</v>
      </c>
      <c r="CX177" s="62">
        <f t="shared" si="122"/>
        <v>293.33333333334821</v>
      </c>
      <c r="CY177" s="62">
        <f ca="1">AVERAGE(OFFSET($CX$3,0,0,'Données projet'!$E$13+1,1))-AVERAGE(OFFSET($H$3,0,0,'Données projet'!$E$13+1,1))</f>
        <v>492.66134897013183</v>
      </c>
      <c r="CZ177" s="62">
        <f t="shared" si="150"/>
        <v>307.87428858945862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2">
        <f t="shared" si="109"/>
        <v>293.33333333333678</v>
      </c>
      <c r="S178" s="62">
        <f ca="1">AVERAGE(OFFSET($R$3,0,0,'Données projet'!$E$9+1,1))-AVERAGE(OFFSET($H$3,0,0,'Données projet'!$E$9+1,1))</f>
        <v>256.47911362806866</v>
      </c>
      <c r="T178" s="62">
        <f t="shared" si="142"/>
        <v>230.93438491511529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0.2526018591905495</v>
      </c>
      <c r="AA178" s="23">
        <f>EXP(-LN(2)/25)*AA177+(1-EXP(-LN(2)/25))/(LN(2)/25)*Calculateur!V178*Calculateur!X178*VLOOKUP('Données projet'!$B$9,Paramètres!$A$1:$I$89,3,0)*0.475*44/12</f>
        <v>0.14802593016997265</v>
      </c>
      <c r="AB178" s="23">
        <f>EXP(-LN(2)/2)*AB177+(1-EXP(-LN(2)/2))/(LN(2)/2)*V178*Y178*VLOOKUP('Données projet'!$B$9,Paramètres!$A$1:$I$89,3,0)*0.475*44/12</f>
        <v>9.1156197954551659E-22</v>
      </c>
      <c r="AC178" s="24">
        <f t="shared" si="163"/>
        <v>0.40062778936052212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-4.9658410716801891E-14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255.68195973350799</v>
      </c>
      <c r="AO178" s="62">
        <f t="shared" si="144"/>
        <v>269.20928353552461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243.51680047412441</v>
      </c>
      <c r="BJ178" s="62">
        <f t="shared" si="146"/>
        <v>224.00025638752402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-1.6671037883497774E-13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221.4629402571224</v>
      </c>
      <c r="CE178" s="62">
        <f t="shared" si="148"/>
        <v>204.26941562549416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6.2527760746888816E-13</v>
      </c>
      <c r="CU178" s="18">
        <f>CT178*VLOOKUP('Données projet'!$B$13,Paramètres!$A$1:$I$89,3,0)*VLOOKUP('Données projet'!$B$13,Paramètres!$A$1:$I$89,5,0)</f>
        <v>6.5354015532648198E-13</v>
      </c>
      <c r="CV178" s="14">
        <f t="shared" si="173"/>
        <v>7.8909019831354483E-12</v>
      </c>
      <c r="CW178" s="22">
        <f t="shared" si="174"/>
        <v>1.4881570057821194E-11</v>
      </c>
      <c r="CX178" s="62">
        <f t="shared" si="122"/>
        <v>293.33333333334821</v>
      </c>
      <c r="CY178" s="62">
        <f ca="1">AVERAGE(OFFSET($CX$3,0,0,'Données projet'!$E$13+1,1))-AVERAGE(OFFSET($H$3,0,0,'Données projet'!$E$13+1,1))</f>
        <v>492.66134897013183</v>
      </c>
      <c r="CZ178" s="62">
        <f t="shared" si="150"/>
        <v>307.87428858945862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2">
        <f t="shared" si="109"/>
        <v>293.33333333333678</v>
      </c>
      <c r="S179" s="62">
        <f ca="1">AVERAGE(OFFSET($R$3,0,0,'Données projet'!$E$9+1,1))-AVERAGE(OFFSET($H$3,0,0,'Données projet'!$E$9+1,1))</f>
        <v>256.47911362806866</v>
      </c>
      <c r="T179" s="62">
        <f t="shared" si="142"/>
        <v>230.93438491511529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0.2476484908037436</v>
      </c>
      <c r="AA179" s="23">
        <f>EXP(-LN(2)/25)*AA178+(1-EXP(-LN(2)/25))/(LN(2)/25)*Calculateur!V179*Calculateur!X179*VLOOKUP('Données projet'!$B$9,Paramètres!$A$1:$I$89,3,0)*0.475*44/12</f>
        <v>0.14397815332512939</v>
      </c>
      <c r="AB179" s="23">
        <f>EXP(-LN(2)/2)*AB178+(1-EXP(-LN(2)/2))/(LN(2)/2)*V179*Y179*VLOOKUP('Données projet'!$B$9,Paramètres!$A$1:$I$89,3,0)*0.475*44/12</f>
        <v>6.4457165720846772E-22</v>
      </c>
      <c r="AC179" s="24">
        <f t="shared" si="163"/>
        <v>0.39162664412887299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-4.9658410716801891E-14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255.68195973350799</v>
      </c>
      <c r="AO179" s="62">
        <f t="shared" si="144"/>
        <v>269.20928353552461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243.51680047412441</v>
      </c>
      <c r="BJ179" s="62">
        <f t="shared" si="146"/>
        <v>224.00025638752402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-1.6671037883497774E-13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221.4629402571224</v>
      </c>
      <c r="CE179" s="62">
        <f t="shared" si="148"/>
        <v>204.26941562549416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6.2527760746888816E-13</v>
      </c>
      <c r="CU179" s="18">
        <f>CT179*VLOOKUP('Données projet'!$B$13,Paramètres!$A$1:$I$89,3,0)*VLOOKUP('Données projet'!$B$13,Paramètres!$A$1:$I$89,5,0)</f>
        <v>6.5354015532648198E-13</v>
      </c>
      <c r="CV179" s="14">
        <f t="shared" si="173"/>
        <v>7.8909019831354483E-12</v>
      </c>
      <c r="CW179" s="22">
        <f t="shared" si="174"/>
        <v>1.4881570057821194E-11</v>
      </c>
      <c r="CX179" s="62">
        <f t="shared" si="122"/>
        <v>293.33333333334821</v>
      </c>
      <c r="CY179" s="62">
        <f ca="1">AVERAGE(OFFSET($CX$3,0,0,'Données projet'!$E$13+1,1))-AVERAGE(OFFSET($H$3,0,0,'Données projet'!$E$13+1,1))</f>
        <v>492.66134897013183</v>
      </c>
      <c r="CZ179" s="62">
        <f t="shared" si="150"/>
        <v>307.87428858945862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2">
        <f t="shared" si="109"/>
        <v>293.33333333333678</v>
      </c>
      <c r="S180" s="62">
        <f ca="1">AVERAGE(OFFSET($R$3,0,0,'Données projet'!$E$9+1,1))-AVERAGE(OFFSET($H$3,0,0,'Données projet'!$E$9+1,1))</f>
        <v>256.47911362806866</v>
      </c>
      <c r="T180" s="62">
        <f t="shared" si="142"/>
        <v>230.93438491511529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0.24279225494974657</v>
      </c>
      <c r="AA180" s="23">
        <f>EXP(-LN(2)/25)*AA179+(1-EXP(-LN(2)/25))/(LN(2)/25)*Calculateur!V180*Calculateur!X180*VLOOKUP('Données projet'!$B$9,Paramètres!$A$1:$I$89,3,0)*0.475*44/12</f>
        <v>0.1400410631509717</v>
      </c>
      <c r="AB180" s="23">
        <f>EXP(-LN(2)/2)*AB179+(1-EXP(-LN(2)/2))/(LN(2)/2)*V180*Y180*VLOOKUP('Données projet'!$B$9,Paramètres!$A$1:$I$89,3,0)*0.475*44/12</f>
        <v>4.557809897727583E-22</v>
      </c>
      <c r="AC180" s="24">
        <f t="shared" si="163"/>
        <v>0.3828333181007183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-4.9658410716801891E-14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255.68195973350799</v>
      </c>
      <c r="AO180" s="62">
        <f t="shared" si="144"/>
        <v>269.20928353552461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243.51680047412441</v>
      </c>
      <c r="BJ180" s="62">
        <f t="shared" si="146"/>
        <v>224.00025638752402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-1.6671037883497774E-13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221.4629402571224</v>
      </c>
      <c r="CE180" s="62">
        <f t="shared" si="148"/>
        <v>204.26941562549416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6.2527760746888816E-13</v>
      </c>
      <c r="CU180" s="18">
        <f>CT180*VLOOKUP('Données projet'!$B$13,Paramètres!$A$1:$I$89,3,0)*VLOOKUP('Données projet'!$B$13,Paramètres!$A$1:$I$89,5,0)</f>
        <v>6.5354015532648198E-13</v>
      </c>
      <c r="CV180" s="14">
        <f t="shared" si="173"/>
        <v>7.8909019831354483E-12</v>
      </c>
      <c r="CW180" s="22">
        <f t="shared" si="174"/>
        <v>1.4881570057821194E-11</v>
      </c>
      <c r="CX180" s="62">
        <f t="shared" si="122"/>
        <v>293.33333333334821</v>
      </c>
      <c r="CY180" s="62">
        <f ca="1">AVERAGE(OFFSET($CX$3,0,0,'Données projet'!$E$13+1,1))-AVERAGE(OFFSET($H$3,0,0,'Données projet'!$E$13+1,1))</f>
        <v>492.66134897013183</v>
      </c>
      <c r="CZ180" s="62">
        <f t="shared" si="150"/>
        <v>307.87428858945862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2">
        <f t="shared" si="109"/>
        <v>293.33333333333678</v>
      </c>
      <c r="S181" s="62">
        <f ca="1">AVERAGE(OFFSET($R$3,0,0,'Données projet'!$E$9+1,1))-AVERAGE(OFFSET($H$3,0,0,'Données projet'!$E$9+1,1))</f>
        <v>256.47911362806866</v>
      </c>
      <c r="T181" s="62">
        <f t="shared" si="142"/>
        <v>230.93438491511529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0.23803124691883501</v>
      </c>
      <c r="AA181" s="23">
        <f>EXP(-LN(2)/25)*AA180+(1-EXP(-LN(2)/25))/(LN(2)/25)*Calculateur!V181*Calculateur!X181*VLOOKUP('Données projet'!$B$9,Paramètres!$A$1:$I$89,3,0)*0.475*44/12</f>
        <v>0.13621163291466892</v>
      </c>
      <c r="AB181" s="23">
        <f>EXP(-LN(2)/2)*AB180+(1-EXP(-LN(2)/2))/(LN(2)/2)*V181*Y181*VLOOKUP('Données projet'!$B$9,Paramètres!$A$1:$I$89,3,0)*0.475*44/12</f>
        <v>3.2228582860423386E-22</v>
      </c>
      <c r="AC181" s="24">
        <f t="shared" si="163"/>
        <v>0.37424287983350391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-4.9658410716801891E-14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255.68195973350799</v>
      </c>
      <c r="AO181" s="62">
        <f t="shared" si="144"/>
        <v>269.20928353552461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243.51680047412441</v>
      </c>
      <c r="BJ181" s="62">
        <f t="shared" si="146"/>
        <v>224.00025638752402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-1.6671037883497774E-13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221.4629402571224</v>
      </c>
      <c r="CE181" s="62">
        <f t="shared" si="148"/>
        <v>204.26941562549416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6.2527760746888816E-13</v>
      </c>
      <c r="CU181" s="18">
        <f>CT181*VLOOKUP('Données projet'!$B$13,Paramètres!$A$1:$I$89,3,0)*VLOOKUP('Données projet'!$B$13,Paramètres!$A$1:$I$89,5,0)</f>
        <v>6.5354015532648198E-13</v>
      </c>
      <c r="CV181" s="14">
        <f t="shared" si="173"/>
        <v>7.8909019831354483E-12</v>
      </c>
      <c r="CW181" s="22">
        <f t="shared" si="174"/>
        <v>1.4881570057821194E-11</v>
      </c>
      <c r="CX181" s="62">
        <f t="shared" si="122"/>
        <v>293.33333333334821</v>
      </c>
      <c r="CY181" s="62">
        <f ca="1">AVERAGE(OFFSET($CX$3,0,0,'Données projet'!$E$13+1,1))-AVERAGE(OFFSET($H$3,0,0,'Données projet'!$E$13+1,1))</f>
        <v>492.66134897013183</v>
      </c>
      <c r="CZ181" s="62">
        <f t="shared" si="150"/>
        <v>307.87428858945862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2">
        <f t="shared" si="109"/>
        <v>293.33333333333678</v>
      </c>
      <c r="S182" s="62">
        <f ca="1">AVERAGE(OFFSET($R$3,0,0,'Données projet'!$E$9+1,1))-AVERAGE(OFFSET($H$3,0,0,'Données projet'!$E$9+1,1))</f>
        <v>256.47911362806866</v>
      </c>
      <c r="T182" s="62">
        <f t="shared" si="142"/>
        <v>230.93438491511529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0.23336359935148149</v>
      </c>
      <c r="AA182" s="23">
        <f>EXP(-LN(2)/25)*AA181+(1-EXP(-LN(2)/25))/(LN(2)/25)*Calculateur!V182*Calculateur!X182*VLOOKUP('Données projet'!$B$9,Paramètres!$A$1:$I$89,3,0)*0.475*44/12</f>
        <v>0.13248691864955883</v>
      </c>
      <c r="AB182" s="23">
        <f>EXP(-LN(2)/2)*AB181+(1-EXP(-LN(2)/2))/(LN(2)/2)*V182*Y182*VLOOKUP('Données projet'!$B$9,Paramètres!$A$1:$I$89,3,0)*0.475*44/12</f>
        <v>2.2789049488637915E-22</v>
      </c>
      <c r="AC182" s="24">
        <f t="shared" si="163"/>
        <v>0.36585051800104029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-4.9658410716801891E-14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255.68195973350799</v>
      </c>
      <c r="AO182" s="62">
        <f t="shared" si="144"/>
        <v>269.20928353552461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243.51680047412441</v>
      </c>
      <c r="BJ182" s="62">
        <f t="shared" si="146"/>
        <v>224.00025638752402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-1.6671037883497774E-13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221.4629402571224</v>
      </c>
      <c r="CE182" s="62">
        <f t="shared" si="148"/>
        <v>204.26941562549416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6.2527760746888816E-13</v>
      </c>
      <c r="CU182" s="18">
        <f>CT182*VLOOKUP('Données projet'!$B$13,Paramètres!$A$1:$I$89,3,0)*VLOOKUP('Données projet'!$B$13,Paramètres!$A$1:$I$89,5,0)</f>
        <v>6.5354015532648198E-13</v>
      </c>
      <c r="CV182" s="14">
        <f t="shared" si="173"/>
        <v>7.8909019831354483E-12</v>
      </c>
      <c r="CW182" s="22">
        <f t="shared" si="174"/>
        <v>1.4881570057821194E-11</v>
      </c>
      <c r="CX182" s="62">
        <f t="shared" si="122"/>
        <v>293.33333333334821</v>
      </c>
      <c r="CY182" s="62">
        <f ca="1">AVERAGE(OFFSET($CX$3,0,0,'Données projet'!$E$13+1,1))-AVERAGE(OFFSET($H$3,0,0,'Données projet'!$E$13+1,1))</f>
        <v>492.66134897013183</v>
      </c>
      <c r="CZ182" s="62">
        <f t="shared" si="150"/>
        <v>307.87428858945862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2">
        <f t="shared" si="109"/>
        <v>293.33333333333678</v>
      </c>
      <c r="S183" s="62">
        <f ca="1">AVERAGE(OFFSET($R$3,0,0,'Données projet'!$E$9+1,1))-AVERAGE(OFFSET($H$3,0,0,'Données projet'!$E$9+1,1))</f>
        <v>256.47911362806866</v>
      </c>
      <c r="T183" s="62">
        <f t="shared" si="142"/>
        <v>230.93438491511529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0.22878748150593986</v>
      </c>
      <c r="AA183" s="23">
        <f>EXP(-LN(2)/25)*AA182+(1-EXP(-LN(2)/25))/(LN(2)/25)*Calculateur!V183*Calculateur!X183*VLOOKUP('Données projet'!$B$9,Paramètres!$A$1:$I$89,3,0)*0.475*44/12</f>
        <v>0.12886405689190239</v>
      </c>
      <c r="AB183" s="23">
        <f>EXP(-LN(2)/2)*AB182+(1-EXP(-LN(2)/2))/(LN(2)/2)*V183*Y183*VLOOKUP('Données projet'!$B$9,Paramètres!$A$1:$I$89,3,0)*0.475*44/12</f>
        <v>1.6114291430211693E-22</v>
      </c>
      <c r="AC183" s="24">
        <f t="shared" si="163"/>
        <v>0.35765153839784225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-4.9658410716801891E-14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255.68195973350799</v>
      </c>
      <c r="AO183" s="62">
        <f t="shared" si="144"/>
        <v>269.20928353552461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243.51680047412441</v>
      </c>
      <c r="BJ183" s="62">
        <f t="shared" si="146"/>
        <v>224.00025638752402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-1.6671037883497774E-13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221.4629402571224</v>
      </c>
      <c r="CE183" s="62">
        <f t="shared" si="148"/>
        <v>204.26941562549416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6.2527760746888816E-13</v>
      </c>
      <c r="CU183" s="18">
        <f>CT183*VLOOKUP('Données projet'!$B$13,Paramètres!$A$1:$I$89,3,0)*VLOOKUP('Données projet'!$B$13,Paramètres!$A$1:$I$89,5,0)</f>
        <v>6.5354015532648198E-13</v>
      </c>
      <c r="CV183" s="14">
        <f t="shared" si="173"/>
        <v>7.8909019831354483E-12</v>
      </c>
      <c r="CW183" s="22">
        <f t="shared" si="174"/>
        <v>1.4881570057821194E-11</v>
      </c>
      <c r="CX183" s="62">
        <f t="shared" si="122"/>
        <v>293.33333333334821</v>
      </c>
      <c r="CY183" s="62">
        <f ca="1">AVERAGE(OFFSET($CX$3,0,0,'Données projet'!$E$13+1,1))-AVERAGE(OFFSET($H$3,0,0,'Données projet'!$E$13+1,1))</f>
        <v>492.66134897013183</v>
      </c>
      <c r="CZ183" s="62">
        <f t="shared" si="150"/>
        <v>307.87428858945862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2">
        <f t="shared" si="109"/>
        <v>293.33333333333678</v>
      </c>
      <c r="S184" s="62">
        <f ca="1">AVERAGE(OFFSET($R$3,0,0,'Données projet'!$E$9+1,1))-AVERAGE(OFFSET($H$3,0,0,'Données projet'!$E$9+1,1))</f>
        <v>256.47911362806866</v>
      </c>
      <c r="T184" s="62">
        <f t="shared" si="142"/>
        <v>230.93438491511529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0.22430109854019301</v>
      </c>
      <c r="AA184" s="23">
        <f>EXP(-LN(2)/25)*AA183+(1-EXP(-LN(2)/25))/(LN(2)/25)*Calculateur!V184*Calculateur!X184*VLOOKUP('Données projet'!$B$9,Paramètres!$A$1:$I$89,3,0)*0.475*44/12</f>
        <v>0.12534026247952709</v>
      </c>
      <c r="AB184" s="23">
        <f>EXP(-LN(2)/2)*AB183+(1-EXP(-LN(2)/2))/(LN(2)/2)*V184*Y184*VLOOKUP('Données projet'!$B$9,Paramètres!$A$1:$I$89,3,0)*0.475*44/12</f>
        <v>1.1394524744318957E-22</v>
      </c>
      <c r="AC184" s="24">
        <f t="shared" si="163"/>
        <v>0.3496413610197201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-4.9658410716801891E-14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255.68195973350799</v>
      </c>
      <c r="AO184" s="62">
        <f t="shared" si="144"/>
        <v>269.20928353552461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243.51680047412441</v>
      </c>
      <c r="BJ184" s="62">
        <f t="shared" si="146"/>
        <v>224.00025638752402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-1.6671037883497774E-13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221.4629402571224</v>
      </c>
      <c r="CE184" s="62">
        <f t="shared" si="148"/>
        <v>204.26941562549416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6.2527760746888816E-13</v>
      </c>
      <c r="CU184" s="18">
        <f>CT184*VLOOKUP('Données projet'!$B$13,Paramètres!$A$1:$I$89,3,0)*VLOOKUP('Données projet'!$B$13,Paramètres!$A$1:$I$89,5,0)</f>
        <v>6.5354015532648198E-13</v>
      </c>
      <c r="CV184" s="14">
        <f t="shared" si="173"/>
        <v>7.8909019831354483E-12</v>
      </c>
      <c r="CW184" s="22">
        <f t="shared" si="174"/>
        <v>1.4881570057821194E-11</v>
      </c>
      <c r="CX184" s="62">
        <f t="shared" si="122"/>
        <v>293.33333333334821</v>
      </c>
      <c r="CY184" s="62">
        <f ca="1">AVERAGE(OFFSET($CX$3,0,0,'Données projet'!$E$13+1,1))-AVERAGE(OFFSET($H$3,0,0,'Données projet'!$E$13+1,1))</f>
        <v>492.66134897013183</v>
      </c>
      <c r="CZ184" s="62">
        <f t="shared" si="150"/>
        <v>307.87428858945862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2">
        <f t="shared" si="109"/>
        <v>293.33333333333678</v>
      </c>
      <c r="S185" s="62">
        <f ca="1">AVERAGE(OFFSET($R$3,0,0,'Données projet'!$E$9+1,1))-AVERAGE(OFFSET($H$3,0,0,'Données projet'!$E$9+1,1))</f>
        <v>256.47911362806866</v>
      </c>
      <c r="T185" s="62">
        <f t="shared" si="142"/>
        <v>230.93438491511529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0.21990269080798105</v>
      </c>
      <c r="AA185" s="23">
        <f>EXP(-LN(2)/25)*AA184+(1-EXP(-LN(2)/25))/(LN(2)/25)*Calculateur!V185*Calculateur!X185*VLOOKUP('Données projet'!$B$9,Paramètres!$A$1:$I$89,3,0)*0.475*44/12</f>
        <v>0.12191282641066649</v>
      </c>
      <c r="AB185" s="23">
        <f>EXP(-LN(2)/2)*AB184+(1-EXP(-LN(2)/2))/(LN(2)/2)*V185*Y185*VLOOKUP('Données projet'!$B$9,Paramètres!$A$1:$I$89,3,0)*0.475*44/12</f>
        <v>8.0571457151058466E-23</v>
      </c>
      <c r="AC185" s="24">
        <f t="shared" si="163"/>
        <v>0.34181551721864756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-4.9658410716801891E-14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255.68195973350799</v>
      </c>
      <c r="AO185" s="62">
        <f t="shared" si="144"/>
        <v>269.20928353552461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243.51680047412441</v>
      </c>
      <c r="BJ185" s="62">
        <f t="shared" si="146"/>
        <v>224.00025638752402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-1.6671037883497774E-13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221.4629402571224</v>
      </c>
      <c r="CE185" s="62">
        <f t="shared" si="148"/>
        <v>204.26941562549416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6.2527760746888816E-13</v>
      </c>
      <c r="CU185" s="18">
        <f>CT185*VLOOKUP('Données projet'!$B$13,Paramètres!$A$1:$I$89,3,0)*VLOOKUP('Données projet'!$B$13,Paramètres!$A$1:$I$89,5,0)</f>
        <v>6.5354015532648198E-13</v>
      </c>
      <c r="CV185" s="14">
        <f t="shared" si="173"/>
        <v>7.8909019831354483E-12</v>
      </c>
      <c r="CW185" s="22">
        <f t="shared" si="174"/>
        <v>1.4881570057821194E-11</v>
      </c>
      <c r="CX185" s="62">
        <f t="shared" si="122"/>
        <v>293.33333333334821</v>
      </c>
      <c r="CY185" s="62">
        <f ca="1">AVERAGE(OFFSET($CX$3,0,0,'Données projet'!$E$13+1,1))-AVERAGE(OFFSET($H$3,0,0,'Données projet'!$E$13+1,1))</f>
        <v>492.66134897013183</v>
      </c>
      <c r="CZ185" s="62">
        <f t="shared" si="150"/>
        <v>307.87428858945862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2">
        <f t="shared" si="109"/>
        <v>293.33333333333678</v>
      </c>
      <c r="S186" s="62">
        <f ca="1">AVERAGE(OFFSET($R$3,0,0,'Données projet'!$E$9+1,1))-AVERAGE(OFFSET($H$3,0,0,'Données projet'!$E$9+1,1))</f>
        <v>256.47911362806866</v>
      </c>
      <c r="T186" s="62">
        <f t="shared" si="142"/>
        <v>230.93438491511529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0.21559053316863397</v>
      </c>
      <c r="AA186" s="23">
        <f>EXP(-LN(2)/25)*AA185+(1-EXP(-LN(2)/25))/(LN(2)/25)*Calculateur!V186*Calculateur!X186*VLOOKUP('Données projet'!$B$9,Paramètres!$A$1:$I$89,3,0)*0.475*44/12</f>
        <v>0.11857911376134991</v>
      </c>
      <c r="AB186" s="23">
        <f>EXP(-LN(2)/2)*AB185+(1-EXP(-LN(2)/2))/(LN(2)/2)*V186*Y186*VLOOKUP('Données projet'!$B$9,Paramètres!$A$1:$I$89,3,0)*0.475*44/12</f>
        <v>5.6972623721594787E-23</v>
      </c>
      <c r="AC186" s="24">
        <f t="shared" si="163"/>
        <v>0.33416964692998385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-4.9658410716801891E-14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255.68195973350799</v>
      </c>
      <c r="AO186" s="62">
        <f t="shared" si="144"/>
        <v>269.20928353552461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243.51680047412441</v>
      </c>
      <c r="BJ186" s="62">
        <f t="shared" si="146"/>
        <v>224.00025638752402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-1.6671037883497774E-13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221.4629402571224</v>
      </c>
      <c r="CE186" s="62">
        <f t="shared" si="148"/>
        <v>204.26941562549416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6.2527760746888816E-13</v>
      </c>
      <c r="CU186" s="18">
        <f>CT186*VLOOKUP('Données projet'!$B$13,Paramètres!$A$1:$I$89,3,0)*VLOOKUP('Données projet'!$B$13,Paramètres!$A$1:$I$89,5,0)</f>
        <v>6.5354015532648198E-13</v>
      </c>
      <c r="CV186" s="14">
        <f t="shared" si="173"/>
        <v>7.8909019831354483E-12</v>
      </c>
      <c r="CW186" s="22">
        <f t="shared" si="174"/>
        <v>1.4881570057821194E-11</v>
      </c>
      <c r="CX186" s="62">
        <f t="shared" si="122"/>
        <v>293.33333333334821</v>
      </c>
      <c r="CY186" s="62">
        <f ca="1">AVERAGE(OFFSET($CX$3,0,0,'Données projet'!$E$13+1,1))-AVERAGE(OFFSET($H$3,0,0,'Données projet'!$E$13+1,1))</f>
        <v>492.66134897013183</v>
      </c>
      <c r="CZ186" s="62">
        <f t="shared" si="150"/>
        <v>307.87428858945862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2">
        <f t="shared" si="109"/>
        <v>293.33333333333678</v>
      </c>
      <c r="S187" s="62">
        <f ca="1">AVERAGE(OFFSET($R$3,0,0,'Données projet'!$E$9+1,1))-AVERAGE(OFFSET($H$3,0,0,'Données projet'!$E$9+1,1))</f>
        <v>256.47911362806866</v>
      </c>
      <c r="T187" s="62">
        <f t="shared" si="142"/>
        <v>230.93438491511529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0.21136293431043801</v>
      </c>
      <c r="AA187" s="23">
        <f>EXP(-LN(2)/25)*AA186+(1-EXP(-LN(2)/25))/(LN(2)/25)*Calculateur!V187*Calculateur!X187*VLOOKUP('Données projet'!$B$9,Paramètres!$A$1:$I$89,3,0)*0.475*44/12</f>
        <v>0.11533656165974122</v>
      </c>
      <c r="AB187" s="23">
        <f>EXP(-LN(2)/2)*AB186+(1-EXP(-LN(2)/2))/(LN(2)/2)*V187*Y187*VLOOKUP('Données projet'!$B$9,Paramètres!$A$1:$I$89,3,0)*0.475*44/12</f>
        <v>4.0285728575529233E-23</v>
      </c>
      <c r="AC187" s="24">
        <f t="shared" si="163"/>
        <v>0.32669949597017922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-4.9658410716801891E-14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255.68195973350799</v>
      </c>
      <c r="AO187" s="62">
        <f t="shared" si="144"/>
        <v>269.20928353552461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243.51680047412441</v>
      </c>
      <c r="BJ187" s="62">
        <f t="shared" si="146"/>
        <v>224.00025638752402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-1.6671037883497774E-13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221.4629402571224</v>
      </c>
      <c r="CE187" s="62">
        <f t="shared" si="148"/>
        <v>204.26941562549416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6.2527760746888816E-13</v>
      </c>
      <c r="CU187" s="18">
        <f>CT187*VLOOKUP('Données projet'!$B$13,Paramètres!$A$1:$I$89,3,0)*VLOOKUP('Données projet'!$B$13,Paramètres!$A$1:$I$89,5,0)</f>
        <v>6.5354015532648198E-13</v>
      </c>
      <c r="CV187" s="14">
        <f t="shared" si="173"/>
        <v>7.8909019831354483E-12</v>
      </c>
      <c r="CW187" s="22">
        <f t="shared" si="174"/>
        <v>1.4881570057821194E-11</v>
      </c>
      <c r="CX187" s="62">
        <f t="shared" si="122"/>
        <v>293.33333333334821</v>
      </c>
      <c r="CY187" s="62">
        <f ca="1">AVERAGE(OFFSET($CX$3,0,0,'Données projet'!$E$13+1,1))-AVERAGE(OFFSET($H$3,0,0,'Données projet'!$E$13+1,1))</f>
        <v>492.66134897013183</v>
      </c>
      <c r="CZ187" s="62">
        <f t="shared" si="150"/>
        <v>307.87428858945862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2">
        <f t="shared" si="109"/>
        <v>293.33333333333678</v>
      </c>
      <c r="S188" s="62">
        <f ca="1">AVERAGE(OFFSET($R$3,0,0,'Données projet'!$E$9+1,1))-AVERAGE(OFFSET($H$3,0,0,'Données projet'!$E$9+1,1))</f>
        <v>256.47911362806866</v>
      </c>
      <c r="T188" s="62">
        <f t="shared" si="142"/>
        <v>230.93438491511529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0.20721823608727058</v>
      </c>
      <c r="AA188" s="23">
        <f>EXP(-LN(2)/25)*AA187+(1-EXP(-LN(2)/25))/(LN(2)/25)*Calculateur!V188*Calculateur!X188*VLOOKUP('Données projet'!$B$9,Paramètres!$A$1:$I$89,3,0)*0.475*44/12</f>
        <v>0.11218267731586942</v>
      </c>
      <c r="AB188" s="23">
        <f>EXP(-LN(2)/2)*AB187+(1-EXP(-LN(2)/2))/(LN(2)/2)*V188*Y188*VLOOKUP('Données projet'!$B$9,Paramètres!$A$1:$I$89,3,0)*0.475*44/12</f>
        <v>2.8486311860797394E-23</v>
      </c>
      <c r="AC188" s="24">
        <f t="shared" si="163"/>
        <v>0.31940091340314003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-4.9658410716801891E-14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255.68195973350799</v>
      </c>
      <c r="AO188" s="62">
        <f t="shared" si="144"/>
        <v>269.20928353552461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243.51680047412441</v>
      </c>
      <c r="BJ188" s="62">
        <f t="shared" si="146"/>
        <v>224.00025638752402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-1.6671037883497774E-13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221.4629402571224</v>
      </c>
      <c r="CE188" s="62">
        <f t="shared" si="148"/>
        <v>204.26941562549416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6.2527760746888816E-13</v>
      </c>
      <c r="CU188" s="18">
        <f>CT188*VLOOKUP('Données projet'!$B$13,Paramètres!$A$1:$I$89,3,0)*VLOOKUP('Données projet'!$B$13,Paramètres!$A$1:$I$89,5,0)</f>
        <v>6.5354015532648198E-13</v>
      </c>
      <c r="CV188" s="14">
        <f t="shared" si="173"/>
        <v>7.8909019831354483E-12</v>
      </c>
      <c r="CW188" s="22">
        <f t="shared" si="174"/>
        <v>1.4881570057821194E-11</v>
      </c>
      <c r="CX188" s="62">
        <f t="shared" si="122"/>
        <v>293.33333333334821</v>
      </c>
      <c r="CY188" s="62">
        <f ca="1">AVERAGE(OFFSET($CX$3,0,0,'Données projet'!$E$13+1,1))-AVERAGE(OFFSET($H$3,0,0,'Données projet'!$E$13+1,1))</f>
        <v>492.66134897013183</v>
      </c>
      <c r="CZ188" s="62">
        <f t="shared" si="150"/>
        <v>307.87428858945862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2">
        <f t="shared" si="109"/>
        <v>293.33333333333678</v>
      </c>
      <c r="S189" s="62">
        <f ca="1">AVERAGE(OFFSET($R$3,0,0,'Données projet'!$E$9+1,1))-AVERAGE(OFFSET($H$3,0,0,'Données projet'!$E$9+1,1))</f>
        <v>256.47911362806866</v>
      </c>
      <c r="T189" s="62">
        <f t="shared" si="142"/>
        <v>230.93438491511529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0.20315481286824319</v>
      </c>
      <c r="AA189" s="23">
        <f>EXP(-LN(2)/25)*AA188+(1-EXP(-LN(2)/25))/(LN(2)/25)*Calculateur!V189*Calculateur!X189*VLOOKUP('Données projet'!$B$9,Paramètres!$A$1:$I$89,3,0)*0.475*44/12</f>
        <v>0.10911503610523637</v>
      </c>
      <c r="AB189" s="23">
        <f>EXP(-LN(2)/2)*AB188+(1-EXP(-LN(2)/2))/(LN(2)/2)*V189*Y189*VLOOKUP('Données projet'!$B$9,Paramètres!$A$1:$I$89,3,0)*0.475*44/12</f>
        <v>2.0142864287764616E-23</v>
      </c>
      <c r="AC189" s="24">
        <f t="shared" si="163"/>
        <v>0.31226984897347954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-4.9658410716801891E-14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255.68195973350799</v>
      </c>
      <c r="AO189" s="62">
        <f t="shared" si="144"/>
        <v>269.20928353552461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243.51680047412441</v>
      </c>
      <c r="BJ189" s="62">
        <f t="shared" si="146"/>
        <v>224.00025638752402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-1.6671037883497774E-13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221.4629402571224</v>
      </c>
      <c r="CE189" s="62">
        <f t="shared" si="148"/>
        <v>204.26941562549416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6.2527760746888816E-13</v>
      </c>
      <c r="CU189" s="18">
        <f>CT189*VLOOKUP('Données projet'!$B$13,Paramètres!$A$1:$I$89,3,0)*VLOOKUP('Données projet'!$B$13,Paramètres!$A$1:$I$89,5,0)</f>
        <v>6.5354015532648198E-13</v>
      </c>
      <c r="CV189" s="14">
        <f t="shared" si="173"/>
        <v>7.8909019831354483E-12</v>
      </c>
      <c r="CW189" s="22">
        <f t="shared" si="174"/>
        <v>1.4881570057821194E-11</v>
      </c>
      <c r="CX189" s="62">
        <f t="shared" si="122"/>
        <v>293.33333333334821</v>
      </c>
      <c r="CY189" s="62">
        <f ca="1">AVERAGE(OFFSET($CX$3,0,0,'Données projet'!$E$13+1,1))-AVERAGE(OFFSET($H$3,0,0,'Données projet'!$E$13+1,1))</f>
        <v>492.66134897013183</v>
      </c>
      <c r="CZ189" s="62">
        <f t="shared" si="150"/>
        <v>307.87428858945862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2">
        <f t="shared" si="109"/>
        <v>293.33333333333678</v>
      </c>
      <c r="S190" s="62">
        <f ca="1">AVERAGE(OFFSET($R$3,0,0,'Données projet'!$E$9+1,1))-AVERAGE(OFFSET($H$3,0,0,'Données projet'!$E$9+1,1))</f>
        <v>256.47911362806866</v>
      </c>
      <c r="T190" s="62">
        <f t="shared" si="142"/>
        <v>230.93438491511529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0.19917107090009747</v>
      </c>
      <c r="AA190" s="23">
        <f>EXP(-LN(2)/25)*AA189+(1-EXP(-LN(2)/25))/(LN(2)/25)*Calculateur!V190*Calculateur!X190*VLOOKUP('Données projet'!$B$9,Paramètres!$A$1:$I$89,3,0)*0.475*44/12</f>
        <v>0.10613127970482832</v>
      </c>
      <c r="AB190" s="23">
        <f>EXP(-LN(2)/2)*AB189+(1-EXP(-LN(2)/2))/(LN(2)/2)*V190*Y190*VLOOKUP('Données projet'!$B$9,Paramètres!$A$1:$I$89,3,0)*0.475*44/12</f>
        <v>1.4243155930398697E-23</v>
      </c>
      <c r="AC190" s="24">
        <f t="shared" si="163"/>
        <v>0.30530235060492578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-4.9658410716801891E-14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255.68195973350799</v>
      </c>
      <c r="AO190" s="62">
        <f t="shared" si="144"/>
        <v>269.20928353552461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243.51680047412441</v>
      </c>
      <c r="BJ190" s="62">
        <f t="shared" si="146"/>
        <v>224.00025638752402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-1.6671037883497774E-13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221.4629402571224</v>
      </c>
      <c r="CE190" s="62">
        <f t="shared" si="148"/>
        <v>204.26941562549416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6.2527760746888816E-13</v>
      </c>
      <c r="CU190" s="18">
        <f>CT190*VLOOKUP('Données projet'!$B$13,Paramètres!$A$1:$I$89,3,0)*VLOOKUP('Données projet'!$B$13,Paramètres!$A$1:$I$89,5,0)</f>
        <v>6.5354015532648198E-13</v>
      </c>
      <c r="CV190" s="14">
        <f t="shared" si="173"/>
        <v>7.8909019831354483E-12</v>
      </c>
      <c r="CW190" s="22">
        <f t="shared" si="174"/>
        <v>1.4881570057821194E-11</v>
      </c>
      <c r="CX190" s="62">
        <f t="shared" si="122"/>
        <v>293.33333333334821</v>
      </c>
      <c r="CY190" s="62">
        <f ca="1">AVERAGE(OFFSET($CX$3,0,0,'Données projet'!$E$13+1,1))-AVERAGE(OFFSET($H$3,0,0,'Données projet'!$E$13+1,1))</f>
        <v>492.66134897013183</v>
      </c>
      <c r="CZ190" s="62">
        <f t="shared" si="150"/>
        <v>307.87428858945862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2">
        <f t="shared" si="109"/>
        <v>293.33333333333678</v>
      </c>
      <c r="S191" s="62">
        <f ca="1">AVERAGE(OFFSET($R$3,0,0,'Données projet'!$E$9+1,1))-AVERAGE(OFFSET($H$3,0,0,'Données projet'!$E$9+1,1))</f>
        <v>256.47911362806866</v>
      </c>
      <c r="T191" s="62">
        <f t="shared" si="142"/>
        <v>230.93438491511529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0.19526544768210444</v>
      </c>
      <c r="AA191" s="23">
        <f>EXP(-LN(2)/25)*AA190+(1-EXP(-LN(2)/25))/(LN(2)/25)*Calculateur!V191*Calculateur!X191*VLOOKUP('Données projet'!$B$9,Paramètres!$A$1:$I$89,3,0)*0.475*44/12</f>
        <v>0.10322911428009836</v>
      </c>
      <c r="AB191" s="23">
        <f>EXP(-LN(2)/2)*AB190+(1-EXP(-LN(2)/2))/(LN(2)/2)*V191*Y191*VLOOKUP('Données projet'!$B$9,Paramètres!$A$1:$I$89,3,0)*0.475*44/12</f>
        <v>1.0071432143882308E-23</v>
      </c>
      <c r="AC191" s="24">
        <f t="shared" si="163"/>
        <v>0.29849456196220281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-4.9658410716801891E-14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255.68195973350799</v>
      </c>
      <c r="AO191" s="62">
        <f t="shared" si="144"/>
        <v>269.20928353552461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243.51680047412441</v>
      </c>
      <c r="BJ191" s="62">
        <f t="shared" si="146"/>
        <v>224.00025638752402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-1.6671037883497774E-13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221.4629402571224</v>
      </c>
      <c r="CE191" s="62">
        <f t="shared" si="148"/>
        <v>204.26941562549416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6.2527760746888816E-13</v>
      </c>
      <c r="CU191" s="18">
        <f>CT191*VLOOKUP('Données projet'!$B$13,Paramètres!$A$1:$I$89,3,0)*VLOOKUP('Données projet'!$B$13,Paramètres!$A$1:$I$89,5,0)</f>
        <v>6.5354015532648198E-13</v>
      </c>
      <c r="CV191" s="14">
        <f t="shared" si="173"/>
        <v>7.8909019831354483E-12</v>
      </c>
      <c r="CW191" s="22">
        <f t="shared" si="174"/>
        <v>1.4881570057821194E-11</v>
      </c>
      <c r="CX191" s="62">
        <f t="shared" si="122"/>
        <v>293.33333333334821</v>
      </c>
      <c r="CY191" s="62">
        <f ca="1">AVERAGE(OFFSET($CX$3,0,0,'Données projet'!$E$13+1,1))-AVERAGE(OFFSET($H$3,0,0,'Données projet'!$E$13+1,1))</f>
        <v>492.66134897013183</v>
      </c>
      <c r="CZ191" s="62">
        <f t="shared" si="150"/>
        <v>307.87428858945862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2">
        <f t="shared" si="109"/>
        <v>293.33333333333678</v>
      </c>
      <c r="S192" s="62">
        <f ca="1">AVERAGE(OFFSET($R$3,0,0,'Données projet'!$E$9+1,1))-AVERAGE(OFFSET($H$3,0,0,'Données projet'!$E$9+1,1))</f>
        <v>256.47911362806866</v>
      </c>
      <c r="T192" s="62">
        <f t="shared" si="142"/>
        <v>230.93438491511529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0.19143641135322129</v>
      </c>
      <c r="AA192" s="23">
        <f>EXP(-LN(2)/25)*AA191+(1-EXP(-LN(2)/25))/(LN(2)/25)*Calculateur!V192*Calculateur!X192*VLOOKUP('Données projet'!$B$9,Paramètres!$A$1:$I$89,3,0)*0.475*44/12</f>
        <v>0.10040630872152588</v>
      </c>
      <c r="AB192" s="23">
        <f>EXP(-LN(2)/2)*AB191+(1-EXP(-LN(2)/2))/(LN(2)/2)*V192*Y192*VLOOKUP('Données projet'!$B$9,Paramètres!$A$1:$I$89,3,0)*0.475*44/12</f>
        <v>7.1215779651993484E-24</v>
      </c>
      <c r="AC192" s="24">
        <f t="shared" si="163"/>
        <v>0.29184272007474715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-4.9658410716801891E-14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255.68195973350799</v>
      </c>
      <c r="AO192" s="62">
        <f t="shared" si="144"/>
        <v>269.20928353552461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243.51680047412441</v>
      </c>
      <c r="BJ192" s="62">
        <f t="shared" si="146"/>
        <v>224.00025638752402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-1.6671037883497774E-13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221.4629402571224</v>
      </c>
      <c r="CE192" s="62">
        <f t="shared" si="148"/>
        <v>204.26941562549416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6.2527760746888816E-13</v>
      </c>
      <c r="CU192" s="18">
        <f>CT192*VLOOKUP('Données projet'!$B$13,Paramètres!$A$1:$I$89,3,0)*VLOOKUP('Données projet'!$B$13,Paramètres!$A$1:$I$89,5,0)</f>
        <v>6.5354015532648198E-13</v>
      </c>
      <c r="CV192" s="14">
        <f t="shared" si="173"/>
        <v>7.8909019831354483E-12</v>
      </c>
      <c r="CW192" s="22">
        <f t="shared" si="174"/>
        <v>1.4881570057821194E-11</v>
      </c>
      <c r="CX192" s="62">
        <f t="shared" si="122"/>
        <v>293.33333333334821</v>
      </c>
      <c r="CY192" s="62">
        <f ca="1">AVERAGE(OFFSET($CX$3,0,0,'Données projet'!$E$13+1,1))-AVERAGE(OFFSET($H$3,0,0,'Données projet'!$E$13+1,1))</f>
        <v>492.66134897013183</v>
      </c>
      <c r="CZ192" s="62">
        <f t="shared" si="150"/>
        <v>307.87428858945862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2">
        <f t="shared" si="109"/>
        <v>293.33333333333678</v>
      </c>
      <c r="S193" s="62">
        <f ca="1">AVERAGE(OFFSET($R$3,0,0,'Données projet'!$E$9+1,1))-AVERAGE(OFFSET($H$3,0,0,'Données projet'!$E$9+1,1))</f>
        <v>256.47911362806866</v>
      </c>
      <c r="T193" s="62">
        <f t="shared" si="142"/>
        <v>230.93438491511529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0.18768246009126599</v>
      </c>
      <c r="AA193" s="23">
        <f>EXP(-LN(2)/25)*AA192+(1-EXP(-LN(2)/25))/(LN(2)/25)*Calculateur!V193*Calculateur!X193*VLOOKUP('Données projet'!$B$9,Paramètres!$A$1:$I$89,3,0)*0.475*44/12</f>
        <v>9.7660692929397455E-2</v>
      </c>
      <c r="AB193" s="23">
        <f>EXP(-LN(2)/2)*AB192+(1-EXP(-LN(2)/2))/(LN(2)/2)*V193*Y193*VLOOKUP('Données projet'!$B$9,Paramètres!$A$1:$I$89,3,0)*0.475*44/12</f>
        <v>5.0357160719411541E-24</v>
      </c>
      <c r="AC193" s="24">
        <f t="shared" si="163"/>
        <v>0.28534315302066343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-4.9658410716801891E-14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255.68195973350799</v>
      </c>
      <c r="AO193" s="62">
        <f t="shared" si="144"/>
        <v>269.20928353552461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243.51680047412441</v>
      </c>
      <c r="BJ193" s="62">
        <f t="shared" si="146"/>
        <v>224.00025638752402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-1.6671037883497774E-13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221.4629402571224</v>
      </c>
      <c r="CE193" s="62">
        <f t="shared" si="148"/>
        <v>204.26941562549416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6.2527760746888816E-13</v>
      </c>
      <c r="CU193" s="18">
        <f>CT193*VLOOKUP('Données projet'!$B$13,Paramètres!$A$1:$I$89,3,0)*VLOOKUP('Données projet'!$B$13,Paramètres!$A$1:$I$89,5,0)</f>
        <v>6.5354015532648198E-13</v>
      </c>
      <c r="CV193" s="14">
        <f t="shared" si="173"/>
        <v>7.8909019831354483E-12</v>
      </c>
      <c r="CW193" s="22">
        <f t="shared" si="174"/>
        <v>1.4881570057821194E-11</v>
      </c>
      <c r="CX193" s="62">
        <f t="shared" si="122"/>
        <v>293.33333333334821</v>
      </c>
      <c r="CY193" s="62">
        <f ca="1">AVERAGE(OFFSET($CX$3,0,0,'Données projet'!$E$13+1,1))-AVERAGE(OFFSET($H$3,0,0,'Données projet'!$E$13+1,1))</f>
        <v>492.66134897013183</v>
      </c>
      <c r="CZ193" s="62">
        <f t="shared" si="150"/>
        <v>307.87428858945862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2">
        <f t="shared" si="109"/>
        <v>293.33333333333678</v>
      </c>
      <c r="S194" s="62">
        <f ca="1">AVERAGE(OFFSET($R$3,0,0,'Données projet'!$E$9+1,1))-AVERAGE(OFFSET($H$3,0,0,'Données projet'!$E$9+1,1))</f>
        <v>256.47911362806866</v>
      </c>
      <c r="T194" s="62">
        <f t="shared" si="142"/>
        <v>230.93438491511529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0.18400212152387346</v>
      </c>
      <c r="AA194" s="23">
        <f>EXP(-LN(2)/25)*AA193+(1-EXP(-LN(2)/25))/(LN(2)/25)*Calculateur!V194*Calculateur!X194*VLOOKUP('Données projet'!$B$9,Paramètres!$A$1:$I$89,3,0)*0.475*44/12</f>
        <v>9.4990156145490445E-2</v>
      </c>
      <c r="AB194" s="23">
        <f>EXP(-LN(2)/2)*AB193+(1-EXP(-LN(2)/2))/(LN(2)/2)*V194*Y194*VLOOKUP('Données projet'!$B$9,Paramètres!$A$1:$I$89,3,0)*0.475*44/12</f>
        <v>3.5607889825996742E-24</v>
      </c>
      <c r="AC194" s="24">
        <f t="shared" si="163"/>
        <v>0.27899227766936391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-4.9658410716801891E-14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255.68195973350799</v>
      </c>
      <c r="AO194" s="62">
        <f t="shared" si="144"/>
        <v>269.20928353552461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243.51680047412441</v>
      </c>
      <c r="BJ194" s="62">
        <f t="shared" si="146"/>
        <v>224.00025638752402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-1.6671037883497774E-13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221.4629402571224</v>
      </c>
      <c r="CE194" s="62">
        <f t="shared" si="148"/>
        <v>204.26941562549416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6.2527760746888816E-13</v>
      </c>
      <c r="CU194" s="18">
        <f>CT194*VLOOKUP('Données projet'!$B$13,Paramètres!$A$1:$I$89,3,0)*VLOOKUP('Données projet'!$B$13,Paramètres!$A$1:$I$89,5,0)</f>
        <v>6.5354015532648198E-13</v>
      </c>
      <c r="CV194" s="14">
        <f t="shared" si="173"/>
        <v>7.8909019831354483E-12</v>
      </c>
      <c r="CW194" s="22">
        <f t="shared" si="174"/>
        <v>1.4881570057821194E-11</v>
      </c>
      <c r="CX194" s="62">
        <f t="shared" si="122"/>
        <v>293.33333333334821</v>
      </c>
      <c r="CY194" s="62">
        <f ca="1">AVERAGE(OFFSET($CX$3,0,0,'Données projet'!$E$13+1,1))-AVERAGE(OFFSET($H$3,0,0,'Données projet'!$E$13+1,1))</f>
        <v>492.66134897013183</v>
      </c>
      <c r="CZ194" s="62">
        <f t="shared" si="150"/>
        <v>307.87428858945862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2">
        <f t="shared" ref="R195:R203" si="191">Q195+(I195+J195)*44/12</f>
        <v>293.33333333333678</v>
      </c>
      <c r="S195" s="62">
        <f ca="1">AVERAGE(OFFSET($R$3,0,0,'Données projet'!$E$9+1,1))-AVERAGE(OFFSET($H$3,0,0,'Données projet'!$E$9+1,1))</f>
        <v>256.47911362806866</v>
      </c>
      <c r="T195" s="62">
        <f t="shared" si="142"/>
        <v>230.93438491511529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0.18039395215100262</v>
      </c>
      <c r="AA195" s="23">
        <f>EXP(-LN(2)/25)*AA194+(1-EXP(-LN(2)/25))/(LN(2)/25)*Calculateur!V195*Calculateur!X195*VLOOKUP('Données projet'!$B$9,Paramètres!$A$1:$I$89,3,0)*0.475*44/12</f>
        <v>9.2392645330376805E-2</v>
      </c>
      <c r="AB195" s="23">
        <f>EXP(-LN(2)/2)*AB194+(1-EXP(-LN(2)/2))/(LN(2)/2)*V195*Y195*VLOOKUP('Données projet'!$B$9,Paramètres!$A$1:$I$89,3,0)*0.475*44/12</f>
        <v>2.517858035970577E-24</v>
      </c>
      <c r="AC195" s="24">
        <f t="shared" si="163"/>
        <v>0.27278659748137946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-4.9658410716801891E-14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255.68195973350799</v>
      </c>
      <c r="AO195" s="62">
        <f t="shared" si="144"/>
        <v>269.20928353552461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243.51680047412441</v>
      </c>
      <c r="BJ195" s="62">
        <f t="shared" si="146"/>
        <v>224.00025638752402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-1.6671037883497774E-13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221.4629402571224</v>
      </c>
      <c r="CE195" s="62">
        <f t="shared" si="148"/>
        <v>204.26941562549416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6.2527760746888816E-13</v>
      </c>
      <c r="CU195" s="18">
        <f>CT195*VLOOKUP('Données projet'!$B$13,Paramètres!$A$1:$I$89,3,0)*VLOOKUP('Données projet'!$B$13,Paramètres!$A$1:$I$89,5,0)</f>
        <v>6.5354015532648198E-13</v>
      </c>
      <c r="CV195" s="14">
        <f t="shared" si="173"/>
        <v>7.8909019831354483E-12</v>
      </c>
      <c r="CW195" s="22">
        <f t="shared" si="174"/>
        <v>1.4881570057821194E-11</v>
      </c>
      <c r="CX195" s="62">
        <f t="shared" si="122"/>
        <v>293.33333333334821</v>
      </c>
      <c r="CY195" s="62">
        <f ca="1">AVERAGE(OFFSET($CX$3,0,0,'Données projet'!$E$13+1,1))-AVERAGE(OFFSET($H$3,0,0,'Données projet'!$E$13+1,1))</f>
        <v>492.66134897013183</v>
      </c>
      <c r="CZ195" s="62">
        <f t="shared" si="150"/>
        <v>307.87428858945862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2">
        <f t="shared" si="191"/>
        <v>293.33333333333678</v>
      </c>
      <c r="S196" s="62">
        <f ca="1">AVERAGE(OFFSET($R$3,0,0,'Données projet'!$E$9+1,1))-AVERAGE(OFFSET($H$3,0,0,'Données projet'!$E$9+1,1))</f>
        <v>256.47911362806866</v>
      </c>
      <c r="T196" s="62">
        <f t="shared" si="142"/>
        <v>230.93438491511529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0.17685653677876778</v>
      </c>
      <c r="AA196" s="23">
        <f>EXP(-LN(2)/25)*AA195+(1-EXP(-LN(2)/25))/(LN(2)/25)*Calculateur!V196*Calculateur!X196*VLOOKUP('Données projet'!$B$9,Paramètres!$A$1:$I$89,3,0)*0.475*44/12</f>
        <v>8.9866163585099593E-2</v>
      </c>
      <c r="AB196" s="23">
        <f>EXP(-LN(2)/2)*AB195+(1-EXP(-LN(2)/2))/(LN(2)/2)*V196*Y196*VLOOKUP('Données projet'!$B$9,Paramètres!$A$1:$I$89,3,0)*0.475*44/12</f>
        <v>1.7803944912998371E-24</v>
      </c>
      <c r="AC196" s="24">
        <f t="shared" si="163"/>
        <v>0.26672270036386736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-4.9658410716801891E-14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255.68195973350799</v>
      </c>
      <c r="AO196" s="62">
        <f t="shared" si="144"/>
        <v>269.20928353552461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243.51680047412441</v>
      </c>
      <c r="BJ196" s="62">
        <f t="shared" si="146"/>
        <v>224.00025638752402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-1.6671037883497774E-13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221.4629402571224</v>
      </c>
      <c r="CE196" s="62">
        <f t="shared" si="148"/>
        <v>204.26941562549416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6.2527760746888816E-13</v>
      </c>
      <c r="CU196" s="18">
        <f>CT196*VLOOKUP('Données projet'!$B$13,Paramètres!$A$1:$I$89,3,0)*VLOOKUP('Données projet'!$B$13,Paramètres!$A$1:$I$89,5,0)</f>
        <v>6.5354015532648198E-13</v>
      </c>
      <c r="CV196" s="14">
        <f t="shared" si="173"/>
        <v>7.8909019831354483E-12</v>
      </c>
      <c r="CW196" s="22">
        <f t="shared" si="174"/>
        <v>1.4881570057821194E-11</v>
      </c>
      <c r="CX196" s="62">
        <f t="shared" ref="CX196:CX203" si="196">CW196+(CO196+CP196)*44/12</f>
        <v>293.33333333334821</v>
      </c>
      <c r="CY196" s="62">
        <f ca="1">AVERAGE(OFFSET($CX$3,0,0,'Données projet'!$E$13+1,1))-AVERAGE(OFFSET($H$3,0,0,'Données projet'!$E$13+1,1))</f>
        <v>492.66134897013183</v>
      </c>
      <c r="CZ196" s="62">
        <f t="shared" si="150"/>
        <v>307.87428858945862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2">
        <f t="shared" si="191"/>
        <v>293.33333333333678</v>
      </c>
      <c r="S197" s="62">
        <f ca="1">AVERAGE(OFFSET($R$3,0,0,'Données projet'!$E$9+1,1))-AVERAGE(OFFSET($H$3,0,0,'Données projet'!$E$9+1,1))</f>
        <v>256.47911362806866</v>
      </c>
      <c r="T197" s="62">
        <f t="shared" ref="T197:T203" si="204">$T$3</f>
        <v>230.93438491511529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0.17338848796437212</v>
      </c>
      <c r="AA197" s="23">
        <f>EXP(-LN(2)/25)*AA196+(1-EXP(-LN(2)/25))/(LN(2)/25)*Calculateur!V197*Calculateur!X197*VLOOKUP('Données projet'!$B$9,Paramètres!$A$1:$I$89,3,0)*0.475*44/12</f>
        <v>8.7408768616008894E-2</v>
      </c>
      <c r="AB197" s="23">
        <f>EXP(-LN(2)/2)*AB196+(1-EXP(-LN(2)/2))/(LN(2)/2)*V197*Y197*VLOOKUP('Données projet'!$B$9,Paramètres!$A$1:$I$89,3,0)*0.475*44/12</f>
        <v>1.2589290179852885E-24</v>
      </c>
      <c r="AC197" s="24">
        <f t="shared" si="163"/>
        <v>0.260797256580381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-4.9658410716801891E-14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255.68195973350799</v>
      </c>
      <c r="AO197" s="62">
        <f t="shared" ref="AO197:AO203" si="205">$AO$3</f>
        <v>269.20928353552461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243.51680047412441</v>
      </c>
      <c r="BJ197" s="62">
        <f t="shared" ref="BJ197:BJ203" si="206">$BJ$3</f>
        <v>224.00025638752402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-1.6671037883497774E-13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221.4629402571224</v>
      </c>
      <c r="CE197" s="62">
        <f t="shared" ref="CE197:CE203" si="207">$CE$3</f>
        <v>204.26941562549416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6.2527760746888816E-13</v>
      </c>
      <c r="CU197" s="18">
        <f>CT197*VLOOKUP('Données projet'!$B$13,Paramètres!$A$1:$I$89,3,0)*VLOOKUP('Données projet'!$B$13,Paramètres!$A$1:$I$89,5,0)</f>
        <v>6.5354015532648198E-13</v>
      </c>
      <c r="CV197" s="14">
        <f t="shared" si="173"/>
        <v>7.8909019831354483E-12</v>
      </c>
      <c r="CW197" s="22">
        <f t="shared" si="174"/>
        <v>1.4881570057821194E-11</v>
      </c>
      <c r="CX197" s="62">
        <f t="shared" si="196"/>
        <v>293.33333333334821</v>
      </c>
      <c r="CY197" s="62">
        <f ca="1">AVERAGE(OFFSET($CX$3,0,0,'Données projet'!$E$13+1,1))-AVERAGE(OFFSET($H$3,0,0,'Données projet'!$E$13+1,1))</f>
        <v>492.66134897013183</v>
      </c>
      <c r="CZ197" s="62">
        <f t="shared" ref="CZ197:CZ203" si="208">$CZ$3</f>
        <v>307.87428858945862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2">
        <f t="shared" si="191"/>
        <v>293.33333333333678</v>
      </c>
      <c r="S198" s="62">
        <f ca="1">AVERAGE(OFFSET($R$3,0,0,'Données projet'!$E$9+1,1))-AVERAGE(OFFSET($H$3,0,0,'Données projet'!$E$9+1,1))</f>
        <v>256.47911362806866</v>
      </c>
      <c r="T198" s="62">
        <f t="shared" si="204"/>
        <v>230.93438491511529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0.16998844547192585</v>
      </c>
      <c r="AA198" s="23">
        <f>EXP(-LN(2)/25)*AA197+(1-EXP(-LN(2)/25))/(LN(2)/25)*Calculateur!V198*Calculateur!X198*VLOOKUP('Données projet'!$B$9,Paramètres!$A$1:$I$89,3,0)*0.475*44/12</f>
        <v>8.501857124157676E-2</v>
      </c>
      <c r="AB198" s="23">
        <f>EXP(-LN(2)/2)*AB197+(1-EXP(-LN(2)/2))/(LN(2)/2)*V198*Y198*VLOOKUP('Données projet'!$B$9,Paramètres!$A$1:$I$89,3,0)*0.475*44/12</f>
        <v>8.9019724564991855E-25</v>
      </c>
      <c r="AC198" s="24">
        <f t="shared" si="163"/>
        <v>0.25500701671350262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-4.9658410716801891E-14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255.68195973350799</v>
      </c>
      <c r="AO198" s="62">
        <f t="shared" si="205"/>
        <v>269.20928353552461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243.51680047412441</v>
      </c>
      <c r="BJ198" s="62">
        <f t="shared" si="206"/>
        <v>224.00025638752402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-1.6671037883497774E-13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221.4629402571224</v>
      </c>
      <c r="CE198" s="62">
        <f t="shared" si="207"/>
        <v>204.26941562549416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6.2527760746888816E-13</v>
      </c>
      <c r="CU198" s="18">
        <f>CT198*VLOOKUP('Données projet'!$B$13,Paramètres!$A$1:$I$89,3,0)*VLOOKUP('Données projet'!$B$13,Paramètres!$A$1:$I$89,5,0)</f>
        <v>6.5354015532648198E-13</v>
      </c>
      <c r="CV198" s="14">
        <f t="shared" si="173"/>
        <v>7.8909019831354483E-12</v>
      </c>
      <c r="CW198" s="22">
        <f t="shared" si="174"/>
        <v>1.4881570057821194E-11</v>
      </c>
      <c r="CX198" s="62">
        <f t="shared" si="196"/>
        <v>293.33333333334821</v>
      </c>
      <c r="CY198" s="62">
        <f ca="1">AVERAGE(OFFSET($CX$3,0,0,'Données projet'!$E$13+1,1))-AVERAGE(OFFSET($H$3,0,0,'Données projet'!$E$13+1,1))</f>
        <v>492.66134897013183</v>
      </c>
      <c r="CZ198" s="62">
        <f t="shared" si="208"/>
        <v>307.87428858945862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2">
        <f t="shared" si="191"/>
        <v>293.33333333333678</v>
      </c>
      <c r="S199" s="62">
        <f ca="1">AVERAGE(OFFSET($R$3,0,0,'Données projet'!$E$9+1,1))-AVERAGE(OFFSET($H$3,0,0,'Données projet'!$E$9+1,1))</f>
        <v>256.47911362806866</v>
      </c>
      <c r="T199" s="62">
        <f t="shared" si="204"/>
        <v>230.93438491511529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0.16665507573893532</v>
      </c>
      <c r="AA199" s="23">
        <f>EXP(-LN(2)/25)*AA198+(1-EXP(-LN(2)/25))/(LN(2)/25)*Calculateur!V199*Calculateur!X199*VLOOKUP('Données projet'!$B$9,Paramètres!$A$1:$I$89,3,0)*0.475*44/12</f>
        <v>8.2693733940043493E-2</v>
      </c>
      <c r="AB199" s="23">
        <f>EXP(-LN(2)/2)*AB198+(1-EXP(-LN(2)/2))/(LN(2)/2)*V199*Y199*VLOOKUP('Données projet'!$B$9,Paramètres!$A$1:$I$89,3,0)*0.475*44/12</f>
        <v>6.2946450899264426E-25</v>
      </c>
      <c r="AC199" s="24">
        <f t="shared" si="163"/>
        <v>0.24934880967897882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-4.9658410716801891E-14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255.68195973350799</v>
      </c>
      <c r="AO199" s="62">
        <f t="shared" si="205"/>
        <v>269.20928353552461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243.51680047412441</v>
      </c>
      <c r="BJ199" s="62">
        <f t="shared" si="206"/>
        <v>224.00025638752402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-1.6671037883497774E-13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221.4629402571224</v>
      </c>
      <c r="CE199" s="62">
        <f t="shared" si="207"/>
        <v>204.26941562549416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6.2527760746888816E-13</v>
      </c>
      <c r="CU199" s="18">
        <f>CT199*VLOOKUP('Données projet'!$B$13,Paramètres!$A$1:$I$89,3,0)*VLOOKUP('Données projet'!$B$13,Paramètres!$A$1:$I$89,5,0)</f>
        <v>6.5354015532648198E-13</v>
      </c>
      <c r="CV199" s="14">
        <f t="shared" si="173"/>
        <v>7.8909019831354483E-12</v>
      </c>
      <c r="CW199" s="22">
        <f t="shared" si="174"/>
        <v>1.4881570057821194E-11</v>
      </c>
      <c r="CX199" s="62">
        <f t="shared" si="196"/>
        <v>293.33333333334821</v>
      </c>
      <c r="CY199" s="62">
        <f ca="1">AVERAGE(OFFSET($CX$3,0,0,'Données projet'!$E$13+1,1))-AVERAGE(OFFSET($H$3,0,0,'Données projet'!$E$13+1,1))</f>
        <v>492.66134897013183</v>
      </c>
      <c r="CZ199" s="62">
        <f t="shared" si="208"/>
        <v>307.87428858945862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2">
        <f t="shared" si="191"/>
        <v>293.33333333333678</v>
      </c>
      <c r="S200" s="62">
        <f ca="1">AVERAGE(OFFSET($R$3,0,0,'Données projet'!$E$9+1,1))-AVERAGE(OFFSET($H$3,0,0,'Données projet'!$E$9+1,1))</f>
        <v>256.47911362806866</v>
      </c>
      <c r="T200" s="62">
        <f t="shared" si="204"/>
        <v>230.93438491511529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0.16338707135325392</v>
      </c>
      <c r="AA200" s="23">
        <f>EXP(-LN(2)/25)*AA199+(1-EXP(-LN(2)/25))/(LN(2)/25)*Calculateur!V200*Calculateur!X200*VLOOKUP('Données projet'!$B$9,Paramètres!$A$1:$I$89,3,0)*0.475*44/12</f>
        <v>8.0432469436778536E-2</v>
      </c>
      <c r="AB200" s="23">
        <f>EXP(-LN(2)/2)*AB199+(1-EXP(-LN(2)/2))/(LN(2)/2)*V200*Y200*VLOOKUP('Données projet'!$B$9,Paramètres!$A$1:$I$89,3,0)*0.475*44/12</f>
        <v>4.4509862282495927E-25</v>
      </c>
      <c r="AC200" s="24">
        <f t="shared" si="163"/>
        <v>0.24381954079003246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-4.9658410716801891E-14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255.68195973350799</v>
      </c>
      <c r="AO200" s="62">
        <f t="shared" si="205"/>
        <v>269.20928353552461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243.51680047412441</v>
      </c>
      <c r="BJ200" s="62">
        <f t="shared" si="206"/>
        <v>224.00025638752402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-1.6671037883497774E-13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221.4629402571224</v>
      </c>
      <c r="CE200" s="62">
        <f t="shared" si="207"/>
        <v>204.26941562549416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6.2527760746888816E-13</v>
      </c>
      <c r="CU200" s="18">
        <f>CT200*VLOOKUP('Données projet'!$B$13,Paramètres!$A$1:$I$89,3,0)*VLOOKUP('Données projet'!$B$13,Paramètres!$A$1:$I$89,5,0)</f>
        <v>6.5354015532648198E-13</v>
      </c>
      <c r="CV200" s="14">
        <f t="shared" si="173"/>
        <v>7.8909019831354483E-12</v>
      </c>
      <c r="CW200" s="22">
        <f t="shared" si="174"/>
        <v>1.4881570057821194E-11</v>
      </c>
      <c r="CX200" s="62">
        <f t="shared" si="196"/>
        <v>293.33333333334821</v>
      </c>
      <c r="CY200" s="62">
        <f ca="1">AVERAGE(OFFSET($CX$3,0,0,'Données projet'!$E$13+1,1))-AVERAGE(OFFSET($H$3,0,0,'Données projet'!$E$13+1,1))</f>
        <v>492.66134897013183</v>
      </c>
      <c r="CZ200" s="62">
        <f t="shared" si="208"/>
        <v>307.87428858945862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2">
        <f t="shared" si="191"/>
        <v>293.33333333333678</v>
      </c>
      <c r="S201" s="62">
        <f ca="1">AVERAGE(OFFSET($R$3,0,0,'Données projet'!$E$9+1,1))-AVERAGE(OFFSET($H$3,0,0,'Données projet'!$E$9+1,1))</f>
        <v>256.47911362806866</v>
      </c>
      <c r="T201" s="62">
        <f t="shared" si="204"/>
        <v>230.93438491511529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0.16018315054028989</v>
      </c>
      <c r="AA201" s="23">
        <f>EXP(-LN(2)/25)*AA200+(1-EXP(-LN(2)/25))/(LN(2)/25)*Calculateur!V201*Calculateur!X201*VLOOKUP('Données projet'!$B$9,Paramètres!$A$1:$I$89,3,0)*0.475*44/12</f>
        <v>7.8233039330270093E-2</v>
      </c>
      <c r="AB201" s="23">
        <f>EXP(-LN(2)/2)*AB200+(1-EXP(-LN(2)/2))/(LN(2)/2)*V201*Y201*VLOOKUP('Données projet'!$B$9,Paramètres!$A$1:$I$89,3,0)*0.475*44/12</f>
        <v>3.1473225449632213E-25</v>
      </c>
      <c r="AC201" s="24">
        <f t="shared" si="163"/>
        <v>0.23841618987055999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-4.9658410716801891E-14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255.68195973350799</v>
      </c>
      <c r="AO201" s="62">
        <f t="shared" si="205"/>
        <v>269.20928353552461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243.51680047412441</v>
      </c>
      <c r="BJ201" s="62">
        <f t="shared" si="206"/>
        <v>224.00025638752402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-1.6671037883497774E-13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221.4629402571224</v>
      </c>
      <c r="CE201" s="62">
        <f t="shared" si="207"/>
        <v>204.26941562549416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6.2527760746888816E-13</v>
      </c>
      <c r="CU201" s="18">
        <f>CT201*VLOOKUP('Données projet'!$B$13,Paramètres!$A$1:$I$89,3,0)*VLOOKUP('Données projet'!$B$13,Paramètres!$A$1:$I$89,5,0)</f>
        <v>6.5354015532648198E-13</v>
      </c>
      <c r="CV201" s="14">
        <f t="shared" si="173"/>
        <v>7.8909019831354483E-12</v>
      </c>
      <c r="CW201" s="22">
        <f t="shared" si="174"/>
        <v>1.4881570057821194E-11</v>
      </c>
      <c r="CX201" s="62">
        <f t="shared" si="196"/>
        <v>293.33333333334821</v>
      </c>
      <c r="CY201" s="62">
        <f ca="1">AVERAGE(OFFSET($CX$3,0,0,'Données projet'!$E$13+1,1))-AVERAGE(OFFSET($H$3,0,0,'Données projet'!$E$13+1,1))</f>
        <v>492.66134897013183</v>
      </c>
      <c r="CZ201" s="62">
        <f t="shared" si="208"/>
        <v>307.87428858945862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2">
        <f t="shared" si="191"/>
        <v>293.33333333333678</v>
      </c>
      <c r="S202" s="62">
        <f ca="1">AVERAGE(OFFSET($R$3,0,0,'Données projet'!$E$9+1,1))-AVERAGE(OFFSET($H$3,0,0,'Données projet'!$E$9+1,1))</f>
        <v>256.47911362806866</v>
      </c>
      <c r="T202" s="62">
        <f t="shared" si="204"/>
        <v>230.93438491511529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0.15704205666026935</v>
      </c>
      <c r="AA202" s="23">
        <f>EXP(-LN(2)/25)*AA201+(1-EXP(-LN(2)/25))/(LN(2)/25)*Calculateur!V202*Calculateur!X202*VLOOKUP('Données projet'!$B$9,Paramètres!$A$1:$I$89,3,0)*0.475*44/12</f>
        <v>7.6093752755687125E-2</v>
      </c>
      <c r="AB202" s="23">
        <f>EXP(-LN(2)/2)*AB201+(1-EXP(-LN(2)/2))/(LN(2)/2)*V202*Y202*VLOOKUP('Données projet'!$B$9,Paramètres!$A$1:$I$89,3,0)*0.475*44/12</f>
        <v>2.2254931141247964E-25</v>
      </c>
      <c r="AC202" s="24">
        <f t="shared" si="163"/>
        <v>0.23313580941595646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-4.9658410716801891E-14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255.68195973350799</v>
      </c>
      <c r="AO202" s="62">
        <f t="shared" si="205"/>
        <v>269.20928353552461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243.51680047412441</v>
      </c>
      <c r="BJ202" s="62">
        <f t="shared" si="206"/>
        <v>224.00025638752402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-1.6671037883497774E-13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221.4629402571224</v>
      </c>
      <c r="CE202" s="62">
        <f t="shared" si="207"/>
        <v>204.26941562549416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6.2527760746888816E-13</v>
      </c>
      <c r="CU202" s="18">
        <f>CT202*VLOOKUP('Données projet'!$B$13,Paramètres!$A$1:$I$89,3,0)*VLOOKUP('Données projet'!$B$13,Paramètres!$A$1:$I$89,5,0)</f>
        <v>6.5354015532648198E-13</v>
      </c>
      <c r="CV202" s="14">
        <f t="shared" si="173"/>
        <v>7.8909019831354483E-12</v>
      </c>
      <c r="CW202" s="22">
        <f t="shared" si="174"/>
        <v>1.4881570057821194E-11</v>
      </c>
      <c r="CX202" s="62">
        <f t="shared" si="196"/>
        <v>293.33333333334821</v>
      </c>
      <c r="CY202" s="62">
        <f ca="1">AVERAGE(OFFSET($CX$3,0,0,'Données projet'!$E$13+1,1))-AVERAGE(OFFSET($H$3,0,0,'Données projet'!$E$13+1,1))</f>
        <v>492.66134897013183</v>
      </c>
      <c r="CZ202" s="62">
        <f t="shared" si="208"/>
        <v>307.87428858945862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2">
        <f t="shared" si="191"/>
        <v>293.33333333333678</v>
      </c>
      <c r="S203" s="62">
        <f ca="1">AVERAGE(OFFSET($R$3,0,0,'Données projet'!$E$9+1,1))-AVERAGE(OFFSET($H$3,0,0,'Données projet'!$E$9+1,1))</f>
        <v>256.47911362806866</v>
      </c>
      <c r="T203" s="62">
        <f t="shared" si="204"/>
        <v>230.93438491511529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0.15396255771535794</v>
      </c>
      <c r="AA203" s="23">
        <f>EXP(-LN(2)/25)*AA202+(1-EXP(-LN(2)/25))/(LN(2)/25)*Calculateur!V203*Calculateur!X203*VLOOKUP('Données projet'!$B$9,Paramètres!$A$1:$I$89,3,0)*0.475*44/12</f>
        <v>7.4012965084986324E-2</v>
      </c>
      <c r="AB203" s="23">
        <f>EXP(-LN(2)/2)*AB202+(1-EXP(-LN(2)/2))/(LN(2)/2)*V203*Y203*VLOOKUP('Données projet'!$B$9,Paramètres!$A$1:$I$89,3,0)*0.475*44/12</f>
        <v>1.5736612724816107E-25</v>
      </c>
      <c r="AC203" s="24">
        <f t="shared" si="163"/>
        <v>0.22797552280034428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-4.9658410716801891E-14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255.68195973350799</v>
      </c>
      <c r="AO203" s="62">
        <f t="shared" si="205"/>
        <v>269.20928353552461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243.51680047412441</v>
      </c>
      <c r="BJ203" s="62">
        <f t="shared" si="206"/>
        <v>224.00025638752402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-1.6671037883497774E-13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221.4629402571224</v>
      </c>
      <c r="CE203" s="62">
        <f t="shared" si="207"/>
        <v>204.26941562549416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6.2527760746888816E-13</v>
      </c>
      <c r="CU203" s="18">
        <f>CT203*VLOOKUP('Données projet'!$B$13,Paramètres!$A$1:$I$89,3,0)*VLOOKUP('Données projet'!$B$13,Paramètres!$A$1:$I$89,5,0)</f>
        <v>6.5354015532648198E-13</v>
      </c>
      <c r="CV203" s="14">
        <f t="shared" si="173"/>
        <v>7.8909019831354483E-12</v>
      </c>
      <c r="CW203" s="22">
        <f t="shared" si="174"/>
        <v>1.4881570057821194E-11</v>
      </c>
      <c r="CX203" s="62">
        <f t="shared" si="196"/>
        <v>293.33333333334821</v>
      </c>
      <c r="CY203" s="62">
        <f ca="1">AVERAGE(OFFSET($CX$3,0,0,'Données projet'!$E$13+1,1))-AVERAGE(OFFSET($H$3,0,0,'Données projet'!$E$13+1,1))</f>
        <v>492.66134897013183</v>
      </c>
      <c r="CZ203" s="62">
        <f t="shared" si="208"/>
        <v>307.87428858945862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1.3009230512021859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1.3682730833261529</v>
      </c>
      <c r="BA205" s="88">
        <f>EXP(LN('Données projet'!B88)/'Données projet'!A88)</f>
        <v>1.2721747796233518</v>
      </c>
      <c r="BV205" s="88">
        <f>EXP(LN('Données projet'!B114)/'Données projet'!A114)</f>
        <v>1.2721747796233518</v>
      </c>
      <c r="CQ205" s="88">
        <f>EXP(LN('Données projet'!B140)/'Données projet'!A140)</f>
        <v>1.2835948199965717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5" workbookViewId="0">
      <selection activeCell="C39" sqref="C39:C61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0.80354999999999999</v>
      </c>
      <c r="C6" s="156">
        <f ca="1">IF(OR('Données projet'!B9="",'Données projet'!C9="",'Données projet'!C9=0%),0,Calculateur!S3)</f>
        <v>256.47911362806866</v>
      </c>
      <c r="D6" s="156">
        <f>IF(OR('Données projet'!B9="",'Données projet'!C9="",'Données projet'!C9=0%),0,Calculateur!T3)</f>
        <v>230.93438491511529</v>
      </c>
      <c r="E6" s="156">
        <f ca="1">MIN(C6,D6)</f>
        <v>230.93438491511529</v>
      </c>
      <c r="F6" s="156">
        <f ca="1">E6*B6</f>
        <v>185.5673249985409</v>
      </c>
      <c r="G6" s="156">
        <f ca="1">F6*(100%-'Données projet'!$C$24)*(100%-'Données projet'!$C$25)*(100%-'Données projet'!$C$26)*(100%-'Données projet'!$C$27)</f>
        <v>158.66006287375245</v>
      </c>
      <c r="H6" s="157">
        <f>IF(OR('Données projet'!B9="",'Données projet'!C9="",'Données projet'!C9=0%),0,AVERAGE(Calculateur!$AC$3:$AC$33)*B6)</f>
        <v>3.7905527108947821</v>
      </c>
      <c r="I6" s="158">
        <f>H6*(100%-'Données projet'!$C$24)*(100%-'Données projet'!$C$25)*(100%-'Données projet'!$C$26)*(100%-'Données projet'!$C$27)</f>
        <v>3.2409225678150384</v>
      </c>
      <c r="J6" s="159">
        <f>IF(OR('Données projet'!B9="",'Données projet'!C9="",'Données projet'!C9=0%),0,SUM(Calculateur!$V$3:$V$33)*VLOOKUP('Données projet'!$B$9,Paramètres!$A$1:$I$89,9,0)*B6)</f>
        <v>40.801363857692301</v>
      </c>
      <c r="K6" s="160">
        <f>J6*(100%-'Données projet'!$C$24)*(100%-'Données projet'!$C$25)*(100%-'Données projet'!$C$26)*(100%-'Données projet'!$C$27)</f>
        <v>34.88516609832692</v>
      </c>
      <c r="L6" s="161">
        <f ca="1">G6+I6+K6</f>
        <v>196.78615153989441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0.43180499999999994</v>
      </c>
      <c r="C7" s="156">
        <f ca="1">IF(OR('Données projet'!B10="",'Données projet'!C10="",'Données projet'!C10=0%),0,Calculateur!AN3)</f>
        <v>255.68195973350799</v>
      </c>
      <c r="D7" s="156">
        <f>IF(OR('Données projet'!B10="",'Données projet'!C10="",'Données projet'!C10=0%),0,Calculateur!AO3)</f>
        <v>269.20928353552461</v>
      </c>
      <c r="E7" s="156">
        <f t="shared" ref="E7:E15" ca="1" si="0">MIN(C7,D7)</f>
        <v>255.68195973350799</v>
      </c>
      <c r="F7" s="156">
        <f t="shared" ref="F7:F15" ca="1" si="1">E7*B7</f>
        <v>110.40474862272741</v>
      </c>
      <c r="G7" s="156">
        <f ca="1">F7*(100%-'Données projet'!$C$24)*(100%-'Données projet'!$C$25)*(100%-'Données projet'!$C$26)*(100%-'Données projet'!$C$27)</f>
        <v>94.396060072431922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9.4997099999999985</v>
      </c>
      <c r="K7" s="160">
        <f>J7*(100%-'Données projet'!$C$24)*(100%-'Données projet'!$C$25)*(100%-'Données projet'!$C$26)*(100%-'Données projet'!$C$27)</f>
        <v>8.1222520499999984</v>
      </c>
      <c r="L7" s="161">
        <f t="shared" ref="L7:L15" ca="1" si="2">G7+I7+K7</f>
        <v>102.51831212243192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plane</v>
      </c>
      <c r="B8" s="163">
        <f>'Données projet'!D11</f>
        <v>0.15839999999999999</v>
      </c>
      <c r="C8" s="156">
        <f ca="1">IF(OR('Données projet'!B11="",'Données projet'!C11="",'Données projet'!C11=0%),0,Calculateur!BI3)</f>
        <v>243.51680047412441</v>
      </c>
      <c r="D8" s="156">
        <f>IF(OR('Données projet'!B11="",'Données projet'!C11="",'Données projet'!C11=0%),0,Calculateur!BJ3)</f>
        <v>224.00025638752402</v>
      </c>
      <c r="E8" s="156">
        <f t="shared" ca="1" si="0"/>
        <v>224.00025638752402</v>
      </c>
      <c r="F8" s="156">
        <f t="shared" ca="1" si="1"/>
        <v>35.481640611783803</v>
      </c>
      <c r="G8" s="156">
        <f ca="1">F8*(100%-'Données projet'!$C$24)*(100%-'Données projet'!$C$25)*(100%-'Données projet'!$C$26)*(100%-'Données projet'!$C$27)</f>
        <v>30.336802723075152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2.8115999999999999</v>
      </c>
      <c r="K8" s="160">
        <f>J8*(100%-'Données projet'!$C$24)*(100%-'Données projet'!$C$25)*(100%-'Données projet'!$C$26)*(100%-'Données projet'!$C$27)</f>
        <v>2.403918</v>
      </c>
      <c r="L8" s="161">
        <f t="shared" ca="1" si="2"/>
        <v>32.74072072307515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Châtaignier</v>
      </c>
      <c r="B9" s="163">
        <f>'Données projet'!D12</f>
        <v>0.12770999999999999</v>
      </c>
      <c r="C9" s="156">
        <f ca="1">IF(OR('Données projet'!B12="",'Données projet'!C12="",'Données projet'!C12=0%),0,Calculateur!CD3)</f>
        <v>221.4629402571224</v>
      </c>
      <c r="D9" s="156">
        <f>IF(OR('Données projet'!B12="",'Données projet'!C12="",'Données projet'!C12=0%),0,Calculateur!CE3)</f>
        <v>204.26941562549416</v>
      </c>
      <c r="E9" s="156">
        <f t="shared" ca="1" si="0"/>
        <v>204.26941562549416</v>
      </c>
      <c r="F9" s="156">
        <f t="shared" ca="1" si="1"/>
        <v>26.087247069531859</v>
      </c>
      <c r="G9" s="156">
        <f ca="1">F9*(100%-'Données projet'!$C$24)*(100%-'Données projet'!$C$25)*(100%-'Données projet'!$C$26)*(100%-'Données projet'!$C$27)</f>
        <v>22.304596244449737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2.2668524999999997</v>
      </c>
      <c r="K9" s="160">
        <f>J9*(100%-'Données projet'!$C$24)*(100%-'Données projet'!$C$25)*(100%-'Données projet'!$C$26)*(100%-'Données projet'!$C$27)</f>
        <v>1.9381588874999995</v>
      </c>
      <c r="L9" s="161">
        <f t="shared" ca="1" si="2"/>
        <v>24.242755131949735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chevelu</v>
      </c>
      <c r="B10" s="163">
        <f>'Données projet'!D13</f>
        <v>0.10262999999999999</v>
      </c>
      <c r="C10" s="156">
        <f ca="1">IF(OR('Données projet'!B13="",'Données projet'!C13="",'Données projet'!C13=0%),0,Calculateur!CY3)</f>
        <v>492.66134897013183</v>
      </c>
      <c r="D10" s="156">
        <f>IF(OR('Données projet'!B13="",'Données projet'!C13="",'Données projet'!C13=0%),0,Calculateur!CZ3)</f>
        <v>307.87428858945862</v>
      </c>
      <c r="E10" s="156">
        <f t="shared" ca="1" si="0"/>
        <v>307.87428858945862</v>
      </c>
      <c r="F10" s="156">
        <f t="shared" ca="1" si="1"/>
        <v>31.597138237936132</v>
      </c>
      <c r="G10" s="156">
        <f ca="1">F10*(100%-'Données projet'!$C$24)*(100%-'Données projet'!$C$25)*(100%-'Données projet'!$C$26)*(100%-'Données projet'!$C$27)</f>
        <v>27.015553193435391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0.90459134615384595</v>
      </c>
      <c r="K10" s="160">
        <f>J10*(100%-'Données projet'!$C$24)*(100%-'Données projet'!$C$25)*(100%-'Données projet'!$C$26)*(100%-'Données projet'!$C$27)</f>
        <v>0.77342560096153823</v>
      </c>
      <c r="L10" s="161">
        <f t="shared" ca="1" si="2"/>
        <v>27.788978794396929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389.1380995405201</v>
      </c>
      <c r="G16" s="175">
        <f t="shared" ca="1" si="3"/>
        <v>332.71307510714462</v>
      </c>
      <c r="H16" s="176">
        <f t="shared" si="3"/>
        <v>3.7905527108947821</v>
      </c>
      <c r="I16" s="176">
        <f t="shared" si="3"/>
        <v>3.2409225678150384</v>
      </c>
      <c r="J16" s="177">
        <f t="shared" si="3"/>
        <v>56.284117703846142</v>
      </c>
      <c r="K16" s="177">
        <f t="shared" si="3"/>
        <v>48.122920636788457</v>
      </c>
      <c r="L16" s="178">
        <f t="shared" ca="1" si="3"/>
        <v>384.07691831174816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plane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chevelu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7" zoomScale="89" zoomScaleNormal="89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5171.4847042268839</v>
      </c>
      <c r="U10" s="190">
        <f>'Données projet'!D9</f>
        <v>0.80354999999999999</v>
      </c>
      <c r="V10" s="189">
        <f>U10*T10</f>
        <v>4155.5465340815126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925.01067688073203</v>
      </c>
      <c r="U11" s="190">
        <f>'Données projet'!D10</f>
        <v>0.43180499999999994</v>
      </c>
      <c r="V11" s="189">
        <f>U11*T11</f>
        <v>399.42423533048446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plane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1250.073715345133</v>
      </c>
      <c r="U12" s="190">
        <f>'Données projet'!D11</f>
        <v>0.15839999999999999</v>
      </c>
      <c r="V12" s="189">
        <f t="shared" ref="V12:V19" si="0">U12*T12</f>
        <v>198.01167651066905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1250.073715345133</v>
      </c>
      <c r="U13" s="190">
        <f>'Données projet'!D12</f>
        <v>0.12770999999999999</v>
      </c>
      <c r="V13" s="189">
        <f t="shared" si="0"/>
        <v>159.64691418672692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chevelu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529.27731896646685</v>
      </c>
      <c r="U14" s="190">
        <f>'Données projet'!D13</f>
        <v>0.10262999999999999</v>
      </c>
      <c r="V14" s="189">
        <f t="shared" si="0"/>
        <v>54.319731245528487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0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80.000000000000156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2400.0000000000045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8080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-8365.0509086450784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61.169230769230765</v>
      </c>
      <c r="C24" s="206">
        <v>25</v>
      </c>
      <c r="D24" s="194">
        <f t="shared" ref="D24:D42" si="1">B24*C24</f>
        <v>1529.2307692307691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117.05553390011207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56.91538461538461</v>
      </c>
      <c r="C25" s="206">
        <v>30</v>
      </c>
      <c r="D25" s="194">
        <f t="shared" si="1"/>
        <v>1707.4615384615383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-8482.1064425451896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70.5</v>
      </c>
      <c r="C27" s="206">
        <v>35</v>
      </c>
      <c r="D27" s="194">
        <f t="shared" si="1"/>
        <v>2467.5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42</v>
      </c>
      <c r="B28" s="193">
        <f>'Données projet'!D41</f>
        <v>80.669230769230765</v>
      </c>
      <c r="C28" s="206">
        <v>40</v>
      </c>
      <c r="D28" s="194">
        <f t="shared" si="1"/>
        <v>3226.7692307692305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49</v>
      </c>
      <c r="B29" s="193">
        <f>'Données projet'!D42</f>
        <v>90.453846153846158</v>
      </c>
      <c r="C29" s="206">
        <v>45</v>
      </c>
      <c r="D29" s="194">
        <f t="shared" si="1"/>
        <v>4070.4230769230771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56</v>
      </c>
      <c r="B30" s="193">
        <f>'Données projet'!D43</f>
        <v>75.869230769230768</v>
      </c>
      <c r="C30" s="206">
        <v>50</v>
      </c>
      <c r="D30" s="194">
        <f t="shared" si="1"/>
        <v>3793.4615384615386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79.723076923076917</v>
      </c>
      <c r="C31" s="206">
        <v>60</v>
      </c>
      <c r="D31" s="194">
        <f t="shared" si="1"/>
        <v>4783.3846153846152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69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469.06923076923073</v>
      </c>
      <c r="C33" s="206">
        <v>90</v>
      </c>
      <c r="D33" s="194">
        <f t="shared" si="1"/>
        <v>42216.230769230766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41</v>
      </c>
      <c r="C56" s="204">
        <v>10</v>
      </c>
      <c r="D56" s="191">
        <f t="shared" si="3"/>
        <v>410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0</v>
      </c>
      <c r="C57" s="204"/>
      <c r="D57" s="191">
        <f t="shared" si="3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47</v>
      </c>
      <c r="C58" s="204">
        <v>10</v>
      </c>
      <c r="D58" s="191">
        <f t="shared" si="3"/>
        <v>470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47</v>
      </c>
      <c r="C60" s="204">
        <v>15</v>
      </c>
      <c r="D60" s="191">
        <f t="shared" si="3"/>
        <v>705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0</v>
      </c>
      <c r="C61" s="204"/>
      <c r="D61" s="191">
        <f t="shared" si="3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43</v>
      </c>
      <c r="C62" s="204">
        <v>20</v>
      </c>
      <c r="D62" s="191">
        <f t="shared" si="3"/>
        <v>860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38</v>
      </c>
      <c r="C64" s="204">
        <v>25</v>
      </c>
      <c r="D64" s="191">
        <f t="shared" si="3"/>
        <v>950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33</v>
      </c>
      <c r="C66" s="204">
        <v>30</v>
      </c>
      <c r="D66" s="191">
        <f t="shared" si="3"/>
        <v>990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27</v>
      </c>
      <c r="C68" s="204">
        <v>40</v>
      </c>
      <c r="D68" s="191">
        <f t="shared" si="3"/>
        <v>1080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85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90</v>
      </c>
      <c r="B70" s="193">
        <f>'Données projet'!D78</f>
        <v>23</v>
      </c>
      <c r="C70" s="204">
        <v>50</v>
      </c>
      <c r="D70" s="191">
        <f t="shared" si="3"/>
        <v>1150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100</v>
      </c>
      <c r="B72" s="193">
        <f>'Données projet'!D80</f>
        <v>251</v>
      </c>
      <c r="C72" s="204">
        <v>80</v>
      </c>
      <c r="D72" s="191">
        <f t="shared" si="3"/>
        <v>20080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plane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5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71</v>
      </c>
      <c r="C87" s="204">
        <v>10</v>
      </c>
      <c r="D87" s="191">
        <f t="shared" si="5"/>
        <v>710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5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56</v>
      </c>
      <c r="C89" s="204">
        <v>10</v>
      </c>
      <c r="D89" s="191">
        <f t="shared" si="5"/>
        <v>560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4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0</v>
      </c>
      <c r="C90" s="204"/>
      <c r="D90" s="191">
        <f t="shared" si="5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4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50</v>
      </c>
      <c r="C91" s="204">
        <v>15</v>
      </c>
      <c r="D91" s="191">
        <f t="shared" si="5"/>
        <v>750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4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0</v>
      </c>
      <c r="C92" s="204"/>
      <c r="D92" s="191">
        <f t="shared" si="5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4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30</v>
      </c>
      <c r="C93" s="204">
        <v>20</v>
      </c>
      <c r="D93" s="191">
        <f t="shared" si="5"/>
        <v>600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4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0</v>
      </c>
      <c r="C94" s="204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4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23</v>
      </c>
      <c r="C95" s="204">
        <v>30</v>
      </c>
      <c r="D95" s="191">
        <f t="shared" si="5"/>
        <v>690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4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0</v>
      </c>
      <c r="C96" s="204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4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0</v>
      </c>
      <c r="C97" s="204"/>
      <c r="D97" s="191">
        <f t="shared" si="5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6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295</v>
      </c>
      <c r="C98" s="204">
        <v>80</v>
      </c>
      <c r="D98" s="191">
        <f t="shared" si="5"/>
        <v>23600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6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5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6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5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6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5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6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6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6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7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71</v>
      </c>
      <c r="C118" s="204">
        <v>10</v>
      </c>
      <c r="D118" s="191">
        <f t="shared" si="7"/>
        <v>710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56</v>
      </c>
      <c r="C120" s="204">
        <v>10</v>
      </c>
      <c r="D120" s="191">
        <f t="shared" si="7"/>
        <v>560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7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50</v>
      </c>
      <c r="C122" s="204">
        <v>15</v>
      </c>
      <c r="D122" s="191">
        <f t="shared" si="7"/>
        <v>750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30</v>
      </c>
      <c r="C124" s="204">
        <v>20</v>
      </c>
      <c r="D124" s="191">
        <f t="shared" si="7"/>
        <v>600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23</v>
      </c>
      <c r="C126" s="204">
        <v>30</v>
      </c>
      <c r="D126" s="191">
        <f t="shared" si="7"/>
        <v>690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295</v>
      </c>
      <c r="C129" s="204">
        <v>80</v>
      </c>
      <c r="D129" s="191">
        <f t="shared" si="7"/>
        <v>23600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chevelu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12.820512820512819</v>
      </c>
      <c r="C148" s="204">
        <v>10</v>
      </c>
      <c r="D148" s="194">
        <f t="shared" ref="D148:D166" si="8">B148*C148</f>
        <v>128.2051282051282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8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22.435897435897434</v>
      </c>
      <c r="C150" s="204">
        <v>10</v>
      </c>
      <c r="D150" s="194">
        <f t="shared" si="8"/>
        <v>224.35897435897434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/>
      <c r="D151" s="194">
        <f t="shared" si="8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27.564102564102562</v>
      </c>
      <c r="C152" s="204">
        <v>15</v>
      </c>
      <c r="D152" s="194">
        <f t="shared" si="8"/>
        <v>413.46153846153845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/>
      <c r="D153" s="194">
        <f t="shared" si="8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28.846153846153847</v>
      </c>
      <c r="C154" s="204">
        <v>20</v>
      </c>
      <c r="D154" s="194">
        <f t="shared" si="8"/>
        <v>576.92307692307691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/>
      <c r="D155" s="194">
        <f t="shared" si="8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29.487179487179485</v>
      </c>
      <c r="C156" s="204">
        <v>25</v>
      </c>
      <c r="D156" s="194">
        <f t="shared" si="8"/>
        <v>737.17948717948718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/>
      <c r="D157" s="194">
        <f t="shared" si="8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28.846153846153847</v>
      </c>
      <c r="C158" s="204">
        <v>30</v>
      </c>
      <c r="D158" s="194">
        <f t="shared" si="8"/>
        <v>865.38461538461536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27.564102564102562</v>
      </c>
      <c r="C160" s="204">
        <v>35</v>
      </c>
      <c r="D160" s="194">
        <f t="shared" si="8"/>
        <v>964.74358974358972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0</v>
      </c>
      <c r="C161" s="204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26.282051282051281</v>
      </c>
      <c r="C162" s="204">
        <v>40</v>
      </c>
      <c r="D162" s="194">
        <f t="shared" si="8"/>
        <v>1051.2820512820513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24.358974358974358</v>
      </c>
      <c r="C163" s="204">
        <v>50</v>
      </c>
      <c r="D163" s="194">
        <f t="shared" si="8"/>
        <v>1217.9487179487178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23.076923076923077</v>
      </c>
      <c r="C164" s="204">
        <v>60</v>
      </c>
      <c r="D164" s="194">
        <f t="shared" si="8"/>
        <v>1384.6153846153845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120</v>
      </c>
      <c r="B165" s="187">
        <f>'Données projet'!D158</f>
        <v>21.153846153846153</v>
      </c>
      <c r="C165" s="204">
        <v>70</v>
      </c>
      <c r="D165" s="194">
        <f t="shared" si="8"/>
        <v>1480.7692307692307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130</v>
      </c>
      <c r="B166" s="187">
        <f>'Données projet'!D159</f>
        <v>408.97435897435895</v>
      </c>
      <c r="C166" s="204">
        <v>80</v>
      </c>
      <c r="D166" s="194">
        <f t="shared" si="8"/>
        <v>32717.948717948715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>
        <v>10</v>
      </c>
      <c r="D180" s="191">
        <f t="shared" si="9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>
        <v>15</v>
      </c>
      <c r="D182" s="191">
        <f t="shared" si="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>
        <v>20</v>
      </c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>
        <v>30</v>
      </c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>
        <v>40</v>
      </c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>
        <v>50</v>
      </c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>
        <v>60</v>
      </c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>
        <v>70</v>
      </c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>
        <v>80</v>
      </c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>
        <v>90</v>
      </c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>
        <v>100</v>
      </c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>
        <v>120</v>
      </c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>
        <v>200</v>
      </c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0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0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0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1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1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1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1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1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2024-02-21T18:05:46Z</dcterms:modified>
</cp:coreProperties>
</file>