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Reboisement FC Bailly-Comte_Morbier 1 (39)\"/>
    </mc:Choice>
  </mc:AlternateContent>
  <xr:revisionPtr revIDLastSave="0" documentId="13_ncr:1_{12E290DC-AFE7-4024-B8EB-F5E5C60F22F5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5" i="1" l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HJ154" i="2" s="1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Y161" i="2"/>
  <c r="ED161" i="2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FR164" i="2"/>
  <c r="ED163" i="2"/>
  <c r="EY163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HH190" i="2"/>
  <c r="ED189" i="2"/>
  <c r="EY189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HI193" i="2"/>
  <c r="FQ193" i="2"/>
  <c r="ED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ED194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EY200" i="2"/>
  <c r="DI200" i="2"/>
  <c r="HG201" i="2"/>
  <c r="ED200" i="2"/>
  <c r="FS201" i="2"/>
  <c r="HH201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FZ6" i="2"/>
  <c r="FS202" i="2"/>
  <c r="EW202" i="2"/>
  <c r="EY201" i="2"/>
  <c r="ED201" i="2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D21" i="2" a="1"/>
  <c r="FD21" i="2" s="1"/>
  <c r="FD144" i="2" a="1"/>
  <c r="FD144" i="2" s="1"/>
  <c r="FD59" i="2" a="1"/>
  <c r="FD59" i="2" s="1"/>
  <c r="DN155" i="2" a="1"/>
  <c r="DN155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EI38" i="2" a="1"/>
  <c r="EI38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AX200" i="2"/>
  <c r="GT11" i="2" l="1" a="1"/>
  <c r="GT11" i="2" s="1"/>
  <c r="HJ202" i="2"/>
  <c r="EI150" i="2" a="1"/>
  <c r="EI150" i="2" s="1"/>
  <c r="GT51" i="2" a="1"/>
  <c r="GT51" i="2" s="1"/>
  <c r="GT198" i="2" a="1"/>
  <c r="GT198" i="2" s="1"/>
  <c r="GT174" i="2" a="1"/>
  <c r="GT174" i="2" s="1"/>
  <c r="GT21" i="2" a="1"/>
  <c r="GT21" i="2" s="1"/>
  <c r="GT102" i="2" a="1"/>
  <c r="GT102" i="2" s="1"/>
  <c r="GT68" i="2" a="1"/>
  <c r="GT68" i="2" s="1"/>
  <c r="GT12" i="2" a="1"/>
  <c r="GT12" i="2" s="1"/>
  <c r="GT147" i="2" a="1"/>
  <c r="GT147" i="2" s="1"/>
  <c r="GT181" i="2" a="1"/>
  <c r="GT181" i="2" s="1"/>
  <c r="GT190" i="2" a="1"/>
  <c r="GT190" i="2" s="1"/>
  <c r="GT38" i="2" a="1"/>
  <c r="GT38" i="2" s="1"/>
  <c r="GT152" i="2" a="1"/>
  <c r="GT152" i="2" s="1"/>
  <c r="GT115" i="2" a="1"/>
  <c r="GT115" i="2" s="1"/>
  <c r="GT191" i="2" a="1"/>
  <c r="GT191" i="2" s="1"/>
  <c r="GT126" i="2" a="1"/>
  <c r="GT126" i="2" s="1"/>
  <c r="GT33" i="2" a="1"/>
  <c r="GT33" i="2" s="1"/>
  <c r="GT15" i="2" a="1"/>
  <c r="GT15" i="2" s="1"/>
  <c r="GT74" i="2" a="1"/>
  <c r="GT74" i="2" s="1"/>
  <c r="GT133" i="2" a="1"/>
  <c r="GT133" i="2" s="1"/>
  <c r="GT138" i="2" a="1"/>
  <c r="GT138" i="2" s="1"/>
  <c r="GT178" i="2" a="1"/>
  <c r="GT178" i="2" s="1"/>
  <c r="GT121" i="2" a="1"/>
  <c r="GT121" i="2" s="1"/>
  <c r="GT107" i="2" a="1"/>
  <c r="GT107" i="2" s="1"/>
  <c r="GT189" i="2" a="1"/>
  <c r="GT189" i="2" s="1"/>
  <c r="GT122" i="2" a="1"/>
  <c r="GT122" i="2" s="1"/>
  <c r="FY167" i="2" a="1"/>
  <c r="FY167" i="2" s="1"/>
  <c r="FY80" i="2" a="1"/>
  <c r="FY80" i="2" s="1"/>
  <c r="FY30" i="2" a="1"/>
  <c r="FY30" i="2" s="1"/>
  <c r="FY58" i="2" a="1"/>
  <c r="FY58" i="2" s="1"/>
  <c r="FY121" i="2" a="1"/>
  <c r="FY121" i="2" s="1"/>
  <c r="FY82" i="2" a="1"/>
  <c r="FY82" i="2" s="1"/>
  <c r="FY115" i="2" a="1"/>
  <c r="FY115" i="2" s="1"/>
  <c r="FY86" i="2" a="1"/>
  <c r="FY86" i="2" s="1"/>
  <c r="FY142" i="2" a="1"/>
  <c r="FY142" i="2" s="1"/>
  <c r="FY104" i="2" a="1"/>
  <c r="FY104" i="2" s="1"/>
  <c r="FY34" i="2" a="1"/>
  <c r="FY34" i="2" s="1"/>
  <c r="FY24" i="2" a="1"/>
  <c r="FY24" i="2" s="1"/>
  <c r="FY42" i="2" a="1"/>
  <c r="FY42" i="2" s="1"/>
  <c r="FY196" i="2" a="1"/>
  <c r="FY196" i="2" s="1"/>
  <c r="FY182" i="2" a="1"/>
  <c r="FY182" i="2" s="1"/>
  <c r="FY169" i="2" a="1"/>
  <c r="FY169" i="2" s="1"/>
  <c r="FY62" i="2" a="1"/>
  <c r="FY62" i="2" s="1"/>
  <c r="FY99" i="2" a="1"/>
  <c r="FY99" i="2" s="1"/>
  <c r="FY72" i="2" a="1"/>
  <c r="FY72" i="2" s="1"/>
  <c r="FY172" i="2" a="1"/>
  <c r="FY172" i="2" s="1"/>
  <c r="FY149" i="2" a="1"/>
  <c r="FY149" i="2" s="1"/>
  <c r="FY124" i="2" a="1"/>
  <c r="FY124" i="2" s="1"/>
  <c r="FY164" i="2" a="1"/>
  <c r="FY164" i="2" s="1"/>
  <c r="FY28" i="2" a="1"/>
  <c r="FY28" i="2" s="1"/>
  <c r="FY78" i="2" a="1"/>
  <c r="FY78" i="2" s="1"/>
  <c r="FY111" i="2" a="1"/>
  <c r="FY111" i="2" s="1"/>
  <c r="FY73" i="2" a="1"/>
  <c r="FY73" i="2" s="1"/>
  <c r="FY22" i="2" a="1"/>
  <c r="FY22" i="2" s="1"/>
  <c r="FY190" i="2" a="1"/>
  <c r="FY190" i="2" s="1"/>
  <c r="FY178" i="2" a="1"/>
  <c r="FY178" i="2" s="1"/>
  <c r="FY69" i="2" a="1"/>
  <c r="FY69" i="2" s="1"/>
  <c r="FY55" i="2" a="1"/>
  <c r="FY55" i="2" s="1"/>
  <c r="FY126" i="2" a="1"/>
  <c r="FY126" i="2" s="1"/>
  <c r="FY188" i="2" a="1"/>
  <c r="FY188" i="2" s="1"/>
  <c r="FY116" i="2" a="1"/>
  <c r="FY116" i="2" s="1"/>
  <c r="FY159" i="2" a="1"/>
  <c r="FY159" i="2" s="1"/>
  <c r="FY174" i="2" a="1"/>
  <c r="FY174" i="2" s="1"/>
  <c r="FY152" i="2" a="1"/>
  <c r="FY152" i="2" s="1"/>
  <c r="FY18" i="2" a="1"/>
  <c r="FY18" i="2" s="1"/>
  <c r="FY92" i="2" a="1"/>
  <c r="FY92" i="2" s="1"/>
  <c r="FY186" i="2" a="1"/>
  <c r="FY186" i="2" s="1"/>
  <c r="FY173" i="2" a="1"/>
  <c r="FY173" i="2" s="1"/>
  <c r="FY66" i="2" a="1"/>
  <c r="FY66" i="2" s="1"/>
  <c r="FY71" i="2" a="1"/>
  <c r="FY71" i="2" s="1"/>
  <c r="FY140" i="2" a="1"/>
  <c r="FY140" i="2" s="1"/>
  <c r="FY35" i="2" a="1"/>
  <c r="FY35" i="2" s="1"/>
  <c r="FY143" i="2" a="1"/>
  <c r="FY143" i="2" s="1"/>
  <c r="FY191" i="2" a="1"/>
  <c r="FY191" i="2" s="1"/>
  <c r="FY110" i="2" a="1"/>
  <c r="FY110" i="2" s="1"/>
  <c r="FY153" i="2" a="1"/>
  <c r="FY153" i="2" s="1"/>
  <c r="FY102" i="2" a="1"/>
  <c r="FY102" i="2" s="1"/>
  <c r="FY133" i="2" a="1"/>
  <c r="FY133" i="2" s="1"/>
  <c r="FY32" i="2" a="1"/>
  <c r="FY32" i="2" s="1"/>
  <c r="FY120" i="2" a="1"/>
  <c r="FY120" i="2" s="1"/>
  <c r="FY165" i="2" a="1"/>
  <c r="FY165" i="2" s="1"/>
  <c r="FY146" i="2" a="1"/>
  <c r="FY146" i="2" s="1"/>
  <c r="FY57" i="2" a="1"/>
  <c r="FY57" i="2" s="1"/>
  <c r="FY47" i="2" a="1"/>
  <c r="FY47" i="2" s="1"/>
  <c r="FY29" i="2" a="1"/>
  <c r="FY29" i="2" s="1"/>
  <c r="FY90" i="2" a="1"/>
  <c r="FY90" i="2" s="1"/>
  <c r="FY54" i="2" a="1"/>
  <c r="FY54" i="2" s="1"/>
  <c r="FY50" i="2" a="1"/>
  <c r="FY50" i="2" s="1"/>
  <c r="FY109" i="2" a="1"/>
  <c r="FY109" i="2" s="1"/>
  <c r="FY79" i="2" a="1"/>
  <c r="FY79" i="2" s="1"/>
  <c r="AH163" i="2" a="1"/>
  <c r="AH163" i="2" s="1"/>
  <c r="AH62" i="2" a="1"/>
  <c r="AH62" i="2" s="1"/>
  <c r="CS72" i="2" a="1"/>
  <c r="CS72" i="2" s="1"/>
  <c r="AH19" i="2" a="1"/>
  <c r="AH19" i="2" s="1"/>
  <c r="CS129" i="2" a="1"/>
  <c r="CS129" i="2" s="1"/>
  <c r="HH203" i="2"/>
  <c r="GT184" i="2" a="1"/>
  <c r="GT184" i="2" s="1"/>
  <c r="EI170" i="2" a="1"/>
  <c r="EI170" i="2" s="1"/>
  <c r="EI166" i="2" a="1"/>
  <c r="EI166" i="2" s="1"/>
  <c r="EI20" i="2" a="1"/>
  <c r="EI20" i="2" s="1"/>
  <c r="EI57" i="2" a="1"/>
  <c r="EI57" i="2" s="1"/>
  <c r="EI142" i="2" a="1"/>
  <c r="EI142" i="2" s="1"/>
  <c r="EI36" i="2" a="1"/>
  <c r="EI36" i="2" s="1"/>
  <c r="EI195" i="2" a="1"/>
  <c r="EI195" i="2" s="1"/>
  <c r="EI178" i="2" a="1"/>
  <c r="EI178" i="2" s="1"/>
  <c r="EI29" i="2" a="1"/>
  <c r="EI29" i="2" s="1"/>
  <c r="EI198" i="2" a="1"/>
  <c r="EI198" i="2" s="1"/>
  <c r="EI16" i="2" a="1"/>
  <c r="EI16" i="2" s="1"/>
  <c r="EI139" i="2" a="1"/>
  <c r="EI139" i="2" s="1"/>
  <c r="EI113" i="2" a="1"/>
  <c r="EI113" i="2" s="1"/>
  <c r="EI165" i="2" a="1"/>
  <c r="EI165" i="2" s="1"/>
  <c r="EI87" i="2" a="1"/>
  <c r="EI87" i="2" s="1"/>
  <c r="EI145" i="2" a="1"/>
  <c r="EI145" i="2" s="1"/>
  <c r="EI106" i="2" a="1"/>
  <c r="EI106" i="2" s="1"/>
  <c r="EY202" i="2"/>
  <c r="EI35" i="2" a="1"/>
  <c r="EI35" i="2" s="1"/>
  <c r="EI34" i="2" a="1"/>
  <c r="EI34" i="2" s="1"/>
  <c r="EI67" i="2" a="1"/>
  <c r="EI67" i="2" s="1"/>
  <c r="EI128" i="2" a="1"/>
  <c r="EI128" i="2" s="1"/>
  <c r="EI71" i="2" a="1"/>
  <c r="EI71" i="2" s="1"/>
  <c r="EI109" i="2" a="1"/>
  <c r="EI109" i="2" s="1"/>
  <c r="EI162" i="2" a="1"/>
  <c r="EI162" i="2" s="1"/>
  <c r="EI153" i="2" a="1"/>
  <c r="EI153" i="2" s="1"/>
  <c r="CS137" i="2" a="1"/>
  <c r="CS137" i="2" s="1"/>
  <c r="CS105" i="2" a="1"/>
  <c r="CS105" i="2" s="1"/>
  <c r="DN124" i="2" a="1"/>
  <c r="DN124" i="2" s="1"/>
  <c r="DN56" i="2" a="1"/>
  <c r="DN56" i="2" s="1"/>
  <c r="CS185" i="2" a="1"/>
  <c r="CS185" i="2" s="1"/>
  <c r="CS161" i="2" a="1"/>
  <c r="CS161" i="2" s="1"/>
  <c r="CS77" i="2" a="1"/>
  <c r="CS77" i="2" s="1"/>
  <c r="CS52" i="2" a="1"/>
  <c r="CS52" i="2" s="1"/>
  <c r="CS134" i="2" a="1"/>
  <c r="CS134" i="2" s="1"/>
  <c r="CS24" i="2" a="1"/>
  <c r="CS24" i="2" s="1"/>
  <c r="CS114" i="2" a="1"/>
  <c r="CS114" i="2" s="1"/>
  <c r="CS120" i="2" a="1"/>
  <c r="CS120" i="2" s="1"/>
  <c r="CS56" i="2" a="1"/>
  <c r="CS56" i="2" s="1"/>
  <c r="CS38" i="2" a="1"/>
  <c r="CS38" i="2" s="1"/>
  <c r="CS116" i="2" a="1"/>
  <c r="CS116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T203" i="2"/>
  <c r="ED203" i="2"/>
  <c r="DI203" i="2"/>
  <c r="EY203" i="2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Z182" i="2" l="1"/>
  <c r="GZ28" i="2"/>
  <c r="GZ130" i="2"/>
  <c r="GZ113" i="2"/>
  <c r="GZ26" i="2"/>
  <c r="GZ43" i="2"/>
  <c r="GZ12" i="2"/>
  <c r="GZ151" i="2"/>
  <c r="GZ77" i="2"/>
  <c r="GZ169" i="2"/>
  <c r="GZ52" i="2"/>
  <c r="GZ53" i="2"/>
  <c r="GZ123" i="2"/>
  <c r="GZ50" i="2"/>
  <c r="GZ164" i="2"/>
  <c r="GZ92" i="2"/>
  <c r="GZ69" i="2"/>
  <c r="GZ198" i="2"/>
  <c r="GZ85" i="2"/>
  <c r="GZ190" i="2"/>
  <c r="GZ10" i="2"/>
  <c r="GZ160" i="2"/>
  <c r="GZ185" i="2"/>
  <c r="GZ63" i="2"/>
  <c r="GZ175" i="2"/>
  <c r="GZ170" i="2"/>
  <c r="GZ31" i="2"/>
  <c r="GZ7" i="2"/>
  <c r="GZ36" i="2"/>
  <c r="GZ87" i="2"/>
  <c r="GZ100" i="2"/>
  <c r="GZ66" i="2"/>
  <c r="GZ163" i="2"/>
  <c r="GZ99" i="2"/>
  <c r="GZ137" i="2"/>
  <c r="GZ174" i="2"/>
  <c r="GZ48" i="2"/>
  <c r="GZ179" i="2"/>
  <c r="GZ5" i="2"/>
  <c r="GZ192" i="2"/>
  <c r="GZ54" i="2"/>
  <c r="GZ124" i="2"/>
  <c r="GZ156" i="2"/>
  <c r="GZ23" i="2"/>
  <c r="GZ97" i="2"/>
  <c r="GZ178" i="2"/>
  <c r="GZ177" i="2"/>
  <c r="GZ45" i="2"/>
  <c r="GZ171" i="2"/>
  <c r="GZ67" i="2"/>
  <c r="GZ162" i="2"/>
  <c r="GZ80" i="2"/>
  <c r="GZ70" i="2"/>
  <c r="GZ193" i="2"/>
  <c r="GZ134" i="2"/>
  <c r="GZ138" i="2"/>
  <c r="GZ98" i="2"/>
  <c r="GZ126" i="2"/>
  <c r="GZ57" i="2"/>
  <c r="GZ81" i="2"/>
  <c r="GZ158" i="2"/>
  <c r="GZ154" i="2"/>
  <c r="GZ189" i="2"/>
  <c r="GZ91" i="2"/>
  <c r="GZ144" i="2"/>
  <c r="GZ73" i="2"/>
  <c r="GZ11" i="2"/>
  <c r="GZ117" i="2"/>
  <c r="GZ84" i="2"/>
  <c r="GZ9" i="2"/>
  <c r="GZ30" i="2"/>
  <c r="GZ168" i="2"/>
  <c r="GZ167" i="2"/>
  <c r="GZ122" i="2"/>
  <c r="GZ82" i="2"/>
  <c r="GZ56" i="2"/>
  <c r="GZ19" i="2"/>
  <c r="GZ159" i="2"/>
  <c r="GZ150" i="2"/>
  <c r="GZ116" i="2"/>
  <c r="GZ71" i="2"/>
  <c r="GZ47" i="2"/>
  <c r="GZ191" i="2"/>
  <c r="GZ129" i="2"/>
  <c r="GZ101" i="2"/>
  <c r="GZ132" i="2"/>
  <c r="GZ105" i="2"/>
  <c r="GZ121" i="2"/>
  <c r="GZ161" i="2"/>
  <c r="GZ200" i="2"/>
  <c r="GZ165" i="2"/>
  <c r="GZ128" i="2"/>
  <c r="GZ131" i="2"/>
  <c r="GZ119" i="2"/>
  <c r="GZ96" i="2"/>
  <c r="GZ27" i="2"/>
  <c r="GZ110" i="2"/>
  <c r="GZ14" i="2"/>
  <c r="GZ18" i="2"/>
  <c r="GZ89" i="2"/>
  <c r="GZ13" i="2"/>
  <c r="GZ8" i="2"/>
  <c r="GZ35" i="2"/>
  <c r="GZ44" i="2"/>
  <c r="GZ86" i="2"/>
  <c r="GZ188" i="2"/>
  <c r="GZ127" i="2"/>
  <c r="GZ152" i="2"/>
  <c r="GZ95" i="2"/>
  <c r="GZ17" i="2"/>
  <c r="GZ203" i="2"/>
  <c r="GZ40" i="2"/>
  <c r="GZ83" i="2"/>
  <c r="GZ147" i="2"/>
  <c r="GZ114" i="2"/>
  <c r="GZ108" i="2"/>
  <c r="GZ146" i="2"/>
  <c r="GZ125" i="2"/>
  <c r="GZ6" i="2"/>
  <c r="GZ24" i="2"/>
  <c r="GZ61" i="2"/>
  <c r="GZ139" i="2"/>
  <c r="GZ102" i="2"/>
  <c r="GZ75" i="2"/>
  <c r="GZ20" i="2"/>
  <c r="GZ59" i="2"/>
  <c r="GZ58" i="2"/>
  <c r="GZ118" i="2"/>
  <c r="GZ184" i="2"/>
  <c r="GZ90" i="2"/>
  <c r="GZ72" i="2"/>
  <c r="GZ103" i="2"/>
  <c r="GZ133" i="2"/>
  <c r="GZ64" i="2"/>
  <c r="GZ199" i="2"/>
  <c r="GZ4" i="2"/>
  <c r="GZ186" i="2"/>
  <c r="GZ143" i="2"/>
  <c r="GZ157" i="2"/>
  <c r="GZ34" i="2"/>
  <c r="GZ183" i="2"/>
  <c r="GZ202" i="2"/>
  <c r="GZ38" i="2"/>
  <c r="GZ140" i="2"/>
  <c r="GZ42" i="2"/>
  <c r="GZ195" i="2"/>
  <c r="GZ68" i="2"/>
  <c r="GZ74" i="2"/>
  <c r="GZ106" i="2"/>
  <c r="GZ107" i="2"/>
  <c r="GZ155" i="2"/>
  <c r="GZ22" i="2"/>
  <c r="GZ46" i="2"/>
  <c r="GZ16" i="2"/>
  <c r="GZ88" i="2"/>
  <c r="GZ149" i="2"/>
  <c r="GZ136" i="2"/>
  <c r="GZ142" i="2"/>
  <c r="GZ135" i="2"/>
  <c r="GZ78" i="2"/>
  <c r="GZ37" i="2"/>
  <c r="GZ25" i="2"/>
  <c r="GZ196" i="2"/>
  <c r="GZ120" i="2"/>
  <c r="GZ176" i="2"/>
  <c r="GZ32" i="2"/>
  <c r="GZ201" i="2"/>
  <c r="GZ76" i="2"/>
  <c r="GZ172" i="2"/>
  <c r="GZ148" i="2"/>
  <c r="GZ15" i="2"/>
  <c r="GZ65" i="2"/>
  <c r="GZ41" i="2"/>
  <c r="GZ112" i="2"/>
  <c r="GZ181" i="2"/>
  <c r="GZ33" i="2"/>
  <c r="GZ145" i="2"/>
  <c r="GZ39" i="2"/>
  <c r="GZ104" i="2"/>
  <c r="GZ62" i="2"/>
  <c r="GZ197" i="2"/>
  <c r="GZ166" i="2"/>
  <c r="GZ29" i="2"/>
  <c r="GZ21" i="2"/>
  <c r="GZ111" i="2"/>
  <c r="GZ173" i="2"/>
  <c r="GZ141" i="2"/>
  <c r="GZ153" i="2"/>
  <c r="GZ94" i="2"/>
  <c r="GZ79" i="2"/>
  <c r="GZ109" i="2"/>
  <c r="GZ49" i="2"/>
  <c r="GZ93" i="2"/>
  <c r="GZ60" i="2"/>
  <c r="GZ55" i="2"/>
  <c r="GZ180" i="2"/>
  <c r="GZ187" i="2"/>
  <c r="GZ51" i="2"/>
  <c r="GZ194" i="2"/>
  <c r="GZ115" i="2"/>
  <c r="GZ3" i="2"/>
  <c r="C15" i="4" s="1"/>
  <c r="E15" i="4" s="1"/>
  <c r="F15" i="4" s="1"/>
  <c r="G15" i="4" s="1"/>
  <c r="L15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11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73" i="2" l="1"/>
  <c r="FJ66" i="2"/>
  <c r="FJ201" i="2"/>
  <c r="FJ157" i="2"/>
  <c r="FJ7" i="2"/>
  <c r="FJ129" i="2"/>
  <c r="FJ15" i="2"/>
  <c r="FJ132" i="2"/>
  <c r="FJ14" i="2"/>
  <c r="FJ18" i="2"/>
  <c r="FJ57" i="2"/>
  <c r="FJ155" i="2"/>
  <c r="FJ76" i="2"/>
  <c r="FJ34" i="2"/>
  <c r="FJ84" i="2"/>
  <c r="FJ193" i="2"/>
  <c r="FJ185" i="2"/>
  <c r="FJ202" i="2"/>
  <c r="FJ136" i="2"/>
  <c r="FJ22" i="2"/>
  <c r="FJ134" i="2"/>
  <c r="FJ147" i="2"/>
  <c r="FJ27" i="2"/>
  <c r="FJ30" i="2"/>
  <c r="FJ95" i="2"/>
  <c r="FJ41" i="2"/>
  <c r="FJ181" i="2"/>
  <c r="FJ171" i="2"/>
  <c r="FJ197" i="2"/>
  <c r="FJ115" i="2"/>
  <c r="FJ82" i="2"/>
  <c r="FJ107" i="2"/>
  <c r="FJ159" i="2"/>
  <c r="FJ46" i="2"/>
  <c r="FJ5" i="2"/>
  <c r="FJ32" i="2"/>
  <c r="FJ26" i="2"/>
  <c r="FJ60" i="2"/>
  <c r="FJ190" i="2"/>
  <c r="FJ91" i="2"/>
  <c r="FJ75" i="2"/>
  <c r="FJ111" i="2"/>
  <c r="FJ104" i="2"/>
  <c r="FJ53" i="2"/>
  <c r="FJ175" i="2"/>
  <c r="FJ10" i="2"/>
  <c r="FJ106" i="2"/>
  <c r="FJ151" i="2"/>
  <c r="FJ74" i="2"/>
  <c r="FJ150" i="2"/>
  <c r="FJ88" i="2"/>
  <c r="FJ170" i="2"/>
  <c r="FJ137" i="2"/>
  <c r="FJ65" i="2"/>
  <c r="FJ143" i="2"/>
  <c r="FJ63" i="2"/>
  <c r="FJ69" i="2"/>
  <c r="FJ67" i="2"/>
  <c r="FJ35" i="2"/>
  <c r="FJ145" i="2"/>
  <c r="FJ146" i="2"/>
  <c r="FJ149" i="2"/>
  <c r="FJ25" i="2"/>
  <c r="FJ187" i="2"/>
  <c r="FJ200" i="2"/>
  <c r="FJ24" i="2"/>
  <c r="FJ70" i="2"/>
  <c r="FJ199" i="2"/>
  <c r="FJ163" i="2"/>
  <c r="FJ188" i="2"/>
  <c r="FJ50" i="2"/>
  <c r="FJ98" i="2"/>
  <c r="FJ96" i="2"/>
  <c r="FJ28" i="2"/>
  <c r="FJ191" i="2"/>
  <c r="FJ89" i="2"/>
  <c r="FJ203" i="2"/>
  <c r="FJ116" i="2"/>
  <c r="FJ141" i="2"/>
  <c r="FJ156" i="2"/>
  <c r="FJ109" i="2"/>
  <c r="FJ99" i="2"/>
  <c r="FJ119" i="2"/>
  <c r="FJ39" i="2"/>
  <c r="FJ133" i="2"/>
  <c r="FJ165" i="2"/>
  <c r="FJ29" i="2"/>
  <c r="FJ138" i="2"/>
  <c r="FJ114" i="2"/>
  <c r="FJ101" i="2"/>
  <c r="FJ135" i="2"/>
  <c r="FJ131" i="2"/>
  <c r="FJ9" i="2"/>
  <c r="FJ90" i="2"/>
  <c r="FJ23" i="2"/>
  <c r="FJ196" i="2"/>
  <c r="FJ113" i="2"/>
  <c r="FJ125" i="2"/>
  <c r="FJ93" i="2"/>
  <c r="FJ164" i="2"/>
  <c r="FJ40" i="2"/>
  <c r="FJ127" i="2"/>
  <c r="FJ118" i="2"/>
  <c r="FJ102" i="2"/>
  <c r="FJ124" i="2"/>
  <c r="FJ140" i="2"/>
  <c r="FJ192" i="2"/>
  <c r="FJ33" i="2"/>
  <c r="FJ49" i="2"/>
  <c r="FJ179" i="2"/>
  <c r="FJ112" i="2"/>
  <c r="FJ180" i="2"/>
  <c r="FJ45" i="2"/>
  <c r="FJ87" i="2"/>
  <c r="FJ13" i="2"/>
  <c r="FJ167" i="2"/>
  <c r="FJ105" i="2"/>
  <c r="FJ182" i="2"/>
  <c r="FJ6" i="2"/>
  <c r="FJ128" i="2"/>
  <c r="FJ168" i="2"/>
  <c r="FJ51" i="2"/>
  <c r="FJ186" i="2"/>
  <c r="FJ122" i="2"/>
  <c r="FJ21" i="2"/>
  <c r="FJ148" i="2"/>
  <c r="FJ183" i="2"/>
  <c r="FJ68" i="2"/>
  <c r="FJ59" i="2"/>
  <c r="FJ79" i="2"/>
  <c r="FJ44" i="2"/>
  <c r="FJ142" i="2"/>
  <c r="FJ169" i="2"/>
  <c r="FJ83" i="2"/>
  <c r="FJ81" i="2"/>
  <c r="FJ97" i="2"/>
  <c r="FJ8" i="2"/>
  <c r="FJ64" i="2"/>
  <c r="FJ54" i="2"/>
  <c r="FJ198" i="2"/>
  <c r="FJ126" i="2"/>
  <c r="FJ158" i="2"/>
  <c r="FJ121" i="2"/>
  <c r="FJ100" i="2"/>
  <c r="FJ176" i="2"/>
  <c r="FJ62" i="2"/>
  <c r="FJ174" i="2"/>
  <c r="FJ162" i="2"/>
  <c r="FJ20" i="2"/>
  <c r="FJ71" i="2"/>
  <c r="FJ58" i="2"/>
  <c r="FJ55" i="2"/>
  <c r="FJ123" i="2"/>
  <c r="FJ94" i="2"/>
  <c r="FJ80" i="2"/>
  <c r="FJ61" i="2"/>
  <c r="FJ47" i="2"/>
  <c r="FJ43" i="2"/>
  <c r="FJ177" i="2"/>
  <c r="FJ178" i="2"/>
  <c r="FJ16" i="2"/>
  <c r="FJ161" i="2"/>
  <c r="FJ31" i="2"/>
  <c r="FJ144" i="2"/>
  <c r="FJ86" i="2"/>
  <c r="FJ120" i="2"/>
  <c r="FJ37" i="2"/>
  <c r="FJ153" i="2"/>
  <c r="FJ17" i="2"/>
  <c r="FJ160" i="2"/>
  <c r="FJ52" i="2"/>
  <c r="FJ36" i="2"/>
  <c r="FJ195" i="2"/>
  <c r="FJ12" i="2"/>
  <c r="FJ139" i="2"/>
  <c r="FJ4" i="2"/>
  <c r="FJ77" i="2"/>
  <c r="FJ130" i="2"/>
  <c r="FJ3" i="2"/>
  <c r="C13" i="4" s="1"/>
  <c r="E13" i="4" s="1"/>
  <c r="F13" i="4" s="1"/>
  <c r="G13" i="4" s="1"/>
  <c r="L13" i="4" s="1"/>
  <c r="FJ85" i="2"/>
  <c r="FJ48" i="2"/>
  <c r="FJ92" i="2"/>
  <c r="FJ172" i="2"/>
  <c r="FJ189" i="2"/>
  <c r="FJ42" i="2"/>
  <c r="FJ108" i="2"/>
  <c r="FJ194" i="2"/>
  <c r="FJ72" i="2"/>
  <c r="FJ78" i="2"/>
  <c r="FJ19" i="2"/>
  <c r="FJ103" i="2"/>
  <c r="FJ184" i="2"/>
  <c r="FJ56" i="2"/>
  <c r="FJ152" i="2"/>
  <c r="FJ154" i="2"/>
  <c r="FJ38" i="2"/>
  <c r="FJ110" i="2"/>
  <c r="FJ173" i="2"/>
  <c r="FJ117" i="2"/>
  <c r="FJ166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GE114" i="2" l="1"/>
  <c r="GE119" i="2"/>
  <c r="GE91" i="2"/>
  <c r="GE74" i="2"/>
  <c r="GE61" i="2"/>
  <c r="GE199" i="2"/>
  <c r="GE30" i="2"/>
  <c r="GE44" i="2"/>
  <c r="GE116" i="2"/>
  <c r="GE67" i="2"/>
  <c r="GE48" i="2"/>
  <c r="GE134" i="2"/>
  <c r="GE181" i="2"/>
  <c r="GE202" i="2"/>
  <c r="GE108" i="2"/>
  <c r="GE15" i="2"/>
  <c r="GE68" i="2"/>
  <c r="GE177" i="2"/>
  <c r="GE203" i="2"/>
  <c r="GE19" i="2"/>
  <c r="GE113" i="2"/>
  <c r="GE192" i="2"/>
  <c r="GE151" i="2"/>
  <c r="GE10" i="2"/>
  <c r="GE125" i="2"/>
  <c r="GE39" i="2"/>
  <c r="GE97" i="2"/>
  <c r="GE54" i="2"/>
  <c r="GE35" i="2"/>
  <c r="GE196" i="2"/>
  <c r="GE172" i="2"/>
  <c r="GE112" i="2"/>
  <c r="GE72" i="2"/>
  <c r="GE81" i="2"/>
  <c r="GE139" i="2"/>
  <c r="GE140" i="2"/>
  <c r="GE90" i="2"/>
  <c r="GE59" i="2"/>
  <c r="GE41" i="2"/>
  <c r="GE145" i="2"/>
  <c r="GE173" i="2"/>
  <c r="GE193" i="2"/>
  <c r="GE53" i="2"/>
  <c r="GE4" i="2"/>
  <c r="GE197" i="2"/>
  <c r="GE96" i="2"/>
  <c r="GE64" i="2"/>
  <c r="GE169" i="2"/>
  <c r="GE26" i="2"/>
  <c r="GE126" i="2"/>
  <c r="GE36" i="2"/>
  <c r="GE180" i="2"/>
  <c r="GE147" i="2"/>
  <c r="GE56" i="2"/>
  <c r="GE27" i="2"/>
  <c r="GE95" i="2"/>
  <c r="GE63" i="2"/>
  <c r="GE73" i="2"/>
  <c r="GE31" i="2"/>
  <c r="GE161" i="2"/>
  <c r="GE83" i="2"/>
  <c r="GE11" i="2"/>
  <c r="GE106" i="2"/>
  <c r="GE122" i="2"/>
  <c r="GE144" i="2"/>
  <c r="GE162" i="2"/>
  <c r="GE168" i="2"/>
  <c r="GE131" i="2"/>
  <c r="GE155" i="2"/>
  <c r="GE32" i="2"/>
  <c r="GE7" i="2"/>
  <c r="GE104" i="2"/>
  <c r="GE98" i="2"/>
  <c r="GE109" i="2"/>
  <c r="GE191" i="2"/>
  <c r="GE152" i="2"/>
  <c r="GE85" i="2"/>
  <c r="GE79" i="2"/>
  <c r="GE118" i="2"/>
  <c r="GE117" i="2"/>
  <c r="GE128" i="2"/>
  <c r="GE158" i="2"/>
  <c r="GE50" i="2"/>
  <c r="GE133" i="2"/>
  <c r="GE198" i="2"/>
  <c r="GE182" i="2"/>
  <c r="GE159" i="2"/>
  <c r="GE156" i="2"/>
  <c r="GE174" i="2"/>
  <c r="GE8" i="2"/>
  <c r="GE75" i="2"/>
  <c r="GE115" i="2"/>
  <c r="GE13" i="2"/>
  <c r="GE132" i="2"/>
  <c r="GE93" i="2"/>
  <c r="GE164" i="2"/>
  <c r="GE138" i="2"/>
  <c r="GE66" i="2"/>
  <c r="GE149" i="2"/>
  <c r="GE5" i="2"/>
  <c r="GE55" i="2"/>
  <c r="GE24" i="2"/>
  <c r="GE121" i="2"/>
  <c r="GE178" i="2"/>
  <c r="GE40" i="2"/>
  <c r="GE137" i="2"/>
  <c r="GE160" i="2"/>
  <c r="GE9" i="2"/>
  <c r="GE43" i="2"/>
  <c r="GE22" i="2"/>
  <c r="GE62" i="2"/>
  <c r="GE52" i="2"/>
  <c r="GE57" i="2"/>
  <c r="GE187" i="2"/>
  <c r="GE47" i="2"/>
  <c r="GE77" i="2"/>
  <c r="GE6" i="2"/>
  <c r="GE12" i="2"/>
  <c r="GE127" i="2"/>
  <c r="GE146" i="2"/>
  <c r="GE166" i="2"/>
  <c r="GE120" i="2"/>
  <c r="GE185" i="2"/>
  <c r="GE105" i="2"/>
  <c r="GE33" i="2"/>
  <c r="GE135" i="2"/>
  <c r="GE186" i="2"/>
  <c r="GE100" i="2"/>
  <c r="GE87" i="2"/>
  <c r="GE200" i="2"/>
  <c r="GE107" i="2"/>
  <c r="GE14" i="2"/>
  <c r="GE176" i="2"/>
  <c r="GE70" i="2"/>
  <c r="GE92" i="2"/>
  <c r="GE148" i="2"/>
  <c r="GE189" i="2"/>
  <c r="GE17" i="2"/>
  <c r="GE195" i="2"/>
  <c r="GE175" i="2"/>
  <c r="GE103" i="2"/>
  <c r="GE29" i="2"/>
  <c r="GE21" i="2"/>
  <c r="GE142" i="2"/>
  <c r="GE167" i="2"/>
  <c r="GE123" i="2"/>
  <c r="GE141" i="2"/>
  <c r="GE111" i="2"/>
  <c r="GE101" i="2"/>
  <c r="GE170" i="2"/>
  <c r="GE46" i="2"/>
  <c r="GE124" i="2"/>
  <c r="GE86" i="2"/>
  <c r="GE78" i="2"/>
  <c r="GE143" i="2"/>
  <c r="GE110" i="2"/>
  <c r="GE194" i="2"/>
  <c r="GE171" i="2"/>
  <c r="GE42" i="2"/>
  <c r="GE154" i="2"/>
  <c r="GE179" i="2"/>
  <c r="GE163" i="2"/>
  <c r="GE82" i="2"/>
  <c r="GE37" i="2"/>
  <c r="GE102" i="2"/>
  <c r="GE16" i="2"/>
  <c r="GE80" i="2"/>
  <c r="GE89" i="2"/>
  <c r="GE18" i="2"/>
  <c r="GE201" i="2"/>
  <c r="GE25" i="2"/>
  <c r="GE165" i="2"/>
  <c r="GE129" i="2"/>
  <c r="GE38" i="2"/>
  <c r="GE188" i="2"/>
  <c r="GE58" i="2"/>
  <c r="GE184" i="2"/>
  <c r="GE94" i="2"/>
  <c r="GE60" i="2"/>
  <c r="GE51" i="2"/>
  <c r="GE69" i="2"/>
  <c r="GE84" i="2"/>
  <c r="GE157" i="2"/>
  <c r="GE183" i="2"/>
  <c r="GE76" i="2"/>
  <c r="GE190" i="2"/>
  <c r="GE3" i="2"/>
  <c r="C14" i="4" s="1"/>
  <c r="E14" i="4" s="1"/>
  <c r="F14" i="4" s="1"/>
  <c r="G14" i="4" s="1"/>
  <c r="L14" i="4" s="1"/>
  <c r="GE71" i="2"/>
  <c r="GE49" i="2"/>
  <c r="GE20" i="2"/>
  <c r="GE130" i="2"/>
  <c r="GE45" i="2"/>
  <c r="GE136" i="2"/>
  <c r="GE28" i="2"/>
  <c r="GE99" i="2"/>
  <c r="GE153" i="2"/>
  <c r="GE34" i="2"/>
  <c r="GE65" i="2"/>
  <c r="GE88" i="2"/>
  <c r="GE23" i="2"/>
  <c r="GE150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<sst xmlns="http://schemas.openxmlformats.org/spreadsheetml/2006/main" count="1192" uniqueCount="328">
  <si>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</si>
  <si>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</si>
  <si>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</si>
  <si>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</si>
  <si>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</si>
  <si>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</si>
  <si>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</si>
  <si>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</si>
  <si>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</si>
  <si>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</si>
  <si>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</si>
  <si>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</si>
  <si>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</si>
  <si>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</si>
  <si>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</si>
  <si>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</si>
  <si>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</si>
  <si>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</si>
  <si>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</si>
  <si>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</si>
  <si>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</si>
  <si>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</si>
  <si>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</si>
  <si>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</si>
  <si>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</si>
  <si>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</si>
  <si>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</si>
  <si>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</si>
  <si>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</si>
  <si>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</si>
  <si>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</si>
  <si>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</si>
  <si>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</si>
  <si>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</si>
  <si>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</si>
  <si>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</si>
  <si>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</si>
  <si>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</si>
  <si>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</si>
  <si>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</si>
  <si>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</si>
  <si>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</si>
  <si>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</si>
  <si>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</si>
  <si>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</si>
  <si>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</si>
  <si>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</si>
  <si>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</si>
  <si>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</si>
  <si>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</si>
  <si>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</si>
  <si>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</si>
  <si>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</si>
  <si>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</si>
  <si>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</si>
  <si>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</si>
  <si>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</si>
  <si>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</si>
  <si>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</si>
  <si>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</si>
  <si>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</si>
  <si>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</si>
  <si>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</si>
  <si>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</si>
  <si>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</si>
  <si>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</si>
  <si>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</si>
  <si>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</si>
  <si>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</si>
  <si>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</si>
  <si>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</si>
  <si>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</si>
  <si>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</si>
  <si>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</si>
  <si>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</si>
  <si>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</si>
  <si>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</si>
  <si>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</si>
  <si>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</si>
  <si>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</si>
  <si>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</si>
  <si>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</si>
  <si>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</si>
  <si>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</si>
  <si>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</si>
  <si>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</si>
  <si>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</si>
  <si>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</si>
  <si>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</si>
  <si>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</si>
  <si>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</si>
  <si>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</si>
  <si>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</si>
  <si>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</si>
  <si>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</si>
  <si>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</si>
  <si>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</si>
  <si>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</si>
  <si>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</si>
  <si>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</si>
  <si>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</si>
  <si>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</si>
  <si>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</si>
  <si>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</si>
  <si>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</si>
  <si>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</si>
  <si>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</si>
  <si>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</si>
  <si>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</si>
  <si>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</si>
  <si>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</si>
  <si>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</si>
  <si>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</si>
  <si>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</si>
  <si>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</si>
  <si>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</si>
  <si>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</si>
  <si>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</si>
  <si>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</si>
  <si>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</si>
  <si>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</si>
  <si>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</si>
  <si>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</si>
  <si>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</si>
  <si>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</si>
  <si>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</si>
  <si>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</si>
  <si>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</si>
  <si>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</si>
  <si>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</si>
  <si>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</si>
  <si>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</si>
  <si>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</si>
  <si>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</si>
  <si>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</si>
  <si>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</si>
  <si>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</si>
  <si>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</si>
  <si>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</si>
  <si>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</si>
  <si>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</si>
  <si>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</si>
  <si>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</si>
  <si>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</si>
  <si>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</si>
  <si>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</si>
  <si>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</si>
  <si>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</si>
  <si>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</si>
  <si>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</si>
  <si>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</si>
  <si>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</si>
  <si>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</si>
  <si>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</si>
  <si>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</si>
  <si>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</si>
  <si>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</si>
  <si>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</si>
  <si>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</si>
  <si>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</si>
  <si>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</si>
  <si>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</si>
  <si>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</si>
  <si>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</si>
  <si>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</si>
  <si>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</si>
  <si>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</si>
  <si>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</si>
  <si>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</si>
  <si>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</si>
  <si>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</si>
  <si>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</si>
  <si>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</si>
  <si>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</si>
  <si>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</si>
  <si>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</si>
  <si>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</si>
  <si>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</si>
  <si>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</si>
  <si>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</si>
  <si>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</si>
  <si>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</si>
  <si>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</si>
  <si>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</si>
  <si>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</si>
  <si>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</si>
  <si>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</si>
  <si>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</si>
  <si>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</si>
  <si>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</si>
  <si>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</si>
  <si>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</si>
  <si>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</si>
  <si>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</si>
  <si>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</si>
  <si>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</si>
  <si>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</si>
  <si>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</si>
  <si>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</si>
  <si>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</si>
  <si>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</si>
  <si>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</si>
  <si>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</si>
  <si>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</si>
  <si>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</si>
  <si>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</si>
  <si>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</si>
  <si>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</si>
  <si>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</si>
  <si>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</si>
  <si>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</si>
  <si>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</si>
  <si>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</si>
  <si>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</si>
  <si>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</si>
  <si>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</si>
  <si>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</si>
  <si>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</si>
  <si>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</si>
  <si>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</si>
  <si>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</si>
  <si>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</si>
  <si>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</si>
  <si>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</si>
  <si>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</si>
  <si>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</si>
  <si>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</si>
  <si>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</si>
  <si>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</si>
  <si>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</si>
  <si>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</si>
  <si>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</si>
  <si>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</si>
  <si>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</si>
  <si>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</si>
  <si>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</si>
  <si>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</si>
  <si>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</si>
  <si>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</si>
  <si>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</si>
  <si>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</si>
  <si>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</si>
  <si>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</si>
  <si>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</si>
  <si>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</si>
  <si>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</si>
  <si>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</si>
  <si>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</si>
  <si>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</si>
  <si>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</si>
  <si>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</si>
  <si>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</si>
  <si>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</si>
  <si>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</si>
  <si>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</si>
  <si>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</si>
  <si>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</si>
  <si>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</si>
  <si>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</si>
  <si>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</si>
  <si>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</si>
  <si>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</si>
  <si>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</si>
  <si>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</si>
  <si>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</si>
  <si>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</si>
  <si>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</si>
  <si>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</si>
  <si>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</si>
  <si>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</si>
  <si>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</si>
  <si>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</si>
  <si>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</si>
  <si>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</si>
  <si>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</si>
  <si>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</si>
  <si>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</si>
  <si>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</si>
  <si>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</si>
  <si>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</si>
  <si>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</si>
  <si>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</si>
  <si>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</si>
  <si>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</si>
  <si>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</si>
  <si>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</si>
  <si>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</si>
  <si>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</si>
  <si>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</si>
  <si>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</si>
  <si>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</si>
  <si>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</si>
  <si>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</si>
  <si>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</si>
  <si>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</si>
  <si>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</si>
  <si>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</si>
  <si>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</si>
  <si>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</si>
  <si>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</si>
  <si>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</si>
  <si>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</si>
  <si>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</si>
  <si>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</si>
  <si>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</si>
  <si>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</si>
  <si>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</si>
  <si>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</si>
  <si>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</si>
  <si>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</si>
  <si>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</si>
  <si>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</si>
  <si>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</si>
  <si>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</si>
  <si>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</si>
  <si>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</si>
  <si>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</si>
  <si>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</si>
  <si>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</si>
  <si>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</si>
  <si>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</si>
  <si>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</si>
  <si>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</si>
  <si>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</si>
  <si>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</si>
  <si>
    <t>Classe 3/5</t>
  </si>
  <si>
    <t>Classe 2/5</t>
  </si>
  <si>
    <t>regroupe érable sycomore, plane, champêtre et tilleul à petites feuilles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</si>
</sst>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9" fillId="14" borderId="1" xfId="0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36" fillId="0" borderId="0" xfId="0" applyFont="1" applyAlignment="1" applyProtection="1">
      <alignment vertic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461.35077692036231</c:v>
                </c:pt>
                <c:pt idx="82">
                  <c:v>461.35077692036231</c:v>
                </c:pt>
                <c:pt idx="83">
                  <c:v>461.35077692036231</c:v>
                </c:pt>
                <c:pt idx="84">
                  <c:v>461.35077692036231</c:v>
                </c:pt>
                <c:pt idx="85">
                  <c:v>461.35077692036231</c:v>
                </c:pt>
                <c:pt idx="86">
                  <c:v>461.35077692036231</c:v>
                </c:pt>
                <c:pt idx="87">
                  <c:v>461.35077692036231</c:v>
                </c:pt>
                <c:pt idx="88">
                  <c:v>461.35077692036231</c:v>
                </c:pt>
                <c:pt idx="89">
                  <c:v>461.35077692036231</c:v>
                </c:pt>
                <c:pt idx="90">
                  <c:v>461.35077692036231</c:v>
                </c:pt>
                <c:pt idx="91">
                  <c:v>461.35077692036231</c:v>
                </c:pt>
                <c:pt idx="92">
                  <c:v>461.35077692036231</c:v>
                </c:pt>
                <c:pt idx="93">
                  <c:v>461.35077692036231</c:v>
                </c:pt>
                <c:pt idx="94">
                  <c:v>461.35077692036231</c:v>
                </c:pt>
                <c:pt idx="95">
                  <c:v>461.35077692036231</c:v>
                </c:pt>
                <c:pt idx="96">
                  <c:v>461.35077692036231</c:v>
                </c:pt>
                <c:pt idx="97">
                  <c:v>461.35077692036231</c:v>
                </c:pt>
                <c:pt idx="98">
                  <c:v>461.35077692036231</c:v>
                </c:pt>
                <c:pt idx="99">
                  <c:v>461.35077692036231</c:v>
                </c:pt>
                <c:pt idx="100">
                  <c:v>461.35077692036231</c:v>
                </c:pt>
                <c:pt idx="101">
                  <c:v>461.35077692036231</c:v>
                </c:pt>
                <c:pt idx="102">
                  <c:v>461.35077692036231</c:v>
                </c:pt>
                <c:pt idx="103">
                  <c:v>461.35077692036231</c:v>
                </c:pt>
                <c:pt idx="104">
                  <c:v>461.35077692036231</c:v>
                </c:pt>
                <c:pt idx="105">
                  <c:v>461.35077692036231</c:v>
                </c:pt>
                <c:pt idx="106">
                  <c:v>461.35077692036231</c:v>
                </c:pt>
                <c:pt idx="107">
                  <c:v>461.35077692036231</c:v>
                </c:pt>
                <c:pt idx="108">
                  <c:v>461.35077692036231</c:v>
                </c:pt>
                <c:pt idx="109">
                  <c:v>461.35077692036231</c:v>
                </c:pt>
                <c:pt idx="110">
                  <c:v>461.35077692036231</c:v>
                </c:pt>
                <c:pt idx="111">
                  <c:v>461.35077692036231</c:v>
                </c:pt>
                <c:pt idx="112">
                  <c:v>461.35077692036231</c:v>
                </c:pt>
                <c:pt idx="113">
                  <c:v>461.35077692036231</c:v>
                </c:pt>
                <c:pt idx="114">
                  <c:v>461.35077692036231</c:v>
                </c:pt>
                <c:pt idx="115">
                  <c:v>461.35077692036231</c:v>
                </c:pt>
                <c:pt idx="116">
                  <c:v>461.35077692036231</c:v>
                </c:pt>
                <c:pt idx="117">
                  <c:v>461.35077692036231</c:v>
                </c:pt>
                <c:pt idx="118">
                  <c:v>461.35077692036231</c:v>
                </c:pt>
                <c:pt idx="119">
                  <c:v>461.35077692036231</c:v>
                </c:pt>
                <c:pt idx="120">
                  <c:v>461.35077692036231</c:v>
                </c:pt>
                <c:pt idx="121">
                  <c:v>461.35077692036231</c:v>
                </c:pt>
                <c:pt idx="122">
                  <c:v>461.35077692036231</c:v>
                </c:pt>
                <c:pt idx="123">
                  <c:v>461.35077692036231</c:v>
                </c:pt>
                <c:pt idx="124">
                  <c:v>461.35077692036231</c:v>
                </c:pt>
                <c:pt idx="125">
                  <c:v>461.35077692036231</c:v>
                </c:pt>
                <c:pt idx="126">
                  <c:v>461.35077692036231</c:v>
                </c:pt>
                <c:pt idx="127">
                  <c:v>461.35077692036231</c:v>
                </c:pt>
                <c:pt idx="128">
                  <c:v>461.35077692036231</c:v>
                </c:pt>
                <c:pt idx="129">
                  <c:v>461.35077692036231</c:v>
                </c:pt>
                <c:pt idx="130">
                  <c:v>461.35077692036231</c:v>
                </c:pt>
                <c:pt idx="131">
                  <c:v>461.35077692036231</c:v>
                </c:pt>
                <c:pt idx="132">
                  <c:v>461.35077692036231</c:v>
                </c:pt>
                <c:pt idx="133">
                  <c:v>461.35077692036231</c:v>
                </c:pt>
                <c:pt idx="134">
                  <c:v>461.35077692036231</c:v>
                </c:pt>
                <c:pt idx="135">
                  <c:v>461.35077692036231</c:v>
                </c:pt>
                <c:pt idx="136">
                  <c:v>461.35077692036231</c:v>
                </c:pt>
                <c:pt idx="137">
                  <c:v>461.35077692036231</c:v>
                </c:pt>
                <c:pt idx="138">
                  <c:v>461.35077692036231</c:v>
                </c:pt>
                <c:pt idx="139">
                  <c:v>461.35077692036231</c:v>
                </c:pt>
                <c:pt idx="140">
                  <c:v>461.35077692036231</c:v>
                </c:pt>
                <c:pt idx="141">
                  <c:v>461.35077692036231</c:v>
                </c:pt>
                <c:pt idx="142">
                  <c:v>461.35077692036231</c:v>
                </c:pt>
                <c:pt idx="143">
                  <c:v>461.35077692036231</c:v>
                </c:pt>
                <c:pt idx="144">
                  <c:v>461.35077692036231</c:v>
                </c:pt>
                <c:pt idx="145">
                  <c:v>461.35077692036231</c:v>
                </c:pt>
                <c:pt idx="146">
                  <c:v>461.35077692036231</c:v>
                </c:pt>
                <c:pt idx="147">
                  <c:v>461.35077692036231</c:v>
                </c:pt>
                <c:pt idx="148">
                  <c:v>461.35077692036231</c:v>
                </c:pt>
                <c:pt idx="149">
                  <c:v>461.35077692036231</c:v>
                </c:pt>
                <c:pt idx="150">
                  <c:v>461.35077692036231</c:v>
                </c:pt>
                <c:pt idx="151">
                  <c:v>461.35077692036231</c:v>
                </c:pt>
                <c:pt idx="152">
                  <c:v>461.35077692036231</c:v>
                </c:pt>
                <c:pt idx="153">
                  <c:v>461.35077692036231</c:v>
                </c:pt>
                <c:pt idx="154">
                  <c:v>461.35077692036231</c:v>
                </c:pt>
                <c:pt idx="155">
                  <c:v>461.35077692036231</c:v>
                </c:pt>
                <c:pt idx="156">
                  <c:v>461.35077692036231</c:v>
                </c:pt>
                <c:pt idx="157">
                  <c:v>461.35077692036231</c:v>
                </c:pt>
                <c:pt idx="158">
                  <c:v>461.35077692036231</c:v>
                </c:pt>
                <c:pt idx="159">
                  <c:v>461.35077692036231</c:v>
                </c:pt>
                <c:pt idx="160">
                  <c:v>461.35077692036231</c:v>
                </c:pt>
                <c:pt idx="161">
                  <c:v>461.35077692036231</c:v>
                </c:pt>
                <c:pt idx="162">
                  <c:v>461.35077692036231</c:v>
                </c:pt>
                <c:pt idx="163">
                  <c:v>461.35077692036231</c:v>
                </c:pt>
                <c:pt idx="164">
                  <c:v>461.35077692036231</c:v>
                </c:pt>
                <c:pt idx="165">
                  <c:v>461.35077692036231</c:v>
                </c:pt>
                <c:pt idx="166">
                  <c:v>461.35077692036231</c:v>
                </c:pt>
                <c:pt idx="167">
                  <c:v>461.35077692036231</c:v>
                </c:pt>
                <c:pt idx="168">
                  <c:v>461.35077692036231</c:v>
                </c:pt>
                <c:pt idx="169">
                  <c:v>461.35077692036231</c:v>
                </c:pt>
                <c:pt idx="170">
                  <c:v>461.35077692036231</c:v>
                </c:pt>
                <c:pt idx="171">
                  <c:v>461.35077692036231</c:v>
                </c:pt>
                <c:pt idx="172">
                  <c:v>461.35077692036231</c:v>
                </c:pt>
                <c:pt idx="173">
                  <c:v>461.35077692036231</c:v>
                </c:pt>
                <c:pt idx="174">
                  <c:v>461.35077692036231</c:v>
                </c:pt>
                <c:pt idx="175">
                  <c:v>461.35077692036231</c:v>
                </c:pt>
                <c:pt idx="176">
                  <c:v>461.35077692036231</c:v>
                </c:pt>
                <c:pt idx="177">
                  <c:v>461.35077692036231</c:v>
                </c:pt>
                <c:pt idx="178">
                  <c:v>461.35077692036231</c:v>
                </c:pt>
                <c:pt idx="179">
                  <c:v>461.35077692036231</c:v>
                </c:pt>
                <c:pt idx="180">
                  <c:v>461.35077692036231</c:v>
                </c:pt>
                <c:pt idx="181">
                  <c:v>461.35077692036231</c:v>
                </c:pt>
                <c:pt idx="182">
                  <c:v>461.35077692036231</c:v>
                </c:pt>
                <c:pt idx="183">
                  <c:v>461.35077692036231</c:v>
                </c:pt>
                <c:pt idx="184">
                  <c:v>461.35077692036231</c:v>
                </c:pt>
                <c:pt idx="185">
                  <c:v>461.35077692036231</c:v>
                </c:pt>
                <c:pt idx="186">
                  <c:v>461.35077692036231</c:v>
                </c:pt>
                <c:pt idx="187">
                  <c:v>461.35077692036231</c:v>
                </c:pt>
                <c:pt idx="188">
                  <c:v>461.35077692036231</c:v>
                </c:pt>
                <c:pt idx="189">
                  <c:v>461.35077692036231</c:v>
                </c:pt>
                <c:pt idx="190">
                  <c:v>461.35077692036231</c:v>
                </c:pt>
                <c:pt idx="191">
                  <c:v>461.35077692036231</c:v>
                </c:pt>
                <c:pt idx="192">
                  <c:v>461.35077692036231</c:v>
                </c:pt>
                <c:pt idx="193">
                  <c:v>461.35077692036231</c:v>
                </c:pt>
                <c:pt idx="194">
                  <c:v>461.35077692036231</c:v>
                </c:pt>
                <c:pt idx="195">
                  <c:v>461.35077692036231</c:v>
                </c:pt>
                <c:pt idx="196">
                  <c:v>461.35077692036231</c:v>
                </c:pt>
                <c:pt idx="197">
                  <c:v>461.35077692036231</c:v>
                </c:pt>
                <c:pt idx="198">
                  <c:v>461.35077692036231</c:v>
                </c:pt>
                <c:pt idx="199">
                  <c:v>461.35077692036231</c:v>
                </c:pt>
                <c:pt idx="200">
                  <c:v>461.35077692036231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1.9405002084632177</c:v>
                </c:pt>
                <c:pt idx="2">
                  <c:v>2.5342746942235426</c:v>
                </c:pt>
                <c:pt idx="3">
                  <c:v>3.3104831003041575</c:v>
                </c:pt>
                <c:pt idx="4">
                  <c:v>4.3253930761653416</c:v>
                </c:pt>
                <c:pt idx="5">
                  <c:v>5.65268907429805</c:v>
                </c:pt>
                <c:pt idx="6">
                  <c:v>7.3888813777618081</c:v>
                </c:pt>
                <c:pt idx="7">
                  <c:v>9.6604001100909187</c:v>
                </c:pt>
                <c:pt idx="8">
                  <c:v>12.632900587886214</c:v>
                </c:pt>
                <c:pt idx="9">
                  <c:v>16.523471220100078</c:v>
                </c:pt>
                <c:pt idx="10">
                  <c:v>21.616651745437053</c:v>
                </c:pt>
                <c:pt idx="11">
                  <c:v>28.285454206137654</c:v>
                </c:pt>
                <c:pt idx="12">
                  <c:v>37.01895308731946</c:v>
                </c:pt>
                <c:pt idx="13">
                  <c:v>48.458502658509225</c:v>
                </c:pt>
                <c:pt idx="14">
                  <c:v>63.445285769076754</c:v>
                </c:pt>
                <c:pt idx="15">
                  <c:v>83.082747886080952</c:v>
                </c:pt>
                <c:pt idx="16">
                  <c:v>99.463845481227054</c:v>
                </c:pt>
                <c:pt idx="17">
                  <c:v>115.77785737197435</c:v>
                </c:pt>
                <c:pt idx="18">
                  <c:v>132.03559267089474</c:v>
                </c:pt>
                <c:pt idx="19">
                  <c:v>148.24496805506811</c:v>
                </c:pt>
                <c:pt idx="20">
                  <c:v>164.41202153837858</c:v>
                </c:pt>
                <c:pt idx="21">
                  <c:v>138.27532721770669</c:v>
                </c:pt>
                <c:pt idx="22">
                  <c:v>158.19860641046549</c:v>
                </c:pt>
                <c:pt idx="23">
                  <c:v>178.06232809976675</c:v>
                </c:pt>
                <c:pt idx="24">
                  <c:v>197.8740758947919</c:v>
                </c:pt>
                <c:pt idx="25">
                  <c:v>217.63978751401132</c:v>
                </c:pt>
                <c:pt idx="26">
                  <c:v>178.80616524292711</c:v>
                </c:pt>
                <c:pt idx="27">
                  <c:v>200.59447324032212</c:v>
                </c:pt>
                <c:pt idx="28">
                  <c:v>222.32792135889133</c:v>
                </c:pt>
                <c:pt idx="29">
                  <c:v>244.01262705741215</c:v>
                </c:pt>
                <c:pt idx="30">
                  <c:v>265.6535305121829</c:v>
                </c:pt>
                <c:pt idx="31">
                  <c:v>228.24653971138062</c:v>
                </c:pt>
                <c:pt idx="32">
                  <c:v>251.14891265590609</c:v>
                </c:pt>
                <c:pt idx="33">
                  <c:v>274.00394782084345</c:v>
                </c:pt>
                <c:pt idx="34">
                  <c:v>296.81614745645351</c:v>
                </c:pt>
                <c:pt idx="35">
                  <c:v>319.58926505280823</c:v>
                </c:pt>
                <c:pt idx="36">
                  <c:v>282.59399476816583</c:v>
                </c:pt>
                <c:pt idx="37">
                  <c:v>305.6359985149756</c:v>
                </c:pt>
                <c:pt idx="38">
                  <c:v>328.6393922074094</c:v>
                </c:pt>
                <c:pt idx="39">
                  <c:v>351.60725672766921</c:v>
                </c:pt>
                <c:pt idx="40">
                  <c:v>374.54223769767958</c:v>
                </c:pt>
                <c:pt idx="41">
                  <c:v>337.68401938128414</c:v>
                </c:pt>
                <c:pt idx="42">
                  <c:v>360.63864570434475</c:v>
                </c:pt>
                <c:pt idx="43">
                  <c:v>383.56132980166285</c:v>
                </c:pt>
                <c:pt idx="44">
                  <c:v>406.45424763968214</c:v>
                </c:pt>
                <c:pt idx="45">
                  <c:v>429.3193102010203</c:v>
                </c:pt>
                <c:pt idx="46">
                  <c:v>391.60149271750106</c:v>
                </c:pt>
                <c:pt idx="47">
                  <c:v>413.51125124927194</c:v>
                </c:pt>
                <c:pt idx="48">
                  <c:v>435.39597412497324</c:v>
                </c:pt>
                <c:pt idx="49">
                  <c:v>457.25709576545188</c:v>
                </c:pt>
                <c:pt idx="50">
                  <c:v>479.09590234004378</c:v>
                </c:pt>
                <c:pt idx="51">
                  <c:v>440.49896397601566</c:v>
                </c:pt>
                <c:pt idx="52">
                  <c:v>461.38387629336717</c:v>
                </c:pt>
                <c:pt idx="53">
                  <c:v>482.24862214241739</c:v>
                </c:pt>
                <c:pt idx="54">
                  <c:v>503.09419611924926</c:v>
                </c:pt>
                <c:pt idx="55">
                  <c:v>523.92150373805168</c:v>
                </c:pt>
                <c:pt idx="56">
                  <c:v>486.61320422350633</c:v>
                </c:pt>
                <c:pt idx="57">
                  <c:v>506.24366075178114</c:v>
                </c:pt>
                <c:pt idx="58">
                  <c:v>525.85802900590761</c:v>
                </c:pt>
                <c:pt idx="59">
                  <c:v>545.45699307846292</c:v>
                </c:pt>
                <c:pt idx="60">
                  <c:v>565.04118393005353</c:v>
                </c:pt>
                <c:pt idx="61">
                  <c:v>531.18270081556818</c:v>
                </c:pt>
                <c:pt idx="62">
                  <c:v>549.32662698500246</c:v>
                </c:pt>
                <c:pt idx="63">
                  <c:v>567.45798988344666</c:v>
                </c:pt>
                <c:pt idx="64">
                  <c:v>585.57724715974553</c:v>
                </c:pt>
                <c:pt idx="65">
                  <c:v>603.68482585273193</c:v>
                </c:pt>
                <c:pt idx="66">
                  <c:v>571.80769908018658</c:v>
                </c:pt>
                <c:pt idx="67">
                  <c:v>588.23374634202014</c:v>
                </c:pt>
                <c:pt idx="68">
                  <c:v>604.65024314080028</c:v>
                </c:pt>
                <c:pt idx="69">
                  <c:v>621.05748512511468</c:v>
                </c:pt>
                <c:pt idx="70">
                  <c:v>637.45575105951809</c:v>
                </c:pt>
                <c:pt idx="71">
                  <c:v>608.99422554493106</c:v>
                </c:pt>
                <c:pt idx="72">
                  <c:v>623.95194130360017</c:v>
                </c:pt>
                <c:pt idx="73">
                  <c:v>638.90223484373837</c:v>
                </c:pt>
                <c:pt idx="74">
                  <c:v>653.84530420719193</c:v>
                </c:pt>
                <c:pt idx="75">
                  <c:v>668.78133765133032</c:v>
                </c:pt>
                <c:pt idx="76">
                  <c:v>642.51814872296188</c:v>
                </c:pt>
                <c:pt idx="77">
                  <c:v>656.01387029597765</c:v>
                </c:pt>
                <c:pt idx="78">
                  <c:v>669.50387362527647</c:v>
                </c:pt>
                <c:pt idx="79">
                  <c:v>682.98829010089491</c:v>
                </c:pt>
                <c:pt idx="80">
                  <c:v>696.46724550471288</c:v>
                </c:pt>
                <c:pt idx="81">
                  <c:v>673.59794188932813</c:v>
                </c:pt>
                <c:pt idx="82">
                  <c:v>685.63636918902193</c:v>
                </c:pt>
                <c:pt idx="83">
                  <c:v>697.67046222084502</c:v>
                </c:pt>
                <c:pt idx="84">
                  <c:v>709.70030624614719</c:v>
                </c:pt>
                <c:pt idx="85">
                  <c:v>721.72598340162915</c:v>
                </c:pt>
                <c:pt idx="86">
                  <c:v>701.03924325890966</c:v>
                </c:pt>
                <c:pt idx="87">
                  <c:v>711.62469251277707</c:v>
                </c:pt>
                <c:pt idx="88">
                  <c:v>722.20692494656532</c:v>
                </c:pt>
                <c:pt idx="89">
                  <c:v>732.78599431905741</c:v>
                </c:pt>
                <c:pt idx="90">
                  <c:v>743.36195271095983</c:v>
                </c:pt>
                <c:pt idx="91">
                  <c:v>724.61153474599348</c:v>
                </c:pt>
                <c:pt idx="92">
                  <c:v>733.5071806367481</c:v>
                </c:pt>
                <c:pt idx="93">
                  <c:v>742.40062916240424</c:v>
                </c:pt>
                <c:pt idx="94">
                  <c:v>751.29191034812402</c:v>
                </c:pt>
                <c:pt idx="95">
                  <c:v>760.18105345069318</c:v>
                </c:pt>
                <c:pt idx="96">
                  <c:v>744.08292877222436</c:v>
                </c:pt>
                <c:pt idx="97">
                  <c:v>752.01273094425926</c:v>
                </c:pt>
                <c:pt idx="98">
                  <c:v>759.9408342037417</c:v>
                </c:pt>
                <c:pt idx="99">
                  <c:v>767.86725876835874</c:v>
                </c:pt>
                <c:pt idx="100">
                  <c:v>775.79202440449023</c:v>
                </c:pt>
                <c:pt idx="101">
                  <c:v>755.37637499683808</c:v>
                </c:pt>
                <c:pt idx="102">
                  <c:v>755.37637499683808</c:v>
                </c:pt>
                <c:pt idx="103">
                  <c:v>755.37637499683808</c:v>
                </c:pt>
                <c:pt idx="104">
                  <c:v>755.37637499683808</c:v>
                </c:pt>
                <c:pt idx="105">
                  <c:v>755.37637499683808</c:v>
                </c:pt>
                <c:pt idx="106">
                  <c:v>755.37637499683808</c:v>
                </c:pt>
                <c:pt idx="107">
                  <c:v>755.37637499683808</c:v>
                </c:pt>
                <c:pt idx="108">
                  <c:v>755.37637499683808</c:v>
                </c:pt>
                <c:pt idx="109">
                  <c:v>755.37637499683808</c:v>
                </c:pt>
                <c:pt idx="110">
                  <c:v>755.37637499683808</c:v>
                </c:pt>
                <c:pt idx="111">
                  <c:v>755.37637499683808</c:v>
                </c:pt>
                <c:pt idx="112">
                  <c:v>755.37637499683808</c:v>
                </c:pt>
                <c:pt idx="113">
                  <c:v>755.37637499683808</c:v>
                </c:pt>
                <c:pt idx="114">
                  <c:v>755.37637499683808</c:v>
                </c:pt>
                <c:pt idx="115">
                  <c:v>755.37637499683808</c:v>
                </c:pt>
                <c:pt idx="116">
                  <c:v>755.37637499683808</c:v>
                </c:pt>
                <c:pt idx="117">
                  <c:v>755.37637499683808</c:v>
                </c:pt>
                <c:pt idx="118">
                  <c:v>755.37637499683808</c:v>
                </c:pt>
                <c:pt idx="119">
                  <c:v>755.37637499683808</c:v>
                </c:pt>
                <c:pt idx="120">
                  <c:v>755.37637499683808</c:v>
                </c:pt>
                <c:pt idx="121">
                  <c:v>755.37637499683808</c:v>
                </c:pt>
                <c:pt idx="122">
                  <c:v>755.37637499683808</c:v>
                </c:pt>
                <c:pt idx="123">
                  <c:v>755.37637499683808</c:v>
                </c:pt>
                <c:pt idx="124">
                  <c:v>755.37637499683808</c:v>
                </c:pt>
                <c:pt idx="125">
                  <c:v>755.37637499683808</c:v>
                </c:pt>
                <c:pt idx="126">
                  <c:v>755.37637499683808</c:v>
                </c:pt>
                <c:pt idx="127">
                  <c:v>755.37637499683808</c:v>
                </c:pt>
                <c:pt idx="128">
                  <c:v>755.37637499683808</c:v>
                </c:pt>
                <c:pt idx="129">
                  <c:v>755.37637499683808</c:v>
                </c:pt>
                <c:pt idx="130">
                  <c:v>755.37637499683808</c:v>
                </c:pt>
                <c:pt idx="131">
                  <c:v>755.37637499683808</c:v>
                </c:pt>
                <c:pt idx="132">
                  <c:v>755.37637499683808</c:v>
                </c:pt>
                <c:pt idx="133">
                  <c:v>755.37637499683808</c:v>
                </c:pt>
                <c:pt idx="134">
                  <c:v>755.37637499683808</c:v>
                </c:pt>
                <c:pt idx="135">
                  <c:v>755.37637499683808</c:v>
                </c:pt>
                <c:pt idx="136">
                  <c:v>755.37637499683808</c:v>
                </c:pt>
                <c:pt idx="137">
                  <c:v>755.37637499683808</c:v>
                </c:pt>
                <c:pt idx="138">
                  <c:v>755.37637499683808</c:v>
                </c:pt>
                <c:pt idx="139">
                  <c:v>755.37637499683808</c:v>
                </c:pt>
                <c:pt idx="140">
                  <c:v>755.37637499683808</c:v>
                </c:pt>
                <c:pt idx="141">
                  <c:v>755.37637499683808</c:v>
                </c:pt>
                <c:pt idx="142">
                  <c:v>755.37637499683808</c:v>
                </c:pt>
                <c:pt idx="143">
                  <c:v>755.37637499683808</c:v>
                </c:pt>
                <c:pt idx="144">
                  <c:v>755.37637499683808</c:v>
                </c:pt>
                <c:pt idx="145">
                  <c:v>755.37637499683808</c:v>
                </c:pt>
                <c:pt idx="146">
                  <c:v>755.37637499683808</c:v>
                </c:pt>
                <c:pt idx="147">
                  <c:v>755.37637499683808</c:v>
                </c:pt>
                <c:pt idx="148">
                  <c:v>755.37637499683808</c:v>
                </c:pt>
                <c:pt idx="149">
                  <c:v>755.37637499683808</c:v>
                </c:pt>
                <c:pt idx="150">
                  <c:v>755.37637499683808</c:v>
                </c:pt>
                <c:pt idx="151">
                  <c:v>755.37637499683808</c:v>
                </c:pt>
                <c:pt idx="152">
                  <c:v>755.37637499683808</c:v>
                </c:pt>
                <c:pt idx="153">
                  <c:v>755.37637499683808</c:v>
                </c:pt>
                <c:pt idx="154">
                  <c:v>755.37637499683808</c:v>
                </c:pt>
                <c:pt idx="155">
                  <c:v>755.37637499683808</c:v>
                </c:pt>
                <c:pt idx="156">
                  <c:v>755.37637499683808</c:v>
                </c:pt>
                <c:pt idx="157">
                  <c:v>755.37637499683808</c:v>
                </c:pt>
                <c:pt idx="158">
                  <c:v>755.37637499683808</c:v>
                </c:pt>
                <c:pt idx="159">
                  <c:v>755.37637499683808</c:v>
                </c:pt>
                <c:pt idx="160">
                  <c:v>755.37637499683808</c:v>
                </c:pt>
                <c:pt idx="161">
                  <c:v>755.37637499683808</c:v>
                </c:pt>
                <c:pt idx="162">
                  <c:v>755.37637499683808</c:v>
                </c:pt>
                <c:pt idx="163">
                  <c:v>755.37637499683808</c:v>
                </c:pt>
                <c:pt idx="164">
                  <c:v>755.37637499683808</c:v>
                </c:pt>
                <c:pt idx="165">
                  <c:v>755.37637499683808</c:v>
                </c:pt>
                <c:pt idx="166">
                  <c:v>755.37637499683808</c:v>
                </c:pt>
                <c:pt idx="167">
                  <c:v>755.37637499683808</c:v>
                </c:pt>
                <c:pt idx="168">
                  <c:v>755.37637499683808</c:v>
                </c:pt>
                <c:pt idx="169">
                  <c:v>755.37637499683808</c:v>
                </c:pt>
                <c:pt idx="170">
                  <c:v>755.37637499683808</c:v>
                </c:pt>
                <c:pt idx="171">
                  <c:v>755.37637499683808</c:v>
                </c:pt>
                <c:pt idx="172">
                  <c:v>755.37637499683808</c:v>
                </c:pt>
                <c:pt idx="173">
                  <c:v>755.37637499683808</c:v>
                </c:pt>
                <c:pt idx="174">
                  <c:v>755.37637499683808</c:v>
                </c:pt>
                <c:pt idx="175">
                  <c:v>755.37637499683808</c:v>
                </c:pt>
                <c:pt idx="176">
                  <c:v>755.37637499683808</c:v>
                </c:pt>
                <c:pt idx="177">
                  <c:v>755.37637499683808</c:v>
                </c:pt>
                <c:pt idx="178">
                  <c:v>755.37637499683808</c:v>
                </c:pt>
                <c:pt idx="179">
                  <c:v>755.37637499683808</c:v>
                </c:pt>
                <c:pt idx="180">
                  <c:v>755.37637499683808</c:v>
                </c:pt>
                <c:pt idx="181">
                  <c:v>755.37637499683808</c:v>
                </c:pt>
                <c:pt idx="182">
                  <c:v>755.37637499683808</c:v>
                </c:pt>
                <c:pt idx="183">
                  <c:v>755.37637499683808</c:v>
                </c:pt>
                <c:pt idx="184">
                  <c:v>755.37637499683808</c:v>
                </c:pt>
                <c:pt idx="185">
                  <c:v>755.37637499683808</c:v>
                </c:pt>
                <c:pt idx="186">
                  <c:v>755.37637499683808</c:v>
                </c:pt>
                <c:pt idx="187">
                  <c:v>755.37637499683808</c:v>
                </c:pt>
                <c:pt idx="188">
                  <c:v>755.37637499683808</c:v>
                </c:pt>
                <c:pt idx="189">
                  <c:v>755.37637499683808</c:v>
                </c:pt>
                <c:pt idx="190">
                  <c:v>755.37637499683808</c:v>
                </c:pt>
                <c:pt idx="191">
                  <c:v>755.37637499683808</c:v>
                </c:pt>
                <c:pt idx="192">
                  <c:v>755.37637499683808</c:v>
                </c:pt>
                <c:pt idx="193">
                  <c:v>755.37637499683808</c:v>
                </c:pt>
                <c:pt idx="194">
                  <c:v>755.37637499683808</c:v>
                </c:pt>
                <c:pt idx="195">
                  <c:v>755.37637499683808</c:v>
                </c:pt>
                <c:pt idx="196">
                  <c:v>755.37637499683808</c:v>
                </c:pt>
                <c:pt idx="197">
                  <c:v>755.37637499683808</c:v>
                </c:pt>
                <c:pt idx="198">
                  <c:v>755.37637499683808</c:v>
                </c:pt>
                <c:pt idx="199">
                  <c:v>755.37637499683808</c:v>
                </c:pt>
                <c:pt idx="200">
                  <c:v>755.37637499683808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1.5981789482134554</c:v>
                </c:pt>
                <c:pt idx="2">
                  <c:v>1.979037902376011</c:v>
                </c:pt>
                <c:pt idx="3">
                  <c:v>2.451016405864511</c:v>
                </c:pt>
                <c:pt idx="4">
                  <c:v>3.0359955795096312</c:v>
                </c:pt>
                <c:pt idx="5">
                  <c:v>3.7611292624383155</c:v>
                </c:pt>
                <c:pt idx="6">
                  <c:v>4.6601186883099537</c:v>
                </c:pt>
                <c:pt idx="7">
                  <c:v>5.7747962323891082</c:v>
                </c:pt>
                <c:pt idx="8">
                  <c:v>7.157093374898313</c:v>
                </c:pt>
                <c:pt idx="9">
                  <c:v>8.8714863420777714</c:v>
                </c:pt>
                <c:pt idx="10">
                  <c:v>10.99803567682982</c:v>
                </c:pt>
                <c:pt idx="11">
                  <c:v>13.636164351066482</c:v>
                </c:pt>
                <c:pt idx="12">
                  <c:v>16.909354325853016</c:v>
                </c:pt>
                <c:pt idx="13">
                  <c:v>20.970985391703682</c:v>
                </c:pt>
                <c:pt idx="14">
                  <c:v>26.011594795324655</c:v>
                </c:pt>
                <c:pt idx="15">
                  <c:v>32.267904215385791</c:v>
                </c:pt>
                <c:pt idx="16">
                  <c:v>54.463949623252098</c:v>
                </c:pt>
                <c:pt idx="17">
                  <c:v>76.416212094350598</c:v>
                </c:pt>
                <c:pt idx="18">
                  <c:v>98.206305683392088</c:v>
                </c:pt>
                <c:pt idx="19">
                  <c:v>119.87566335807645</c:v>
                </c:pt>
                <c:pt idx="20">
                  <c:v>141.44929836468313</c:v>
                </c:pt>
                <c:pt idx="21">
                  <c:v>164.01679023914144</c:v>
                </c:pt>
                <c:pt idx="22">
                  <c:v>189.71887042598266</c:v>
                </c:pt>
                <c:pt idx="23">
                  <c:v>215.33973734828658</c:v>
                </c:pt>
                <c:pt idx="24">
                  <c:v>240.89041694345076</c:v>
                </c:pt>
                <c:pt idx="25">
                  <c:v>266.37940035905461</c:v>
                </c:pt>
                <c:pt idx="26">
                  <c:v>226.41977005952666</c:v>
                </c:pt>
                <c:pt idx="27">
                  <c:v>253.4297575784752</c:v>
                </c:pt>
                <c:pt idx="28">
                  <c:v>280.37453835320702</c:v>
                </c:pt>
                <c:pt idx="29">
                  <c:v>307.26125704961692</c:v>
                </c:pt>
                <c:pt idx="30">
                  <c:v>334.09570522026894</c:v>
                </c:pt>
                <c:pt idx="31">
                  <c:v>294.56571161233137</c:v>
                </c:pt>
                <c:pt idx="32">
                  <c:v>321.63548420960041</c:v>
                </c:pt>
                <c:pt idx="33">
                  <c:v>348.65487112007776</c:v>
                </c:pt>
                <c:pt idx="34">
                  <c:v>375.62832253568928</c:v>
                </c:pt>
                <c:pt idx="35">
                  <c:v>402.55959756962392</c:v>
                </c:pt>
                <c:pt idx="36">
                  <c:v>362.56854195764805</c:v>
                </c:pt>
                <c:pt idx="37">
                  <c:v>388.88861904330997</c:v>
                </c:pt>
                <c:pt idx="38">
                  <c:v>415.17004228873458</c:v>
                </c:pt>
                <c:pt idx="39">
                  <c:v>441.41560010211202</c:v>
                </c:pt>
                <c:pt idx="40">
                  <c:v>467.62772250158554</c:v>
                </c:pt>
                <c:pt idx="41">
                  <c:v>426.93233435914334</c:v>
                </c:pt>
                <c:pt idx="42">
                  <c:v>452.32377596053817</c:v>
                </c:pt>
                <c:pt idx="43">
                  <c:v>477.68475215405095</c:v>
                </c:pt>
                <c:pt idx="44">
                  <c:v>503.0171061015933</c:v>
                </c:pt>
                <c:pt idx="45">
                  <c:v>528.32248035244027</c:v>
                </c:pt>
                <c:pt idx="46">
                  <c:v>486.27156248327083</c:v>
                </c:pt>
                <c:pt idx="47">
                  <c:v>510.13036611805182</c:v>
                </c:pt>
                <c:pt idx="48">
                  <c:v>533.96560421835511</c:v>
                </c:pt>
                <c:pt idx="49">
                  <c:v>557.77847556120776</c:v>
                </c:pt>
                <c:pt idx="50">
                  <c:v>581.57006832354853</c:v>
                </c:pt>
                <c:pt idx="51">
                  <c:v>538.3538327139205</c:v>
                </c:pt>
                <c:pt idx="52">
                  <c:v>560.91014171181746</c:v>
                </c:pt>
                <c:pt idx="53">
                  <c:v>583.44747558540769</c:v>
                </c:pt>
                <c:pt idx="54">
                  <c:v>605.96666967184558</c:v>
                </c:pt>
                <c:pt idx="55">
                  <c:v>628.46849222433877</c:v>
                </c:pt>
                <c:pt idx="56">
                  <c:v>584.07324999823152</c:v>
                </c:pt>
                <c:pt idx="57">
                  <c:v>605.34137448398985</c:v>
                </c:pt>
                <c:pt idx="58">
                  <c:v>626.59398617826639</c:v>
                </c:pt>
                <c:pt idx="59">
                  <c:v>647.83168475558409</c:v>
                </c:pt>
                <c:pt idx="60">
                  <c:v>669.05502740777422</c:v>
                </c:pt>
                <c:pt idx="61">
                  <c:v>632.84189046529514</c:v>
                </c:pt>
                <c:pt idx="62">
                  <c:v>652.8266841537062</c:v>
                </c:pt>
                <c:pt idx="63">
                  <c:v>672.79887257534381</c:v>
                </c:pt>
                <c:pt idx="64">
                  <c:v>692.75888222353922</c:v>
                </c:pt>
                <c:pt idx="65">
                  <c:v>712.70711303683856</c:v>
                </c:pt>
                <c:pt idx="66">
                  <c:v>679.45354204930482</c:v>
                </c:pt>
                <c:pt idx="67">
                  <c:v>698.16267499045614</c:v>
                </c:pt>
                <c:pt idx="68">
                  <c:v>716.86154710952496</c:v>
                </c:pt>
                <c:pt idx="69">
                  <c:v>735.55046347762755</c:v>
                </c:pt>
                <c:pt idx="70">
                  <c:v>754.22971241532696</c:v>
                </c:pt>
                <c:pt idx="71">
                  <c:v>721.84621940078762</c:v>
                </c:pt>
                <c:pt idx="72">
                  <c:v>739.28707771280403</c:v>
                </c:pt>
                <c:pt idx="73">
                  <c:v>756.7195633449237</c:v>
                </c:pt>
                <c:pt idx="74">
                  <c:v>774.14389615731625</c:v>
                </c:pt>
                <c:pt idx="75">
                  <c:v>791.56028531601498</c:v>
                </c:pt>
                <c:pt idx="76">
                  <c:v>759.20924790824392</c:v>
                </c:pt>
                <c:pt idx="77">
                  <c:v>775.59556251247534</c:v>
                </c:pt>
                <c:pt idx="78">
                  <c:v>791.97486608659426</c:v>
                </c:pt>
                <c:pt idx="79">
                  <c:v>808.34732391686293</c:v>
                </c:pt>
                <c:pt idx="80">
                  <c:v>824.71309405479712</c:v>
                </c:pt>
                <c:pt idx="81">
                  <c:v>777.04717382690842</c:v>
                </c:pt>
                <c:pt idx="82">
                  <c:v>777.04717382690842</c:v>
                </c:pt>
                <c:pt idx="83">
                  <c:v>777.04717382690842</c:v>
                </c:pt>
                <c:pt idx="84">
                  <c:v>777.04717382690842</c:v>
                </c:pt>
                <c:pt idx="85">
                  <c:v>777.04717382690842</c:v>
                </c:pt>
                <c:pt idx="86">
                  <c:v>777.04717382690842</c:v>
                </c:pt>
                <c:pt idx="87">
                  <c:v>777.04717382690842</c:v>
                </c:pt>
                <c:pt idx="88">
                  <c:v>777.04717382690842</c:v>
                </c:pt>
                <c:pt idx="89">
                  <c:v>777.04717382690842</c:v>
                </c:pt>
                <c:pt idx="90">
                  <c:v>777.04717382690842</c:v>
                </c:pt>
                <c:pt idx="91">
                  <c:v>777.04717382690842</c:v>
                </c:pt>
                <c:pt idx="92">
                  <c:v>777.04717382690842</c:v>
                </c:pt>
                <c:pt idx="93">
                  <c:v>777.04717382690842</c:v>
                </c:pt>
                <c:pt idx="94">
                  <c:v>777.04717382690842</c:v>
                </c:pt>
                <c:pt idx="95">
                  <c:v>777.04717382690842</c:v>
                </c:pt>
                <c:pt idx="96">
                  <c:v>777.04717382690842</c:v>
                </c:pt>
                <c:pt idx="97">
                  <c:v>777.04717382690842</c:v>
                </c:pt>
                <c:pt idx="98">
                  <c:v>777.04717382690842</c:v>
                </c:pt>
                <c:pt idx="99">
                  <c:v>777.04717382690842</c:v>
                </c:pt>
                <c:pt idx="100">
                  <c:v>777.04717382690842</c:v>
                </c:pt>
                <c:pt idx="101">
                  <c:v>777.04717382690842</c:v>
                </c:pt>
                <c:pt idx="102">
                  <c:v>777.04717382690842</c:v>
                </c:pt>
                <c:pt idx="103">
                  <c:v>777.04717382690842</c:v>
                </c:pt>
                <c:pt idx="104">
                  <c:v>777.04717382690842</c:v>
                </c:pt>
                <c:pt idx="105">
                  <c:v>777.04717382690842</c:v>
                </c:pt>
                <c:pt idx="106">
                  <c:v>777.04717382690842</c:v>
                </c:pt>
                <c:pt idx="107">
                  <c:v>777.04717382690842</c:v>
                </c:pt>
                <c:pt idx="108">
                  <c:v>777.04717382690842</c:v>
                </c:pt>
                <c:pt idx="109">
                  <c:v>777.04717382690842</c:v>
                </c:pt>
                <c:pt idx="110">
                  <c:v>777.04717382690842</c:v>
                </c:pt>
                <c:pt idx="111">
                  <c:v>777.04717382690842</c:v>
                </c:pt>
                <c:pt idx="112">
                  <c:v>777.04717382690842</c:v>
                </c:pt>
                <c:pt idx="113">
                  <c:v>777.04717382690842</c:v>
                </c:pt>
                <c:pt idx="114">
                  <c:v>777.04717382690842</c:v>
                </c:pt>
                <c:pt idx="115">
                  <c:v>777.04717382690842</c:v>
                </c:pt>
                <c:pt idx="116">
                  <c:v>777.04717382690842</c:v>
                </c:pt>
                <c:pt idx="117">
                  <c:v>777.04717382690842</c:v>
                </c:pt>
                <c:pt idx="118">
                  <c:v>777.04717382690842</c:v>
                </c:pt>
                <c:pt idx="119">
                  <c:v>777.04717382690842</c:v>
                </c:pt>
                <c:pt idx="120">
                  <c:v>777.04717382690842</c:v>
                </c:pt>
                <c:pt idx="121">
                  <c:v>777.04717382690842</c:v>
                </c:pt>
                <c:pt idx="122">
                  <c:v>777.04717382690842</c:v>
                </c:pt>
                <c:pt idx="123">
                  <c:v>777.04717382690842</c:v>
                </c:pt>
                <c:pt idx="124">
                  <c:v>777.04717382690842</c:v>
                </c:pt>
                <c:pt idx="125">
                  <c:v>777.04717382690842</c:v>
                </c:pt>
                <c:pt idx="126">
                  <c:v>777.04717382690842</c:v>
                </c:pt>
                <c:pt idx="127">
                  <c:v>777.04717382690842</c:v>
                </c:pt>
                <c:pt idx="128">
                  <c:v>777.04717382690842</c:v>
                </c:pt>
                <c:pt idx="129">
                  <c:v>777.04717382690842</c:v>
                </c:pt>
                <c:pt idx="130">
                  <c:v>777.04717382690842</c:v>
                </c:pt>
                <c:pt idx="131">
                  <c:v>777.04717382690842</c:v>
                </c:pt>
                <c:pt idx="132">
                  <c:v>777.04717382690842</c:v>
                </c:pt>
                <c:pt idx="133">
                  <c:v>777.04717382690842</c:v>
                </c:pt>
                <c:pt idx="134">
                  <c:v>777.04717382690842</c:v>
                </c:pt>
                <c:pt idx="135">
                  <c:v>777.04717382690842</c:v>
                </c:pt>
                <c:pt idx="136">
                  <c:v>777.04717382690842</c:v>
                </c:pt>
                <c:pt idx="137">
                  <c:v>777.04717382690842</c:v>
                </c:pt>
                <c:pt idx="138">
                  <c:v>777.04717382690842</c:v>
                </c:pt>
                <c:pt idx="139">
                  <c:v>777.04717382690842</c:v>
                </c:pt>
                <c:pt idx="140">
                  <c:v>777.04717382690842</c:v>
                </c:pt>
                <c:pt idx="141">
                  <c:v>777.04717382690842</c:v>
                </c:pt>
                <c:pt idx="142">
                  <c:v>777.04717382690842</c:v>
                </c:pt>
                <c:pt idx="143">
                  <c:v>777.04717382690842</c:v>
                </c:pt>
                <c:pt idx="144">
                  <c:v>777.04717382690842</c:v>
                </c:pt>
                <c:pt idx="145">
                  <c:v>777.04717382690842</c:v>
                </c:pt>
                <c:pt idx="146">
                  <c:v>777.04717382690842</c:v>
                </c:pt>
                <c:pt idx="147">
                  <c:v>777.04717382690842</c:v>
                </c:pt>
                <c:pt idx="148">
                  <c:v>777.04717382690842</c:v>
                </c:pt>
                <c:pt idx="149">
                  <c:v>777.04717382690842</c:v>
                </c:pt>
                <c:pt idx="150">
                  <c:v>777.04717382690842</c:v>
                </c:pt>
                <c:pt idx="151">
                  <c:v>777.04717382690842</c:v>
                </c:pt>
                <c:pt idx="152">
                  <c:v>777.04717382690842</c:v>
                </c:pt>
                <c:pt idx="153">
                  <c:v>777.04717382690842</c:v>
                </c:pt>
                <c:pt idx="154">
                  <c:v>777.04717382690842</c:v>
                </c:pt>
                <c:pt idx="155">
                  <c:v>777.04717382690842</c:v>
                </c:pt>
                <c:pt idx="156">
                  <c:v>777.04717382690842</c:v>
                </c:pt>
                <c:pt idx="157">
                  <c:v>777.04717382690842</c:v>
                </c:pt>
                <c:pt idx="158">
                  <c:v>777.04717382690842</c:v>
                </c:pt>
                <c:pt idx="159">
                  <c:v>777.04717382690842</c:v>
                </c:pt>
                <c:pt idx="160">
                  <c:v>777.04717382690842</c:v>
                </c:pt>
                <c:pt idx="161">
                  <c:v>777.04717382690842</c:v>
                </c:pt>
                <c:pt idx="162">
                  <c:v>777.04717382690842</c:v>
                </c:pt>
                <c:pt idx="163">
                  <c:v>777.04717382690842</c:v>
                </c:pt>
                <c:pt idx="164">
                  <c:v>777.04717382690842</c:v>
                </c:pt>
                <c:pt idx="165">
                  <c:v>777.04717382690842</c:v>
                </c:pt>
                <c:pt idx="166">
                  <c:v>777.04717382690842</c:v>
                </c:pt>
                <c:pt idx="167">
                  <c:v>777.04717382690842</c:v>
                </c:pt>
                <c:pt idx="168">
                  <c:v>777.04717382690842</c:v>
                </c:pt>
                <c:pt idx="169">
                  <c:v>777.04717382690842</c:v>
                </c:pt>
                <c:pt idx="170">
                  <c:v>777.04717382690842</c:v>
                </c:pt>
                <c:pt idx="171">
                  <c:v>777.04717382690842</c:v>
                </c:pt>
                <c:pt idx="172">
                  <c:v>777.04717382690842</c:v>
                </c:pt>
                <c:pt idx="173">
                  <c:v>777.04717382690842</c:v>
                </c:pt>
                <c:pt idx="174">
                  <c:v>777.04717382690842</c:v>
                </c:pt>
                <c:pt idx="175">
                  <c:v>777.04717382690842</c:v>
                </c:pt>
                <c:pt idx="176">
                  <c:v>777.04717382690842</c:v>
                </c:pt>
                <c:pt idx="177">
                  <c:v>777.04717382690842</c:v>
                </c:pt>
                <c:pt idx="178">
                  <c:v>777.04717382690842</c:v>
                </c:pt>
                <c:pt idx="179">
                  <c:v>777.04717382690842</c:v>
                </c:pt>
                <c:pt idx="180">
                  <c:v>777.04717382690842</c:v>
                </c:pt>
                <c:pt idx="181">
                  <c:v>777.04717382690842</c:v>
                </c:pt>
                <c:pt idx="182">
                  <c:v>777.04717382690842</c:v>
                </c:pt>
                <c:pt idx="183">
                  <c:v>777.04717382690842</c:v>
                </c:pt>
                <c:pt idx="184">
                  <c:v>777.04717382690842</c:v>
                </c:pt>
                <c:pt idx="185">
                  <c:v>777.04717382690842</c:v>
                </c:pt>
                <c:pt idx="186">
                  <c:v>777.04717382690842</c:v>
                </c:pt>
                <c:pt idx="187">
                  <c:v>777.04717382690842</c:v>
                </c:pt>
                <c:pt idx="188">
                  <c:v>777.04717382690842</c:v>
                </c:pt>
                <c:pt idx="189">
                  <c:v>777.04717382690842</c:v>
                </c:pt>
                <c:pt idx="190">
                  <c:v>777.04717382690842</c:v>
                </c:pt>
                <c:pt idx="191">
                  <c:v>777.04717382690842</c:v>
                </c:pt>
                <c:pt idx="192">
                  <c:v>777.04717382690842</c:v>
                </c:pt>
                <c:pt idx="193">
                  <c:v>777.04717382690842</c:v>
                </c:pt>
                <c:pt idx="194">
                  <c:v>777.04717382690842</c:v>
                </c:pt>
                <c:pt idx="195">
                  <c:v>777.04717382690842</c:v>
                </c:pt>
                <c:pt idx="196">
                  <c:v>777.04717382690842</c:v>
                </c:pt>
                <c:pt idx="197">
                  <c:v>777.04717382690842</c:v>
                </c:pt>
                <c:pt idx="198">
                  <c:v>777.04717382690842</c:v>
                </c:pt>
                <c:pt idx="199">
                  <c:v>777.04717382690842</c:v>
                </c:pt>
                <c:pt idx="200">
                  <c:v>777.04717382690842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1.8484248076506884</c:v>
                </c:pt>
                <c:pt idx="2">
                  <c:v>2.2993086877950155</c:v>
                </c:pt>
                <c:pt idx="3">
                  <c:v>2.8606083045908743</c:v>
                </c:pt>
                <c:pt idx="4">
                  <c:v>3.5594631093134943</c:v>
                </c:pt>
                <c:pt idx="5">
                  <c:v>4.4297063136388788</c:v>
                </c:pt>
                <c:pt idx="6">
                  <c:v>5.5135211579076433</c:v>
                </c:pt>
                <c:pt idx="7">
                  <c:v>6.8635082103092886</c:v>
                </c:pt>
                <c:pt idx="8">
                  <c:v>8.5452659779732247</c:v>
                </c:pt>
                <c:pt idx="9">
                  <c:v>10.640612625523474</c:v>
                </c:pt>
                <c:pt idx="10">
                  <c:v>13.251608490262926</c:v>
                </c:pt>
                <c:pt idx="11">
                  <c:v>16.505578953891739</c:v>
                </c:pt>
                <c:pt idx="12">
                  <c:v>20.561387077712027</c:v>
                </c:pt>
                <c:pt idx="13">
                  <c:v>25.617267732723846</c:v>
                </c:pt>
                <c:pt idx="14">
                  <c:v>31.920612887101196</c:v>
                </c:pt>
                <c:pt idx="15">
                  <c:v>39.780195166606241</c:v>
                </c:pt>
                <c:pt idx="16">
                  <c:v>48.511851028356631</c:v>
                </c:pt>
                <c:pt idx="17">
                  <c:v>57.201606373894329</c:v>
                </c:pt>
                <c:pt idx="18">
                  <c:v>65.856755599682003</c:v>
                </c:pt>
                <c:pt idx="19">
                  <c:v>74.482504555801583</c:v>
                </c:pt>
                <c:pt idx="20">
                  <c:v>83.082747886080909</c:v>
                </c:pt>
                <c:pt idx="21">
                  <c:v>95.186564611203039</c:v>
                </c:pt>
                <c:pt idx="22">
                  <c:v>107.25199434892041</c:v>
                </c:pt>
                <c:pt idx="23">
                  <c:v>119.2839721559787</c:v>
                </c:pt>
                <c:pt idx="24">
                  <c:v>131.2863527262397</c:v>
                </c:pt>
                <c:pt idx="25">
                  <c:v>143.26222643790689</c:v>
                </c:pt>
                <c:pt idx="26">
                  <c:v>116.77986587022592</c:v>
                </c:pt>
                <c:pt idx="27">
                  <c:v>131.53611082594333</c:v>
                </c:pt>
                <c:pt idx="28">
                  <c:v>146.25235982825419</c:v>
                </c:pt>
                <c:pt idx="29">
                  <c:v>160.93320819167806</c:v>
                </c:pt>
                <c:pt idx="30">
                  <c:v>175.58234248151425</c:v>
                </c:pt>
                <c:pt idx="31">
                  <c:v>148.49399891517206</c:v>
                </c:pt>
                <c:pt idx="32">
                  <c:v>164.90885188200605</c:v>
                </c:pt>
                <c:pt idx="33">
                  <c:v>181.28510032150919</c:v>
                </c:pt>
                <c:pt idx="34">
                  <c:v>197.62672417984052</c:v>
                </c:pt>
                <c:pt idx="35">
                  <c:v>213.93699051541512</c:v>
                </c:pt>
                <c:pt idx="36">
                  <c:v>187.97429569366702</c:v>
                </c:pt>
                <c:pt idx="37">
                  <c:v>205.29133473515955</c:v>
                </c:pt>
                <c:pt idx="38">
                  <c:v>222.5746019435239</c:v>
                </c:pt>
                <c:pt idx="39">
                  <c:v>239.82708913523371</c:v>
                </c:pt>
                <c:pt idx="40">
                  <c:v>257.05132222059092</c:v>
                </c:pt>
                <c:pt idx="41">
                  <c:v>231.6974387813334</c:v>
                </c:pt>
                <c:pt idx="42">
                  <c:v>249.4267874236505</c:v>
                </c:pt>
                <c:pt idx="43">
                  <c:v>267.1275579972193</c:v>
                </c:pt>
                <c:pt idx="44">
                  <c:v>284.80191046071667</c:v>
                </c:pt>
                <c:pt idx="45">
                  <c:v>302.45171473102818</c:v>
                </c:pt>
                <c:pt idx="46">
                  <c:v>276.94977849512776</c:v>
                </c:pt>
                <c:pt idx="47">
                  <c:v>294.36515915007521</c:v>
                </c:pt>
                <c:pt idx="48">
                  <c:v>311.75755551250023</c:v>
                </c:pt>
                <c:pt idx="49">
                  <c:v>329.12843003230114</c:v>
                </c:pt>
                <c:pt idx="50">
                  <c:v>346.47907819091398</c:v>
                </c:pt>
                <c:pt idx="51">
                  <c:v>320.32326822394992</c:v>
                </c:pt>
                <c:pt idx="52">
                  <c:v>336.95087205446185</c:v>
                </c:pt>
                <c:pt idx="53">
                  <c:v>353.56041573390172</c:v>
                </c:pt>
                <c:pt idx="54">
                  <c:v>370.15286693478953</c:v>
                </c:pt>
                <c:pt idx="55">
                  <c:v>386.72909950918751</c:v>
                </c:pt>
                <c:pt idx="56">
                  <c:v>360.15059022500054</c:v>
                </c:pt>
                <c:pt idx="57">
                  <c:v>376.24891171301982</c:v>
                </c:pt>
                <c:pt idx="58">
                  <c:v>392.33223782427882</c:v>
                </c:pt>
                <c:pt idx="59">
                  <c:v>408.40126967874517</c:v>
                </c:pt>
                <c:pt idx="60">
                  <c:v>424.45664873445111</c:v>
                </c:pt>
                <c:pt idx="61">
                  <c:v>396.47257093559011</c:v>
                </c:pt>
                <c:pt idx="62">
                  <c:v>411.07809777850656</c:v>
                </c:pt>
                <c:pt idx="63">
                  <c:v>425.67242592235567</c:v>
                </c:pt>
                <c:pt idx="64">
                  <c:v>440.25599332987895</c:v>
                </c:pt>
                <c:pt idx="65">
                  <c:v>454.82920658695593</c:v>
                </c:pt>
                <c:pt idx="66">
                  <c:v>428.10375641326391</c:v>
                </c:pt>
                <c:pt idx="67">
                  <c:v>441.47081784175998</c:v>
                </c:pt>
                <c:pt idx="68">
                  <c:v>454.82920658695593</c:v>
                </c:pt>
                <c:pt idx="69">
                  <c:v>468.17921322374508</c:v>
                </c:pt>
                <c:pt idx="70">
                  <c:v>481.52111040625704</c:v>
                </c:pt>
                <c:pt idx="71">
                  <c:v>457.25709576545165</c:v>
                </c:pt>
                <c:pt idx="72">
                  <c:v>469.39244410483207</c:v>
                </c:pt>
                <c:pt idx="73">
                  <c:v>481.52111040625704</c:v>
                </c:pt>
                <c:pt idx="74">
                  <c:v>493.64328668822776</c:v>
                </c:pt>
                <c:pt idx="75">
                  <c:v>505.75915477017446</c:v>
                </c:pt>
                <c:pt idx="76">
                  <c:v>483.94605890429233</c:v>
                </c:pt>
                <c:pt idx="77">
                  <c:v>494.85515444943547</c:v>
                </c:pt>
                <c:pt idx="78">
                  <c:v>505.75915477017446</c:v>
                </c:pt>
                <c:pt idx="79">
                  <c:v>516.65818520348489</c:v>
                </c:pt>
                <c:pt idx="80">
                  <c:v>527.55236536708901</c:v>
                </c:pt>
                <c:pt idx="81">
                  <c:v>507.93935454019044</c:v>
                </c:pt>
                <c:pt idx="82">
                  <c:v>517.38461348648968</c:v>
                </c:pt>
                <c:pt idx="83">
                  <c:v>526.82623526820396</c:v>
                </c:pt>
                <c:pt idx="84">
                  <c:v>536.26429426694915</c:v>
                </c:pt>
                <c:pt idx="85">
                  <c:v>545.69886203239605</c:v>
                </c:pt>
                <c:pt idx="86">
                  <c:v>528.52050609816683</c:v>
                </c:pt>
                <c:pt idx="87">
                  <c:v>536.74820258504189</c:v>
                </c:pt>
                <c:pt idx="88">
                  <c:v>544.97324841623652</c:v>
                </c:pt>
                <c:pt idx="89">
                  <c:v>553.19568924579846</c:v>
                </c:pt>
                <c:pt idx="90">
                  <c:v>561.41556925969508</c:v>
                </c:pt>
                <c:pt idx="91">
                  <c:v>548.11742801289074</c:v>
                </c:pt>
                <c:pt idx="92">
                  <c:v>555.37178727229377</c:v>
                </c:pt>
                <c:pt idx="93">
                  <c:v>562.62416175853048</c:v>
                </c:pt>
                <c:pt idx="94">
                  <c:v>569.87458067024056</c:v>
                </c:pt>
                <c:pt idx="95">
                  <c:v>577.12307240231848</c:v>
                </c:pt>
                <c:pt idx="96">
                  <c:v>565.04118393005365</c:v>
                </c:pt>
                <c:pt idx="97">
                  <c:v>571.08279570212278</c:v>
                </c:pt>
                <c:pt idx="98">
                  <c:v>577.12307240231848</c:v>
                </c:pt>
                <c:pt idx="99">
                  <c:v>583.1620299792811</c:v>
                </c:pt>
                <c:pt idx="100">
                  <c:v>589.1996840242922</c:v>
                </c:pt>
                <c:pt idx="101">
                  <c:v>574.70712090201857</c:v>
                </c:pt>
                <c:pt idx="102">
                  <c:v>574.70712090201857</c:v>
                </c:pt>
                <c:pt idx="103">
                  <c:v>574.70712090201857</c:v>
                </c:pt>
                <c:pt idx="104">
                  <c:v>574.70712090201857</c:v>
                </c:pt>
                <c:pt idx="105">
                  <c:v>574.70712090201857</c:v>
                </c:pt>
                <c:pt idx="106">
                  <c:v>574.70712090201857</c:v>
                </c:pt>
                <c:pt idx="107">
                  <c:v>574.70712090201857</c:v>
                </c:pt>
                <c:pt idx="108">
                  <c:v>574.70712090201857</c:v>
                </c:pt>
                <c:pt idx="109">
                  <c:v>574.70712090201857</c:v>
                </c:pt>
                <c:pt idx="110">
                  <c:v>574.70712090201857</c:v>
                </c:pt>
                <c:pt idx="111">
                  <c:v>574.70712090201857</c:v>
                </c:pt>
                <c:pt idx="112">
                  <c:v>574.70712090201857</c:v>
                </c:pt>
                <c:pt idx="113">
                  <c:v>574.70712090201857</c:v>
                </c:pt>
                <c:pt idx="114">
                  <c:v>574.70712090201857</c:v>
                </c:pt>
                <c:pt idx="115">
                  <c:v>574.70712090201857</c:v>
                </c:pt>
                <c:pt idx="116">
                  <c:v>574.70712090201857</c:v>
                </c:pt>
                <c:pt idx="117">
                  <c:v>574.70712090201857</c:v>
                </c:pt>
                <c:pt idx="118">
                  <c:v>574.70712090201857</c:v>
                </c:pt>
                <c:pt idx="119">
                  <c:v>574.70712090201857</c:v>
                </c:pt>
                <c:pt idx="120">
                  <c:v>574.70712090201857</c:v>
                </c:pt>
                <c:pt idx="121">
                  <c:v>574.70712090201857</c:v>
                </c:pt>
                <c:pt idx="122">
                  <c:v>574.70712090201857</c:v>
                </c:pt>
                <c:pt idx="123">
                  <c:v>574.70712090201857</c:v>
                </c:pt>
                <c:pt idx="124">
                  <c:v>574.70712090201857</c:v>
                </c:pt>
                <c:pt idx="125">
                  <c:v>574.70712090201857</c:v>
                </c:pt>
                <c:pt idx="126">
                  <c:v>574.70712090201857</c:v>
                </c:pt>
                <c:pt idx="127">
                  <c:v>574.70712090201857</c:v>
                </c:pt>
                <c:pt idx="128">
                  <c:v>574.70712090201857</c:v>
                </c:pt>
                <c:pt idx="129">
                  <c:v>574.70712090201857</c:v>
                </c:pt>
                <c:pt idx="130">
                  <c:v>574.70712090201857</c:v>
                </c:pt>
                <c:pt idx="131">
                  <c:v>574.70712090201857</c:v>
                </c:pt>
                <c:pt idx="132">
                  <c:v>574.70712090201857</c:v>
                </c:pt>
                <c:pt idx="133">
                  <c:v>574.70712090201857</c:v>
                </c:pt>
                <c:pt idx="134">
                  <c:v>574.70712090201857</c:v>
                </c:pt>
                <c:pt idx="135">
                  <c:v>574.70712090201857</c:v>
                </c:pt>
                <c:pt idx="136">
                  <c:v>574.70712090201857</c:v>
                </c:pt>
                <c:pt idx="137">
                  <c:v>574.70712090201857</c:v>
                </c:pt>
                <c:pt idx="138">
                  <c:v>574.70712090201857</c:v>
                </c:pt>
                <c:pt idx="139">
                  <c:v>574.70712090201857</c:v>
                </c:pt>
                <c:pt idx="140">
                  <c:v>574.70712090201857</c:v>
                </c:pt>
                <c:pt idx="141">
                  <c:v>574.70712090201857</c:v>
                </c:pt>
                <c:pt idx="142">
                  <c:v>574.70712090201857</c:v>
                </c:pt>
                <c:pt idx="143">
                  <c:v>574.70712090201857</c:v>
                </c:pt>
                <c:pt idx="144">
                  <c:v>574.70712090201857</c:v>
                </c:pt>
                <c:pt idx="145">
                  <c:v>574.70712090201857</c:v>
                </c:pt>
                <c:pt idx="146">
                  <c:v>574.70712090201857</c:v>
                </c:pt>
                <c:pt idx="147">
                  <c:v>574.70712090201857</c:v>
                </c:pt>
                <c:pt idx="148">
                  <c:v>574.70712090201857</c:v>
                </c:pt>
                <c:pt idx="149">
                  <c:v>574.70712090201857</c:v>
                </c:pt>
                <c:pt idx="150">
                  <c:v>574.70712090201857</c:v>
                </c:pt>
                <c:pt idx="151">
                  <c:v>574.70712090201857</c:v>
                </c:pt>
                <c:pt idx="152">
                  <c:v>574.70712090201857</c:v>
                </c:pt>
                <c:pt idx="153">
                  <c:v>574.70712090201857</c:v>
                </c:pt>
                <c:pt idx="154">
                  <c:v>574.70712090201857</c:v>
                </c:pt>
                <c:pt idx="155">
                  <c:v>574.70712090201857</c:v>
                </c:pt>
                <c:pt idx="156">
                  <c:v>574.70712090201857</c:v>
                </c:pt>
                <c:pt idx="157">
                  <c:v>574.70712090201857</c:v>
                </c:pt>
                <c:pt idx="158">
                  <c:v>574.70712090201857</c:v>
                </c:pt>
                <c:pt idx="159">
                  <c:v>574.70712090201857</c:v>
                </c:pt>
                <c:pt idx="160">
                  <c:v>574.70712090201857</c:v>
                </c:pt>
                <c:pt idx="161">
                  <c:v>574.70712090201857</c:v>
                </c:pt>
                <c:pt idx="162">
                  <c:v>574.70712090201857</c:v>
                </c:pt>
                <c:pt idx="163">
                  <c:v>574.70712090201857</c:v>
                </c:pt>
                <c:pt idx="164">
                  <c:v>574.70712090201857</c:v>
                </c:pt>
                <c:pt idx="165">
                  <c:v>574.70712090201857</c:v>
                </c:pt>
                <c:pt idx="166">
                  <c:v>574.70712090201857</c:v>
                </c:pt>
                <c:pt idx="167">
                  <c:v>574.70712090201857</c:v>
                </c:pt>
                <c:pt idx="168">
                  <c:v>574.70712090201857</c:v>
                </c:pt>
                <c:pt idx="169">
                  <c:v>574.70712090201857</c:v>
                </c:pt>
                <c:pt idx="170">
                  <c:v>574.70712090201857</c:v>
                </c:pt>
                <c:pt idx="171">
                  <c:v>574.70712090201857</c:v>
                </c:pt>
                <c:pt idx="172">
                  <c:v>574.70712090201857</c:v>
                </c:pt>
                <c:pt idx="173">
                  <c:v>574.70712090201857</c:v>
                </c:pt>
                <c:pt idx="174">
                  <c:v>574.70712090201857</c:v>
                </c:pt>
                <c:pt idx="175">
                  <c:v>574.70712090201857</c:v>
                </c:pt>
                <c:pt idx="176">
                  <c:v>574.70712090201857</c:v>
                </c:pt>
                <c:pt idx="177">
                  <c:v>574.70712090201857</c:v>
                </c:pt>
                <c:pt idx="178">
                  <c:v>574.70712090201857</c:v>
                </c:pt>
                <c:pt idx="179">
                  <c:v>574.70712090201857</c:v>
                </c:pt>
                <c:pt idx="180">
                  <c:v>574.70712090201857</c:v>
                </c:pt>
                <c:pt idx="181">
                  <c:v>574.70712090201857</c:v>
                </c:pt>
                <c:pt idx="182">
                  <c:v>574.70712090201857</c:v>
                </c:pt>
                <c:pt idx="183">
                  <c:v>574.70712090201857</c:v>
                </c:pt>
                <c:pt idx="184">
                  <c:v>574.70712090201857</c:v>
                </c:pt>
                <c:pt idx="185">
                  <c:v>574.70712090201857</c:v>
                </c:pt>
                <c:pt idx="186">
                  <c:v>574.70712090201857</c:v>
                </c:pt>
                <c:pt idx="187">
                  <c:v>574.70712090201857</c:v>
                </c:pt>
                <c:pt idx="188">
                  <c:v>574.70712090201857</c:v>
                </c:pt>
                <c:pt idx="189">
                  <c:v>574.70712090201857</c:v>
                </c:pt>
                <c:pt idx="190">
                  <c:v>574.70712090201857</c:v>
                </c:pt>
                <c:pt idx="191">
                  <c:v>574.70712090201857</c:v>
                </c:pt>
                <c:pt idx="192">
                  <c:v>574.70712090201857</c:v>
                </c:pt>
                <c:pt idx="193">
                  <c:v>574.70712090201857</c:v>
                </c:pt>
                <c:pt idx="194">
                  <c:v>574.70712090201857</c:v>
                </c:pt>
                <c:pt idx="195">
                  <c:v>574.70712090201857</c:v>
                </c:pt>
                <c:pt idx="196">
                  <c:v>574.70712090201857</c:v>
                </c:pt>
                <c:pt idx="197">
                  <c:v>574.70712090201857</c:v>
                </c:pt>
                <c:pt idx="198">
                  <c:v>574.70712090201857</c:v>
                </c:pt>
                <c:pt idx="199">
                  <c:v>574.70712090201857</c:v>
                </c:pt>
                <c:pt idx="200">
                  <c:v>574.70712090201857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548.96387316130563</c:v>
                </c:pt>
                <c:pt idx="82">
                  <c:v>548.96387316130563</c:v>
                </c:pt>
                <c:pt idx="83">
                  <c:v>548.96387316130563</c:v>
                </c:pt>
                <c:pt idx="84">
                  <c:v>548.96387316130563</c:v>
                </c:pt>
                <c:pt idx="85">
                  <c:v>548.96387316130563</c:v>
                </c:pt>
                <c:pt idx="86">
                  <c:v>548.96387316130563</c:v>
                </c:pt>
                <c:pt idx="87">
                  <c:v>548.96387316130563</c:v>
                </c:pt>
                <c:pt idx="88">
                  <c:v>548.96387316130563</c:v>
                </c:pt>
                <c:pt idx="89">
                  <c:v>548.96387316130563</c:v>
                </c:pt>
                <c:pt idx="90">
                  <c:v>548.96387316130563</c:v>
                </c:pt>
                <c:pt idx="91">
                  <c:v>548.96387316130563</c:v>
                </c:pt>
                <c:pt idx="92">
                  <c:v>548.96387316130563</c:v>
                </c:pt>
                <c:pt idx="93">
                  <c:v>548.96387316130563</c:v>
                </c:pt>
                <c:pt idx="94">
                  <c:v>548.96387316130563</c:v>
                </c:pt>
                <c:pt idx="95">
                  <c:v>548.96387316130563</c:v>
                </c:pt>
                <c:pt idx="96">
                  <c:v>548.96387316130563</c:v>
                </c:pt>
                <c:pt idx="97">
                  <c:v>548.96387316130563</c:v>
                </c:pt>
                <c:pt idx="98">
                  <c:v>548.96387316130563</c:v>
                </c:pt>
                <c:pt idx="99">
                  <c:v>548.96387316130563</c:v>
                </c:pt>
                <c:pt idx="100">
                  <c:v>548.96387316130563</c:v>
                </c:pt>
                <c:pt idx="101">
                  <c:v>548.96387316130563</c:v>
                </c:pt>
                <c:pt idx="102">
                  <c:v>548.96387316130563</c:v>
                </c:pt>
                <c:pt idx="103">
                  <c:v>548.96387316130563</c:v>
                </c:pt>
                <c:pt idx="104">
                  <c:v>548.96387316130563</c:v>
                </c:pt>
                <c:pt idx="105">
                  <c:v>548.96387316130563</c:v>
                </c:pt>
                <c:pt idx="106">
                  <c:v>548.96387316130563</c:v>
                </c:pt>
                <c:pt idx="107">
                  <c:v>548.96387316130563</c:v>
                </c:pt>
                <c:pt idx="108">
                  <c:v>548.96387316130563</c:v>
                </c:pt>
                <c:pt idx="109">
                  <c:v>548.96387316130563</c:v>
                </c:pt>
                <c:pt idx="110">
                  <c:v>548.96387316130563</c:v>
                </c:pt>
                <c:pt idx="111">
                  <c:v>548.96387316130563</c:v>
                </c:pt>
                <c:pt idx="112">
                  <c:v>548.96387316130563</c:v>
                </c:pt>
                <c:pt idx="113">
                  <c:v>548.96387316130563</c:v>
                </c:pt>
                <c:pt idx="114">
                  <c:v>548.96387316130563</c:v>
                </c:pt>
                <c:pt idx="115">
                  <c:v>548.96387316130563</c:v>
                </c:pt>
                <c:pt idx="116">
                  <c:v>548.96387316130563</c:v>
                </c:pt>
                <c:pt idx="117">
                  <c:v>548.96387316130563</c:v>
                </c:pt>
                <c:pt idx="118">
                  <c:v>548.96387316130563</c:v>
                </c:pt>
                <c:pt idx="119">
                  <c:v>548.96387316130563</c:v>
                </c:pt>
                <c:pt idx="120">
                  <c:v>548.96387316130563</c:v>
                </c:pt>
                <c:pt idx="121">
                  <c:v>548.96387316130563</c:v>
                </c:pt>
                <c:pt idx="122">
                  <c:v>548.96387316130563</c:v>
                </c:pt>
                <c:pt idx="123">
                  <c:v>548.96387316130563</c:v>
                </c:pt>
                <c:pt idx="124">
                  <c:v>548.96387316130563</c:v>
                </c:pt>
                <c:pt idx="125">
                  <c:v>548.96387316130563</c:v>
                </c:pt>
                <c:pt idx="126">
                  <c:v>548.96387316130563</c:v>
                </c:pt>
                <c:pt idx="127">
                  <c:v>548.96387316130563</c:v>
                </c:pt>
                <c:pt idx="128">
                  <c:v>548.96387316130563</c:v>
                </c:pt>
                <c:pt idx="129">
                  <c:v>548.96387316130563</c:v>
                </c:pt>
                <c:pt idx="130">
                  <c:v>548.96387316130563</c:v>
                </c:pt>
                <c:pt idx="131">
                  <c:v>548.96387316130563</c:v>
                </c:pt>
                <c:pt idx="132">
                  <c:v>548.96387316130563</c:v>
                </c:pt>
                <c:pt idx="133">
                  <c:v>548.96387316130563</c:v>
                </c:pt>
                <c:pt idx="134">
                  <c:v>548.96387316130563</c:v>
                </c:pt>
                <c:pt idx="135">
                  <c:v>548.96387316130563</c:v>
                </c:pt>
                <c:pt idx="136">
                  <c:v>548.96387316130563</c:v>
                </c:pt>
                <c:pt idx="137">
                  <c:v>548.96387316130563</c:v>
                </c:pt>
                <c:pt idx="138">
                  <c:v>548.96387316130563</c:v>
                </c:pt>
                <c:pt idx="139">
                  <c:v>548.96387316130563</c:v>
                </c:pt>
                <c:pt idx="140">
                  <c:v>548.96387316130563</c:v>
                </c:pt>
                <c:pt idx="141">
                  <c:v>548.96387316130563</c:v>
                </c:pt>
                <c:pt idx="142">
                  <c:v>548.96387316130563</c:v>
                </c:pt>
                <c:pt idx="143">
                  <c:v>548.96387316130563</c:v>
                </c:pt>
                <c:pt idx="144">
                  <c:v>548.96387316130563</c:v>
                </c:pt>
                <c:pt idx="145">
                  <c:v>548.96387316130563</c:v>
                </c:pt>
                <c:pt idx="146">
                  <c:v>548.96387316130563</c:v>
                </c:pt>
                <c:pt idx="147">
                  <c:v>548.96387316130563</c:v>
                </c:pt>
                <c:pt idx="148">
                  <c:v>548.96387316130563</c:v>
                </c:pt>
                <c:pt idx="149">
                  <c:v>548.96387316130563</c:v>
                </c:pt>
                <c:pt idx="150">
                  <c:v>548.96387316130563</c:v>
                </c:pt>
                <c:pt idx="151">
                  <c:v>548.96387316130563</c:v>
                </c:pt>
                <c:pt idx="152">
                  <c:v>548.96387316130563</c:v>
                </c:pt>
                <c:pt idx="153">
                  <c:v>548.96387316130563</c:v>
                </c:pt>
                <c:pt idx="154">
                  <c:v>548.96387316130563</c:v>
                </c:pt>
                <c:pt idx="155">
                  <c:v>548.96387316130563</c:v>
                </c:pt>
                <c:pt idx="156">
                  <c:v>548.96387316130563</c:v>
                </c:pt>
                <c:pt idx="157">
                  <c:v>548.96387316130563</c:v>
                </c:pt>
                <c:pt idx="158">
                  <c:v>548.96387316130563</c:v>
                </c:pt>
                <c:pt idx="159">
                  <c:v>548.96387316130563</c:v>
                </c:pt>
                <c:pt idx="160">
                  <c:v>548.96387316130563</c:v>
                </c:pt>
                <c:pt idx="161">
                  <c:v>548.96387316130563</c:v>
                </c:pt>
                <c:pt idx="162">
                  <c:v>548.96387316130563</c:v>
                </c:pt>
                <c:pt idx="163">
                  <c:v>548.96387316130563</c:v>
                </c:pt>
                <c:pt idx="164">
                  <c:v>548.96387316130563</c:v>
                </c:pt>
                <c:pt idx="165">
                  <c:v>548.96387316130563</c:v>
                </c:pt>
                <c:pt idx="166">
                  <c:v>548.96387316130563</c:v>
                </c:pt>
                <c:pt idx="167">
                  <c:v>548.96387316130563</c:v>
                </c:pt>
                <c:pt idx="168">
                  <c:v>548.96387316130563</c:v>
                </c:pt>
                <c:pt idx="169">
                  <c:v>548.96387316130563</c:v>
                </c:pt>
                <c:pt idx="170">
                  <c:v>548.96387316130563</c:v>
                </c:pt>
                <c:pt idx="171">
                  <c:v>548.96387316130563</c:v>
                </c:pt>
                <c:pt idx="172">
                  <c:v>548.96387316130563</c:v>
                </c:pt>
                <c:pt idx="173">
                  <c:v>548.96387316130563</c:v>
                </c:pt>
                <c:pt idx="174">
                  <c:v>548.96387316130563</c:v>
                </c:pt>
                <c:pt idx="175">
                  <c:v>548.96387316130563</c:v>
                </c:pt>
                <c:pt idx="176">
                  <c:v>548.96387316130563</c:v>
                </c:pt>
                <c:pt idx="177">
                  <c:v>548.96387316130563</c:v>
                </c:pt>
                <c:pt idx="178">
                  <c:v>548.96387316130563</c:v>
                </c:pt>
                <c:pt idx="179">
                  <c:v>548.96387316130563</c:v>
                </c:pt>
                <c:pt idx="180">
                  <c:v>548.96387316130563</c:v>
                </c:pt>
                <c:pt idx="181">
                  <c:v>548.96387316130563</c:v>
                </c:pt>
                <c:pt idx="182">
                  <c:v>548.96387316130563</c:v>
                </c:pt>
                <c:pt idx="183">
                  <c:v>548.96387316130563</c:v>
                </c:pt>
                <c:pt idx="184">
                  <c:v>548.96387316130563</c:v>
                </c:pt>
                <c:pt idx="185">
                  <c:v>548.96387316130563</c:v>
                </c:pt>
                <c:pt idx="186">
                  <c:v>548.96387316130563</c:v>
                </c:pt>
                <c:pt idx="187">
                  <c:v>548.96387316130563</c:v>
                </c:pt>
                <c:pt idx="188">
                  <c:v>548.96387316130563</c:v>
                </c:pt>
                <c:pt idx="189">
                  <c:v>548.96387316130563</c:v>
                </c:pt>
                <c:pt idx="190">
                  <c:v>548.96387316130563</c:v>
                </c:pt>
                <c:pt idx="191">
                  <c:v>548.96387316130563</c:v>
                </c:pt>
                <c:pt idx="192">
                  <c:v>548.96387316130563</c:v>
                </c:pt>
                <c:pt idx="193">
                  <c:v>548.96387316130563</c:v>
                </c:pt>
                <c:pt idx="194">
                  <c:v>548.96387316130563</c:v>
                </c:pt>
                <c:pt idx="195">
                  <c:v>548.96387316130563</c:v>
                </c:pt>
                <c:pt idx="196">
                  <c:v>548.96387316130563</c:v>
                </c:pt>
                <c:pt idx="197">
                  <c:v>548.96387316130563</c:v>
                </c:pt>
                <c:pt idx="198">
                  <c:v>548.96387316130563</c:v>
                </c:pt>
                <c:pt idx="199">
                  <c:v>548.96387316130563</c:v>
                </c:pt>
                <c:pt idx="200">
                  <c:v>548.96387316130563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1.6402780147358238</c:v>
                </c:pt>
                <c:pt idx="2">
                  <c:v>2.0847532394244346</c:v>
                </c:pt>
                <c:pt idx="3">
                  <c:v>2.6501560009338418</c:v>
                </c:pt>
                <c:pt idx="4">
                  <c:v>3.3695117259982124</c:v>
                </c:pt>
                <c:pt idx="5">
                  <c:v>4.2848971118032706</c:v>
                </c:pt>
                <c:pt idx="6">
                  <c:v>5.4499289702420617</c:v>
                </c:pt>
                <c:pt idx="7">
                  <c:v>6.9329395104377367</c:v>
                </c:pt>
                <c:pt idx="8">
                  <c:v>8.8210279095906756</c:v>
                </c:pt>
                <c:pt idx="9">
                  <c:v>11.225230662518648</c:v>
                </c:pt>
                <c:pt idx="10">
                  <c:v>14.287120469820463</c:v>
                </c:pt>
                <c:pt idx="11">
                  <c:v>18.187229397437967</c:v>
                </c:pt>
                <c:pt idx="12">
                  <c:v>23.155801927221308</c:v>
                </c:pt>
                <c:pt idx="13">
                  <c:v>29.486523983955536</c:v>
                </c:pt>
                <c:pt idx="14">
                  <c:v>37.554053595128899</c:v>
                </c:pt>
                <c:pt idx="15">
                  <c:v>47.836408422767676</c:v>
                </c:pt>
                <c:pt idx="16">
                  <c:v>72.916184204571309</c:v>
                </c:pt>
                <c:pt idx="17">
                  <c:v>97.771790061261569</c:v>
                </c:pt>
                <c:pt idx="18">
                  <c:v>122.46916637661241</c:v>
                </c:pt>
                <c:pt idx="19">
                  <c:v>147.04495169244021</c:v>
                </c:pt>
                <c:pt idx="20">
                  <c:v>171.52240247513097</c:v>
                </c:pt>
                <c:pt idx="21">
                  <c:v>176.87880044112285</c:v>
                </c:pt>
                <c:pt idx="22">
                  <c:v>205.74066387684891</c:v>
                </c:pt>
                <c:pt idx="23">
                  <c:v>234.50882798734798</c:v>
                </c:pt>
                <c:pt idx="24">
                  <c:v>263.19640754941844</c:v>
                </c:pt>
                <c:pt idx="25">
                  <c:v>291.81341911323074</c:v>
                </c:pt>
                <c:pt idx="26">
                  <c:v>247.90572524779614</c:v>
                </c:pt>
                <c:pt idx="27">
                  <c:v>278.25509160187693</c:v>
                </c:pt>
                <c:pt idx="28">
                  <c:v>308.53016164422883</c:v>
                </c:pt>
                <c:pt idx="29">
                  <c:v>338.73924569347781</c:v>
                </c:pt>
                <c:pt idx="30">
                  <c:v>368.88905029363559</c:v>
                </c:pt>
                <c:pt idx="31">
                  <c:v>324.80433199775035</c:v>
                </c:pt>
                <c:pt idx="32">
                  <c:v>354.55909875403205</c:v>
                </c:pt>
                <c:pt idx="33">
                  <c:v>384.2591738960196</c:v>
                </c:pt>
                <c:pt idx="34">
                  <c:v>413.90937417045046</c:v>
                </c:pt>
                <c:pt idx="35">
                  <c:v>443.51377029996178</c:v>
                </c:pt>
                <c:pt idx="36">
                  <c:v>398.77481002307724</c:v>
                </c:pt>
                <c:pt idx="37">
                  <c:v>427.56225857158461</c:v>
                </c:pt>
                <c:pt idx="38">
                  <c:v>456.30804468843598</c:v>
                </c:pt>
                <c:pt idx="39">
                  <c:v>485.01515867349559</c:v>
                </c:pt>
                <c:pt idx="40">
                  <c:v>513.6862083092177</c:v>
                </c:pt>
                <c:pt idx="41">
                  <c:v>467.62772250158537</c:v>
                </c:pt>
                <c:pt idx="42">
                  <c:v>494.85515444943547</c:v>
                </c:pt>
                <c:pt idx="43">
                  <c:v>522.05085315676945</c:v>
                </c:pt>
                <c:pt idx="44">
                  <c:v>549.21670211461685</c:v>
                </c:pt>
                <c:pt idx="45">
                  <c:v>576.35438350288371</c:v>
                </c:pt>
                <c:pt idx="46">
                  <c:v>528.9495565222345</c:v>
                </c:pt>
                <c:pt idx="47">
                  <c:v>554.64644115006513</c:v>
                </c:pt>
                <c:pt idx="48">
                  <c:v>580.31839329070999</c:v>
                </c:pt>
                <c:pt idx="49">
                  <c:v>605.96666967184581</c:v>
                </c:pt>
                <c:pt idx="50">
                  <c:v>631.59241208851097</c:v>
                </c:pt>
                <c:pt idx="51">
                  <c:v>583.03028487099994</c:v>
                </c:pt>
                <c:pt idx="52">
                  <c:v>607.42563969239939</c:v>
                </c:pt>
                <c:pt idx="53">
                  <c:v>631.80066203182264</c:v>
                </c:pt>
                <c:pt idx="54">
                  <c:v>656.15624572514901</c:v>
                </c:pt>
                <c:pt idx="55">
                  <c:v>680.49321292336128</c:v>
                </c:pt>
                <c:pt idx="56">
                  <c:v>633.05013189910608</c:v>
                </c:pt>
                <c:pt idx="57">
                  <c:v>656.36433174600018</c:v>
                </c:pt>
                <c:pt idx="58">
                  <c:v>679.66147883524548</c:v>
                </c:pt>
                <c:pt idx="59">
                  <c:v>702.94223923853258</c:v>
                </c:pt>
                <c:pt idx="60">
                  <c:v>726.20723136598997</c:v>
                </c:pt>
                <c:pt idx="61">
                  <c:v>685.69107935191596</c:v>
                </c:pt>
                <c:pt idx="62">
                  <c:v>707.51337417674677</c:v>
                </c:pt>
                <c:pt idx="63">
                  <c:v>729.32191275568039</c:v>
                </c:pt>
                <c:pt idx="64">
                  <c:v>751.11716384502915</c:v>
                </c:pt>
                <c:pt idx="65">
                  <c:v>772.89956681281103</c:v>
                </c:pt>
                <c:pt idx="66">
                  <c:v>735.13526029203467</c:v>
                </c:pt>
                <c:pt idx="67">
                  <c:v>755.47465871499662</c:v>
                </c:pt>
                <c:pt idx="68">
                  <c:v>775.80293892449288</c:v>
                </c:pt>
                <c:pt idx="69">
                  <c:v>796.12043292722353</c:v>
                </c:pt>
                <c:pt idx="70">
                  <c:v>816.42745442281341</c:v>
                </c:pt>
                <c:pt idx="71">
                  <c:v>778.91345054381054</c:v>
                </c:pt>
                <c:pt idx="72">
                  <c:v>797.36401781882205</c:v>
                </c:pt>
                <c:pt idx="73">
                  <c:v>815.80596336254951</c:v>
                </c:pt>
                <c:pt idx="74">
                  <c:v>834.23950930758201</c:v>
                </c:pt>
                <c:pt idx="75">
                  <c:v>852.66486718094075</c:v>
                </c:pt>
                <c:pt idx="76">
                  <c:v>816.63461599038089</c:v>
                </c:pt>
                <c:pt idx="77">
                  <c:v>834.44658089757593</c:v>
                </c:pt>
                <c:pt idx="78">
                  <c:v>852.2509026509133</c:v>
                </c:pt>
                <c:pt idx="79">
                  <c:v>870.04776323242652</c:v>
                </c:pt>
                <c:pt idx="80">
                  <c:v>887.83733658098299</c:v>
                </c:pt>
                <c:pt idx="81">
                  <c:v>835.06778946880547</c:v>
                </c:pt>
                <c:pt idx="82">
                  <c:v>835.06778946880547</c:v>
                </c:pt>
                <c:pt idx="83">
                  <c:v>835.06778946880547</c:v>
                </c:pt>
                <c:pt idx="84">
                  <c:v>835.06778946880547</c:v>
                </c:pt>
                <c:pt idx="85">
                  <c:v>835.06778946880547</c:v>
                </c:pt>
                <c:pt idx="86">
                  <c:v>835.06778946880547</c:v>
                </c:pt>
                <c:pt idx="87">
                  <c:v>835.06778946880547</c:v>
                </c:pt>
                <c:pt idx="88">
                  <c:v>835.06778946880547</c:v>
                </c:pt>
                <c:pt idx="89">
                  <c:v>835.06778946880547</c:v>
                </c:pt>
                <c:pt idx="90">
                  <c:v>835.06778946880547</c:v>
                </c:pt>
                <c:pt idx="91">
                  <c:v>835.06778946880547</c:v>
                </c:pt>
                <c:pt idx="92">
                  <c:v>835.06778946880547</c:v>
                </c:pt>
                <c:pt idx="93">
                  <c:v>835.06778946880547</c:v>
                </c:pt>
                <c:pt idx="94">
                  <c:v>835.06778946880547</c:v>
                </c:pt>
                <c:pt idx="95">
                  <c:v>835.06778946880547</c:v>
                </c:pt>
                <c:pt idx="96">
                  <c:v>835.06778946880547</c:v>
                </c:pt>
                <c:pt idx="97">
                  <c:v>835.06778946880547</c:v>
                </c:pt>
                <c:pt idx="98">
                  <c:v>835.06778946880547</c:v>
                </c:pt>
                <c:pt idx="99">
                  <c:v>835.06778946880547</c:v>
                </c:pt>
                <c:pt idx="100">
                  <c:v>835.06778946880547</c:v>
                </c:pt>
                <c:pt idx="101">
                  <c:v>835.06778946880547</c:v>
                </c:pt>
                <c:pt idx="102">
                  <c:v>835.06778946880547</c:v>
                </c:pt>
                <c:pt idx="103">
                  <c:v>835.06778946880547</c:v>
                </c:pt>
                <c:pt idx="104">
                  <c:v>835.06778946880547</c:v>
                </c:pt>
                <c:pt idx="105">
                  <c:v>835.06778946880547</c:v>
                </c:pt>
                <c:pt idx="106">
                  <c:v>835.06778946880547</c:v>
                </c:pt>
                <c:pt idx="107">
                  <c:v>835.06778946880547</c:v>
                </c:pt>
                <c:pt idx="108">
                  <c:v>835.06778946880547</c:v>
                </c:pt>
                <c:pt idx="109">
                  <c:v>835.06778946880547</c:v>
                </c:pt>
                <c:pt idx="110">
                  <c:v>835.06778946880547</c:v>
                </c:pt>
                <c:pt idx="111">
                  <c:v>835.06778946880547</c:v>
                </c:pt>
                <c:pt idx="112">
                  <c:v>835.06778946880547</c:v>
                </c:pt>
                <c:pt idx="113">
                  <c:v>835.06778946880547</c:v>
                </c:pt>
                <c:pt idx="114">
                  <c:v>835.06778946880547</c:v>
                </c:pt>
                <c:pt idx="115">
                  <c:v>835.06778946880547</c:v>
                </c:pt>
                <c:pt idx="116">
                  <c:v>835.06778946880547</c:v>
                </c:pt>
                <c:pt idx="117">
                  <c:v>835.06778946880547</c:v>
                </c:pt>
                <c:pt idx="118">
                  <c:v>835.06778946880547</c:v>
                </c:pt>
                <c:pt idx="119">
                  <c:v>835.06778946880547</c:v>
                </c:pt>
                <c:pt idx="120">
                  <c:v>835.06778946880547</c:v>
                </c:pt>
                <c:pt idx="121">
                  <c:v>835.06778946880547</c:v>
                </c:pt>
                <c:pt idx="122">
                  <c:v>835.06778946880547</c:v>
                </c:pt>
                <c:pt idx="123">
                  <c:v>835.06778946880547</c:v>
                </c:pt>
                <c:pt idx="124">
                  <c:v>835.06778946880547</c:v>
                </c:pt>
                <c:pt idx="125">
                  <c:v>835.06778946880547</c:v>
                </c:pt>
                <c:pt idx="126">
                  <c:v>835.06778946880547</c:v>
                </c:pt>
                <c:pt idx="127">
                  <c:v>835.06778946880547</c:v>
                </c:pt>
                <c:pt idx="128">
                  <c:v>835.06778946880547</c:v>
                </c:pt>
                <c:pt idx="129">
                  <c:v>835.06778946880547</c:v>
                </c:pt>
                <c:pt idx="130">
                  <c:v>835.06778946880547</c:v>
                </c:pt>
                <c:pt idx="131">
                  <c:v>835.06778946880547</c:v>
                </c:pt>
                <c:pt idx="132">
                  <c:v>835.06778946880547</c:v>
                </c:pt>
                <c:pt idx="133">
                  <c:v>835.06778946880547</c:v>
                </c:pt>
                <c:pt idx="134">
                  <c:v>835.06778946880547</c:v>
                </c:pt>
                <c:pt idx="135">
                  <c:v>835.06778946880547</c:v>
                </c:pt>
                <c:pt idx="136">
                  <c:v>835.06778946880547</c:v>
                </c:pt>
                <c:pt idx="137">
                  <c:v>835.06778946880547</c:v>
                </c:pt>
                <c:pt idx="138">
                  <c:v>835.06778946880547</c:v>
                </c:pt>
                <c:pt idx="139">
                  <c:v>835.06778946880547</c:v>
                </c:pt>
                <c:pt idx="140">
                  <c:v>835.06778946880547</c:v>
                </c:pt>
                <c:pt idx="141">
                  <c:v>835.06778946880547</c:v>
                </c:pt>
                <c:pt idx="142">
                  <c:v>835.06778946880547</c:v>
                </c:pt>
                <c:pt idx="143">
                  <c:v>835.06778946880547</c:v>
                </c:pt>
                <c:pt idx="144">
                  <c:v>835.06778946880547</c:v>
                </c:pt>
                <c:pt idx="145">
                  <c:v>835.06778946880547</c:v>
                </c:pt>
                <c:pt idx="146">
                  <c:v>835.06778946880547</c:v>
                </c:pt>
                <c:pt idx="147">
                  <c:v>835.06778946880547</c:v>
                </c:pt>
                <c:pt idx="148">
                  <c:v>835.06778946880547</c:v>
                </c:pt>
                <c:pt idx="149">
                  <c:v>835.06778946880547</c:v>
                </c:pt>
                <c:pt idx="150">
                  <c:v>835.06778946880547</c:v>
                </c:pt>
                <c:pt idx="151">
                  <c:v>835.06778946880547</c:v>
                </c:pt>
                <c:pt idx="152">
                  <c:v>835.06778946880547</c:v>
                </c:pt>
                <c:pt idx="153">
                  <c:v>835.06778946880547</c:v>
                </c:pt>
                <c:pt idx="154">
                  <c:v>835.06778946880547</c:v>
                </c:pt>
                <c:pt idx="155">
                  <c:v>835.06778946880547</c:v>
                </c:pt>
                <c:pt idx="156">
                  <c:v>835.06778946880547</c:v>
                </c:pt>
                <c:pt idx="157">
                  <c:v>835.06778946880547</c:v>
                </c:pt>
                <c:pt idx="158">
                  <c:v>835.06778946880547</c:v>
                </c:pt>
                <c:pt idx="159">
                  <c:v>835.06778946880547</c:v>
                </c:pt>
                <c:pt idx="160">
                  <c:v>835.06778946880547</c:v>
                </c:pt>
                <c:pt idx="161">
                  <c:v>835.06778946880547</c:v>
                </c:pt>
                <c:pt idx="162">
                  <c:v>835.06778946880547</c:v>
                </c:pt>
                <c:pt idx="163">
                  <c:v>835.06778946880547</c:v>
                </c:pt>
                <c:pt idx="164">
                  <c:v>835.06778946880547</c:v>
                </c:pt>
                <c:pt idx="165">
                  <c:v>835.06778946880547</c:v>
                </c:pt>
                <c:pt idx="166">
                  <c:v>835.06778946880547</c:v>
                </c:pt>
                <c:pt idx="167">
                  <c:v>835.06778946880547</c:v>
                </c:pt>
                <c:pt idx="168">
                  <c:v>835.06778946880547</c:v>
                </c:pt>
                <c:pt idx="169">
                  <c:v>835.06778946880547</c:v>
                </c:pt>
                <c:pt idx="170">
                  <c:v>835.06778946880547</c:v>
                </c:pt>
                <c:pt idx="171">
                  <c:v>835.06778946880547</c:v>
                </c:pt>
                <c:pt idx="172">
                  <c:v>835.06778946880547</c:v>
                </c:pt>
                <c:pt idx="173">
                  <c:v>835.06778946880547</c:v>
                </c:pt>
                <c:pt idx="174">
                  <c:v>835.06778946880547</c:v>
                </c:pt>
                <c:pt idx="175">
                  <c:v>835.06778946880547</c:v>
                </c:pt>
                <c:pt idx="176">
                  <c:v>835.06778946880547</c:v>
                </c:pt>
                <c:pt idx="177">
                  <c:v>835.06778946880547</c:v>
                </c:pt>
                <c:pt idx="178">
                  <c:v>835.06778946880547</c:v>
                </c:pt>
                <c:pt idx="179">
                  <c:v>835.06778946880547</c:v>
                </c:pt>
                <c:pt idx="180">
                  <c:v>835.06778946880547</c:v>
                </c:pt>
                <c:pt idx="181">
                  <c:v>835.06778946880547</c:v>
                </c:pt>
                <c:pt idx="182">
                  <c:v>835.06778946880547</c:v>
                </c:pt>
                <c:pt idx="183">
                  <c:v>835.06778946880547</c:v>
                </c:pt>
                <c:pt idx="184">
                  <c:v>835.06778946880547</c:v>
                </c:pt>
                <c:pt idx="185">
                  <c:v>835.06778946880547</c:v>
                </c:pt>
                <c:pt idx="186">
                  <c:v>835.06778946880547</c:v>
                </c:pt>
                <c:pt idx="187">
                  <c:v>835.06778946880547</c:v>
                </c:pt>
                <c:pt idx="188">
                  <c:v>835.06778946880547</c:v>
                </c:pt>
                <c:pt idx="189">
                  <c:v>835.06778946880547</c:v>
                </c:pt>
                <c:pt idx="190">
                  <c:v>835.06778946880547</c:v>
                </c:pt>
                <c:pt idx="191">
                  <c:v>835.06778946880547</c:v>
                </c:pt>
                <c:pt idx="192">
                  <c:v>835.06778946880547</c:v>
                </c:pt>
                <c:pt idx="193">
                  <c:v>835.06778946880547</c:v>
                </c:pt>
                <c:pt idx="194">
                  <c:v>835.06778946880547</c:v>
                </c:pt>
                <c:pt idx="195">
                  <c:v>835.06778946880547</c:v>
                </c:pt>
                <c:pt idx="196">
                  <c:v>835.06778946880547</c:v>
                </c:pt>
                <c:pt idx="197">
                  <c:v>835.06778946880547</c:v>
                </c:pt>
                <c:pt idx="198">
                  <c:v>835.06778946880547</c:v>
                </c:pt>
                <c:pt idx="199">
                  <c:v>835.06778946880547</c:v>
                </c:pt>
                <c:pt idx="200">
                  <c:v>835.06778946880547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1.8998160144618488</c:v>
                </c:pt>
                <c:pt idx="2">
                  <c:v>2.4290384543974075</c:v>
                </c:pt>
                <c:pt idx="3">
                  <c:v>3.1062770534140718</c:v>
                </c:pt>
                <c:pt idx="4">
                  <c:v>3.9730865398347048</c:v>
                </c:pt>
                <c:pt idx="5">
                  <c:v>5.0827291114373709</c:v>
                </c:pt>
                <c:pt idx="6">
                  <c:v>6.5034836501622566</c:v>
                </c:pt>
                <c:pt idx="7">
                  <c:v>8.3228931334190523</c:v>
                </c:pt>
                <c:pt idx="8">
                  <c:v>10.653216964153168</c:v>
                </c:pt>
                <c:pt idx="9">
                  <c:v>13.638430959289522</c:v>
                </c:pt>
                <c:pt idx="10">
                  <c:v>17.463215468340593</c:v>
                </c:pt>
                <c:pt idx="11">
                  <c:v>22.364497756453218</c:v>
                </c:pt>
                <c:pt idx="12">
                  <c:v>28.64627637701928</c:v>
                </c:pt>
                <c:pt idx="13">
                  <c:v>36.69866307064391</c:v>
                </c:pt>
                <c:pt idx="14">
                  <c:v>47.022345005879409</c:v>
                </c:pt>
                <c:pt idx="15">
                  <c:v>60.260013971453333</c:v>
                </c:pt>
                <c:pt idx="16">
                  <c:v>72.962264644835429</c:v>
                </c:pt>
                <c:pt idx="17">
                  <c:v>85.607834038033388</c:v>
                </c:pt>
                <c:pt idx="18">
                  <c:v>98.206305683392088</c:v>
                </c:pt>
                <c:pt idx="19">
                  <c:v>110.76458810757384</c:v>
                </c:pt>
                <c:pt idx="20">
                  <c:v>123.28788824388072</c:v>
                </c:pt>
                <c:pt idx="21">
                  <c:v>116.77986587022598</c:v>
                </c:pt>
                <c:pt idx="22">
                  <c:v>132.78472992396672</c:v>
                </c:pt>
                <c:pt idx="23">
                  <c:v>148.74301980229387</c:v>
                </c:pt>
                <c:pt idx="24">
                  <c:v>164.66044113992641</c:v>
                </c:pt>
                <c:pt idx="25">
                  <c:v>180.54150368815991</c:v>
                </c:pt>
                <c:pt idx="26">
                  <c:v>146.50147116929551</c:v>
                </c:pt>
                <c:pt idx="27">
                  <c:v>164.66044113992641</c:v>
                </c:pt>
                <c:pt idx="28">
                  <c:v>182.77207966907611</c:v>
                </c:pt>
                <c:pt idx="29">
                  <c:v>200.84173948775069</c:v>
                </c:pt>
                <c:pt idx="30">
                  <c:v>218.87372992724809</c:v>
                </c:pt>
                <c:pt idx="31">
                  <c:v>186.98365954160235</c:v>
                </c:pt>
                <c:pt idx="32">
                  <c:v>207.02112761839007</c:v>
                </c:pt>
                <c:pt idx="33">
                  <c:v>227.013787277099</c:v>
                </c:pt>
                <c:pt idx="34">
                  <c:v>246.96613989084688</c:v>
                </c:pt>
                <c:pt idx="35">
                  <c:v>266.88189950971133</c:v>
                </c:pt>
                <c:pt idx="36">
                  <c:v>235.6398864760915</c:v>
                </c:pt>
                <c:pt idx="37">
                  <c:v>256.06780231400205</c:v>
                </c:pt>
                <c:pt idx="38">
                  <c:v>276.45885580257652</c:v>
                </c:pt>
                <c:pt idx="39">
                  <c:v>296.81614745645339</c:v>
                </c:pt>
                <c:pt idx="40">
                  <c:v>317.14231769154225</c:v>
                </c:pt>
                <c:pt idx="41">
                  <c:v>286.27364112152469</c:v>
                </c:pt>
                <c:pt idx="42">
                  <c:v>306.86052616137408</c:v>
                </c:pt>
                <c:pt idx="43">
                  <c:v>327.41672728967603</c:v>
                </c:pt>
                <c:pt idx="44">
                  <c:v>347.94444099125826</c:v>
                </c:pt>
                <c:pt idx="45">
                  <c:v>368.44558347854678</c:v>
                </c:pt>
                <c:pt idx="46">
                  <c:v>336.95087205446185</c:v>
                </c:pt>
                <c:pt idx="47">
                  <c:v>356.73379543799183</c:v>
                </c:pt>
                <c:pt idx="48">
                  <c:v>376.49270850153761</c:v>
                </c:pt>
                <c:pt idx="49">
                  <c:v>396.22904796883012</c:v>
                </c:pt>
                <c:pt idx="50">
                  <c:v>415.94409581466471</c:v>
                </c:pt>
                <c:pt idx="51">
                  <c:v>383.80502452398406</c:v>
                </c:pt>
                <c:pt idx="52">
                  <c:v>402.80303699548989</c:v>
                </c:pt>
                <c:pt idx="53">
                  <c:v>421.78167473637228</c:v>
                </c:pt>
                <c:pt idx="54">
                  <c:v>440.74193174846272</c:v>
                </c:pt>
                <c:pt idx="55">
                  <c:v>459.68470957755449</c:v>
                </c:pt>
                <c:pt idx="56">
                  <c:v>426.1587158652531</c:v>
                </c:pt>
                <c:pt idx="57">
                  <c:v>443.6573215268815</c:v>
                </c:pt>
                <c:pt idx="58">
                  <c:v>461.141146380804</c:v>
                </c:pt>
                <c:pt idx="59">
                  <c:v>478.6108294467399</c:v>
                </c:pt>
                <c:pt idx="60">
                  <c:v>496.06695931286276</c:v>
                </c:pt>
                <c:pt idx="61">
                  <c:v>463.81102578496547</c:v>
                </c:pt>
                <c:pt idx="62">
                  <c:v>480.06601681046544</c:v>
                </c:pt>
                <c:pt idx="63">
                  <c:v>496.30931275327674</c:v>
                </c:pt>
                <c:pt idx="64">
                  <c:v>512.54135009874256</c:v>
                </c:pt>
                <c:pt idx="65">
                  <c:v>528.7625354437198</c:v>
                </c:pt>
                <c:pt idx="66">
                  <c:v>498.73270947582205</c:v>
                </c:pt>
                <c:pt idx="67">
                  <c:v>513.51007978691075</c:v>
                </c:pt>
                <c:pt idx="68">
                  <c:v>528.2784744189488</c:v>
                </c:pt>
                <c:pt idx="69">
                  <c:v>543.03817954151145</c:v>
                </c:pt>
                <c:pt idx="70">
                  <c:v>557.78946450591332</c:v>
                </c:pt>
                <c:pt idx="71">
                  <c:v>531.66670600749933</c:v>
                </c:pt>
                <c:pt idx="72">
                  <c:v>545.45699307846269</c:v>
                </c:pt>
                <c:pt idx="73">
                  <c:v>559.23996544930947</c:v>
                </c:pt>
                <c:pt idx="74">
                  <c:v>573.01582873119708</c:v>
                </c:pt>
                <c:pt idx="75">
                  <c:v>586.78477784679239</c:v>
                </c:pt>
                <c:pt idx="76">
                  <c:v>562.86587373566817</c:v>
                </c:pt>
                <c:pt idx="77">
                  <c:v>575.19032813505976</c:v>
                </c:pt>
                <c:pt idx="78">
                  <c:v>587.50927140035719</c:v>
                </c:pt>
                <c:pt idx="79">
                  <c:v>599.82283534036094</c:v>
                </c:pt>
                <c:pt idx="80">
                  <c:v>612.13114591260171</c:v>
                </c:pt>
                <c:pt idx="81">
                  <c:v>591.85584278560293</c:v>
                </c:pt>
                <c:pt idx="82">
                  <c:v>602.96074183921087</c:v>
                </c:pt>
                <c:pt idx="83">
                  <c:v>614.061392567339</c:v>
                </c:pt>
                <c:pt idx="84">
                  <c:v>625.15788257475322</c:v>
                </c:pt>
                <c:pt idx="85">
                  <c:v>636.25029610351044</c:v>
                </c:pt>
                <c:pt idx="86">
                  <c:v>617.92150881932719</c:v>
                </c:pt>
                <c:pt idx="87">
                  <c:v>627.3284555721317</c:v>
                </c:pt>
                <c:pt idx="88">
                  <c:v>636.73248374441994</c:v>
                </c:pt>
                <c:pt idx="89">
                  <c:v>646.13364251198891</c:v>
                </c:pt>
                <c:pt idx="90">
                  <c:v>655.53197950317838</c:v>
                </c:pt>
                <c:pt idx="91">
                  <c:v>638.9022348437378</c:v>
                </c:pt>
                <c:pt idx="92">
                  <c:v>646.37466056062397</c:v>
                </c:pt>
                <c:pt idx="93">
                  <c:v>653.84530420719159</c:v>
                </c:pt>
                <c:pt idx="94">
                  <c:v>661.31418901581912</c:v>
                </c:pt>
                <c:pt idx="95">
                  <c:v>668.78133765133009</c:v>
                </c:pt>
                <c:pt idx="96">
                  <c:v>655.77292581159065</c:v>
                </c:pt>
                <c:pt idx="97">
                  <c:v>663.24136042807777</c:v>
                </c:pt>
                <c:pt idx="98">
                  <c:v>670.70806463079123</c:v>
                </c:pt>
                <c:pt idx="99">
                  <c:v>678.17306039908783</c:v>
                </c:pt>
                <c:pt idx="100">
                  <c:v>685.63636918902159</c:v>
                </c:pt>
                <c:pt idx="101">
                  <c:v>667.57707534687154</c:v>
                </c:pt>
                <c:pt idx="102">
                  <c:v>667.57707534687154</c:v>
                </c:pt>
                <c:pt idx="103">
                  <c:v>667.57707534687154</c:v>
                </c:pt>
                <c:pt idx="104">
                  <c:v>667.57707534687154</c:v>
                </c:pt>
                <c:pt idx="105">
                  <c:v>667.57707534687154</c:v>
                </c:pt>
                <c:pt idx="106">
                  <c:v>667.57707534687154</c:v>
                </c:pt>
                <c:pt idx="107">
                  <c:v>667.57707534687154</c:v>
                </c:pt>
                <c:pt idx="108">
                  <c:v>667.57707534687154</c:v>
                </c:pt>
                <c:pt idx="109">
                  <c:v>667.57707534687154</c:v>
                </c:pt>
                <c:pt idx="110">
                  <c:v>667.57707534687154</c:v>
                </c:pt>
                <c:pt idx="111">
                  <c:v>667.57707534687154</c:v>
                </c:pt>
                <c:pt idx="112">
                  <c:v>667.57707534687154</c:v>
                </c:pt>
                <c:pt idx="113">
                  <c:v>667.57707534687154</c:v>
                </c:pt>
                <c:pt idx="114">
                  <c:v>667.57707534687154</c:v>
                </c:pt>
                <c:pt idx="115">
                  <c:v>667.57707534687154</c:v>
                </c:pt>
                <c:pt idx="116">
                  <c:v>667.57707534687154</c:v>
                </c:pt>
                <c:pt idx="117">
                  <c:v>667.57707534687154</c:v>
                </c:pt>
                <c:pt idx="118">
                  <c:v>667.57707534687154</c:v>
                </c:pt>
                <c:pt idx="119">
                  <c:v>667.57707534687154</c:v>
                </c:pt>
                <c:pt idx="120">
                  <c:v>667.57707534687154</c:v>
                </c:pt>
                <c:pt idx="121">
                  <c:v>667.57707534687154</c:v>
                </c:pt>
                <c:pt idx="122">
                  <c:v>667.57707534687154</c:v>
                </c:pt>
                <c:pt idx="123">
                  <c:v>667.57707534687154</c:v>
                </c:pt>
                <c:pt idx="124">
                  <c:v>667.57707534687154</c:v>
                </c:pt>
                <c:pt idx="125">
                  <c:v>667.57707534687154</c:v>
                </c:pt>
                <c:pt idx="126">
                  <c:v>667.57707534687154</c:v>
                </c:pt>
                <c:pt idx="127">
                  <c:v>667.57707534687154</c:v>
                </c:pt>
                <c:pt idx="128">
                  <c:v>667.57707534687154</c:v>
                </c:pt>
                <c:pt idx="129">
                  <c:v>667.57707534687154</c:v>
                </c:pt>
                <c:pt idx="130">
                  <c:v>667.57707534687154</c:v>
                </c:pt>
                <c:pt idx="131">
                  <c:v>667.57707534687154</c:v>
                </c:pt>
                <c:pt idx="132">
                  <c:v>667.57707534687154</c:v>
                </c:pt>
                <c:pt idx="133">
                  <c:v>667.57707534687154</c:v>
                </c:pt>
                <c:pt idx="134">
                  <c:v>667.57707534687154</c:v>
                </c:pt>
                <c:pt idx="135">
                  <c:v>667.57707534687154</c:v>
                </c:pt>
                <c:pt idx="136">
                  <c:v>667.57707534687154</c:v>
                </c:pt>
                <c:pt idx="137">
                  <c:v>667.57707534687154</c:v>
                </c:pt>
                <c:pt idx="138">
                  <c:v>667.57707534687154</c:v>
                </c:pt>
                <c:pt idx="139">
                  <c:v>667.57707534687154</c:v>
                </c:pt>
                <c:pt idx="140">
                  <c:v>667.57707534687154</c:v>
                </c:pt>
                <c:pt idx="141">
                  <c:v>667.57707534687154</c:v>
                </c:pt>
                <c:pt idx="142">
                  <c:v>667.57707534687154</c:v>
                </c:pt>
                <c:pt idx="143">
                  <c:v>667.57707534687154</c:v>
                </c:pt>
                <c:pt idx="144">
                  <c:v>667.57707534687154</c:v>
                </c:pt>
                <c:pt idx="145">
                  <c:v>667.57707534687154</c:v>
                </c:pt>
                <c:pt idx="146">
                  <c:v>667.57707534687154</c:v>
                </c:pt>
                <c:pt idx="147">
                  <c:v>667.57707534687154</c:v>
                </c:pt>
                <c:pt idx="148">
                  <c:v>667.57707534687154</c:v>
                </c:pt>
                <c:pt idx="149">
                  <c:v>667.57707534687154</c:v>
                </c:pt>
                <c:pt idx="150">
                  <c:v>667.57707534687154</c:v>
                </c:pt>
                <c:pt idx="151">
                  <c:v>667.57707534687154</c:v>
                </c:pt>
                <c:pt idx="152">
                  <c:v>667.57707534687154</c:v>
                </c:pt>
                <c:pt idx="153">
                  <c:v>667.57707534687154</c:v>
                </c:pt>
                <c:pt idx="154">
                  <c:v>667.57707534687154</c:v>
                </c:pt>
                <c:pt idx="155">
                  <c:v>667.57707534687154</c:v>
                </c:pt>
                <c:pt idx="156">
                  <c:v>667.57707534687154</c:v>
                </c:pt>
                <c:pt idx="157">
                  <c:v>667.57707534687154</c:v>
                </c:pt>
                <c:pt idx="158">
                  <c:v>667.57707534687154</c:v>
                </c:pt>
                <c:pt idx="159">
                  <c:v>667.57707534687154</c:v>
                </c:pt>
                <c:pt idx="160">
                  <c:v>667.57707534687154</c:v>
                </c:pt>
                <c:pt idx="161">
                  <c:v>667.57707534687154</c:v>
                </c:pt>
                <c:pt idx="162">
                  <c:v>667.57707534687154</c:v>
                </c:pt>
                <c:pt idx="163">
                  <c:v>667.57707534687154</c:v>
                </c:pt>
                <c:pt idx="164">
                  <c:v>667.57707534687154</c:v>
                </c:pt>
                <c:pt idx="165">
                  <c:v>667.57707534687154</c:v>
                </c:pt>
                <c:pt idx="166">
                  <c:v>667.57707534687154</c:v>
                </c:pt>
                <c:pt idx="167">
                  <c:v>667.57707534687154</c:v>
                </c:pt>
                <c:pt idx="168">
                  <c:v>667.57707534687154</c:v>
                </c:pt>
                <c:pt idx="169">
                  <c:v>667.57707534687154</c:v>
                </c:pt>
                <c:pt idx="170">
                  <c:v>667.57707534687154</c:v>
                </c:pt>
                <c:pt idx="171">
                  <c:v>667.57707534687154</c:v>
                </c:pt>
                <c:pt idx="172">
                  <c:v>667.57707534687154</c:v>
                </c:pt>
                <c:pt idx="173">
                  <c:v>667.57707534687154</c:v>
                </c:pt>
                <c:pt idx="174">
                  <c:v>667.57707534687154</c:v>
                </c:pt>
                <c:pt idx="175">
                  <c:v>667.57707534687154</c:v>
                </c:pt>
                <c:pt idx="176">
                  <c:v>667.57707534687154</c:v>
                </c:pt>
                <c:pt idx="177">
                  <c:v>667.57707534687154</c:v>
                </c:pt>
                <c:pt idx="178">
                  <c:v>667.57707534687154</c:v>
                </c:pt>
                <c:pt idx="179">
                  <c:v>667.57707534687154</c:v>
                </c:pt>
                <c:pt idx="180">
                  <c:v>667.57707534687154</c:v>
                </c:pt>
                <c:pt idx="181">
                  <c:v>667.57707534687154</c:v>
                </c:pt>
                <c:pt idx="182">
                  <c:v>667.57707534687154</c:v>
                </c:pt>
                <c:pt idx="183">
                  <c:v>667.57707534687154</c:v>
                </c:pt>
                <c:pt idx="184">
                  <c:v>667.57707534687154</c:v>
                </c:pt>
                <c:pt idx="185">
                  <c:v>667.57707534687154</c:v>
                </c:pt>
                <c:pt idx="186">
                  <c:v>667.57707534687154</c:v>
                </c:pt>
                <c:pt idx="187">
                  <c:v>667.57707534687154</c:v>
                </c:pt>
                <c:pt idx="188">
                  <c:v>667.57707534687154</c:v>
                </c:pt>
                <c:pt idx="189">
                  <c:v>667.57707534687154</c:v>
                </c:pt>
                <c:pt idx="190">
                  <c:v>667.57707534687154</c:v>
                </c:pt>
                <c:pt idx="191">
                  <c:v>667.57707534687154</c:v>
                </c:pt>
                <c:pt idx="192">
                  <c:v>667.57707534687154</c:v>
                </c:pt>
                <c:pt idx="193">
                  <c:v>667.57707534687154</c:v>
                </c:pt>
                <c:pt idx="194">
                  <c:v>667.57707534687154</c:v>
                </c:pt>
                <c:pt idx="195">
                  <c:v>667.57707534687154</c:v>
                </c:pt>
                <c:pt idx="196">
                  <c:v>667.57707534687154</c:v>
                </c:pt>
                <c:pt idx="197">
                  <c:v>667.57707534687154</c:v>
                </c:pt>
                <c:pt idx="198">
                  <c:v>667.57707534687154</c:v>
                </c:pt>
                <c:pt idx="199">
                  <c:v>667.57707534687154</c:v>
                </c:pt>
                <c:pt idx="200">
                  <c:v>667.57707534687154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2.3434489087347408</c:v>
                </c:pt>
                <c:pt idx="2">
                  <c:v>3.4000497694030201</c:v>
                </c:pt>
                <c:pt idx="3">
                  <c:v>4.93516998481409</c:v>
                </c:pt>
                <c:pt idx="4">
                  <c:v>7.1664278733973825</c:v>
                </c:pt>
                <c:pt idx="5">
                  <c:v>10.410791617490402</c:v>
                </c:pt>
                <c:pt idx="6">
                  <c:v>15.130097046784146</c:v>
                </c:pt>
                <c:pt idx="7">
                  <c:v>21.997487446391844</c:v>
                </c:pt>
                <c:pt idx="8">
                  <c:v>31.994420451966377</c:v>
                </c:pt>
                <c:pt idx="9">
                  <c:v>46.552345301455006</c:v>
                </c:pt>
                <c:pt idx="10">
                  <c:v>67.759677543529421</c:v>
                </c:pt>
                <c:pt idx="11">
                  <c:v>98.664246863659471</c:v>
                </c:pt>
                <c:pt idx="12">
                  <c:v>143.71537226328297</c:v>
                </c:pt>
                <c:pt idx="13">
                  <c:v>150.5085198437738</c:v>
                </c:pt>
                <c:pt idx="14">
                  <c:v>181.66813736078151</c:v>
                </c:pt>
                <c:pt idx="15">
                  <c:v>212.70239804910193</c:v>
                </c:pt>
                <c:pt idx="16">
                  <c:v>243.63219153359822</c:v>
                </c:pt>
                <c:pt idx="17">
                  <c:v>274.47265011228387</c:v>
                </c:pt>
                <c:pt idx="18">
                  <c:v>305.23522033866374</c:v>
                </c:pt>
                <c:pt idx="19">
                  <c:v>217.97633317853592</c:v>
                </c:pt>
                <c:pt idx="20">
                  <c:v>243.81122169703403</c:v>
                </c:pt>
                <c:pt idx="21">
                  <c:v>269.58386372150011</c:v>
                </c:pt>
                <c:pt idx="22">
                  <c:v>295.30104458450194</c:v>
                </c:pt>
                <c:pt idx="23">
                  <c:v>320.9682705782111</c:v>
                </c:pt>
                <c:pt idx="24">
                  <c:v>346.59009528166484</c:v>
                </c:pt>
                <c:pt idx="25">
                  <c:v>270.34298331048649</c:v>
                </c:pt>
                <c:pt idx="26">
                  <c:v>292.58233627164475</c:v>
                </c:pt>
                <c:pt idx="27">
                  <c:v>314.78395443038511</c:v>
                </c:pt>
                <c:pt idx="28">
                  <c:v>336.95087205446197</c:v>
                </c:pt>
                <c:pt idx="29">
                  <c:v>359.08569164809904</c:v>
                </c:pt>
                <c:pt idx="30">
                  <c:v>381.19066877305704</c:v>
                </c:pt>
                <c:pt idx="31">
                  <c:v>317.25355162035788</c:v>
                </c:pt>
                <c:pt idx="32">
                  <c:v>336.72869926538851</c:v>
                </c:pt>
                <c:pt idx="33">
                  <c:v>356.17905353680152</c:v>
                </c:pt>
                <c:pt idx="34">
                  <c:v>375.60615822359978</c:v>
                </c:pt>
                <c:pt idx="35">
                  <c:v>395.01138443660466</c:v>
                </c:pt>
                <c:pt idx="36">
                  <c:v>414.39595763230847</c:v>
                </c:pt>
                <c:pt idx="37">
                  <c:v>355.24704452320003</c:v>
                </c:pt>
                <c:pt idx="38">
                  <c:v>373.74425409046029</c:v>
                </c:pt>
                <c:pt idx="39">
                  <c:v>392.22152076799495</c:v>
                </c:pt>
                <c:pt idx="40">
                  <c:v>410.6799158393672</c:v>
                </c:pt>
                <c:pt idx="41">
                  <c:v>429.12040646848072</c:v>
                </c:pt>
                <c:pt idx="42">
                  <c:v>447.54386995067097</c:v>
                </c:pt>
                <c:pt idx="43">
                  <c:v>392.26580767185396</c:v>
                </c:pt>
                <c:pt idx="44">
                  <c:v>409.44107422908195</c:v>
                </c:pt>
                <c:pt idx="45">
                  <c:v>426.60078727178939</c:v>
                </c:pt>
                <c:pt idx="46">
                  <c:v>443.74566024874019</c:v>
                </c:pt>
                <c:pt idx="47">
                  <c:v>460.87634700218206</c:v>
                </c:pt>
                <c:pt idx="48">
                  <c:v>477.99344882393416</c:v>
                </c:pt>
                <c:pt idx="49">
                  <c:v>429.42981141856944</c:v>
                </c:pt>
                <c:pt idx="50">
                  <c:v>444.71736133815199</c:v>
                </c:pt>
                <c:pt idx="51">
                  <c:v>459.99365893934191</c:v>
                </c:pt>
                <c:pt idx="52">
                  <c:v>475.25913042471711</c:v>
                </c:pt>
                <c:pt idx="53">
                  <c:v>490.51417239279317</c:v>
                </c:pt>
                <c:pt idx="54">
                  <c:v>505.75915477017446</c:v>
                </c:pt>
                <c:pt idx="55">
                  <c:v>460.01572658133705</c:v>
                </c:pt>
                <c:pt idx="56">
                  <c:v>476.31761585408549</c:v>
                </c:pt>
                <c:pt idx="57">
                  <c:v>492.60764062836614</c:v>
                </c:pt>
                <c:pt idx="58">
                  <c:v>508.88624832362757</c:v>
                </c:pt>
                <c:pt idx="59">
                  <c:v>525.15385541340027</c:v>
                </c:pt>
                <c:pt idx="60">
                  <c:v>541.41085047775289</c:v>
                </c:pt>
                <c:pt idx="61">
                  <c:v>541.41085047775289</c:v>
                </c:pt>
                <c:pt idx="62">
                  <c:v>541.41085047775289</c:v>
                </c:pt>
                <c:pt idx="63">
                  <c:v>541.41085047775289</c:v>
                </c:pt>
                <c:pt idx="64">
                  <c:v>541.41085047775289</c:v>
                </c:pt>
                <c:pt idx="65">
                  <c:v>541.41085047775289</c:v>
                </c:pt>
                <c:pt idx="66">
                  <c:v>541.41085047775289</c:v>
                </c:pt>
                <c:pt idx="67">
                  <c:v>541.41085047775289</c:v>
                </c:pt>
                <c:pt idx="68">
                  <c:v>541.41085047775289</c:v>
                </c:pt>
                <c:pt idx="69">
                  <c:v>541.41085047775289</c:v>
                </c:pt>
                <c:pt idx="70">
                  <c:v>541.41085047775289</c:v>
                </c:pt>
                <c:pt idx="71">
                  <c:v>541.41085047775289</c:v>
                </c:pt>
                <c:pt idx="72">
                  <c:v>541.41085047775289</c:v>
                </c:pt>
                <c:pt idx="73">
                  <c:v>541.41085047775289</c:v>
                </c:pt>
                <c:pt idx="74">
                  <c:v>541.41085047775289</c:v>
                </c:pt>
                <c:pt idx="75">
                  <c:v>541.41085047775289</c:v>
                </c:pt>
                <c:pt idx="76">
                  <c:v>541.41085047775289</c:v>
                </c:pt>
                <c:pt idx="77">
                  <c:v>541.41085047775289</c:v>
                </c:pt>
                <c:pt idx="78">
                  <c:v>541.41085047775289</c:v>
                </c:pt>
                <c:pt idx="79">
                  <c:v>541.41085047775289</c:v>
                </c:pt>
                <c:pt idx="80">
                  <c:v>541.41085047775289</c:v>
                </c:pt>
                <c:pt idx="81">
                  <c:v>541.41085047775289</c:v>
                </c:pt>
                <c:pt idx="82">
                  <c:v>541.41085047775289</c:v>
                </c:pt>
                <c:pt idx="83">
                  <c:v>541.41085047775289</c:v>
                </c:pt>
                <c:pt idx="84">
                  <c:v>541.41085047775289</c:v>
                </c:pt>
                <c:pt idx="85">
                  <c:v>541.41085047775289</c:v>
                </c:pt>
                <c:pt idx="86">
                  <c:v>541.41085047775289</c:v>
                </c:pt>
                <c:pt idx="87">
                  <c:v>541.41085047775289</c:v>
                </c:pt>
                <c:pt idx="88">
                  <c:v>541.41085047775289</c:v>
                </c:pt>
                <c:pt idx="89">
                  <c:v>541.41085047775289</c:v>
                </c:pt>
                <c:pt idx="90">
                  <c:v>541.41085047775289</c:v>
                </c:pt>
                <c:pt idx="91">
                  <c:v>541.41085047775289</c:v>
                </c:pt>
                <c:pt idx="92">
                  <c:v>541.41085047775289</c:v>
                </c:pt>
                <c:pt idx="93">
                  <c:v>541.41085047775289</c:v>
                </c:pt>
                <c:pt idx="94">
                  <c:v>541.41085047775289</c:v>
                </c:pt>
                <c:pt idx="95">
                  <c:v>541.41085047775289</c:v>
                </c:pt>
                <c:pt idx="96">
                  <c:v>541.41085047775289</c:v>
                </c:pt>
                <c:pt idx="97">
                  <c:v>541.41085047775289</c:v>
                </c:pt>
                <c:pt idx="98">
                  <c:v>541.41085047775289</c:v>
                </c:pt>
                <c:pt idx="99">
                  <c:v>541.41085047775289</c:v>
                </c:pt>
                <c:pt idx="100">
                  <c:v>541.41085047775289</c:v>
                </c:pt>
                <c:pt idx="101">
                  <c:v>541.41085047775289</c:v>
                </c:pt>
                <c:pt idx="102">
                  <c:v>541.41085047775289</c:v>
                </c:pt>
                <c:pt idx="103">
                  <c:v>541.41085047775289</c:v>
                </c:pt>
                <c:pt idx="104">
                  <c:v>541.41085047775289</c:v>
                </c:pt>
                <c:pt idx="105">
                  <c:v>541.41085047775289</c:v>
                </c:pt>
                <c:pt idx="106">
                  <c:v>541.41085047775289</c:v>
                </c:pt>
                <c:pt idx="107">
                  <c:v>541.41085047775289</c:v>
                </c:pt>
                <c:pt idx="108">
                  <c:v>541.41085047775289</c:v>
                </c:pt>
                <c:pt idx="109">
                  <c:v>541.41085047775289</c:v>
                </c:pt>
                <c:pt idx="110">
                  <c:v>541.41085047775289</c:v>
                </c:pt>
                <c:pt idx="111">
                  <c:v>541.41085047775289</c:v>
                </c:pt>
                <c:pt idx="112">
                  <c:v>541.41085047775289</c:v>
                </c:pt>
                <c:pt idx="113">
                  <c:v>541.41085047775289</c:v>
                </c:pt>
                <c:pt idx="114">
                  <c:v>541.41085047775289</c:v>
                </c:pt>
                <c:pt idx="115">
                  <c:v>541.41085047775289</c:v>
                </c:pt>
                <c:pt idx="116">
                  <c:v>541.41085047775289</c:v>
                </c:pt>
                <c:pt idx="117">
                  <c:v>541.41085047775289</c:v>
                </c:pt>
                <c:pt idx="118">
                  <c:v>541.41085047775289</c:v>
                </c:pt>
                <c:pt idx="119">
                  <c:v>541.41085047775289</c:v>
                </c:pt>
                <c:pt idx="120">
                  <c:v>541.41085047775289</c:v>
                </c:pt>
                <c:pt idx="121">
                  <c:v>541.41085047775289</c:v>
                </c:pt>
                <c:pt idx="122">
                  <c:v>541.41085047775289</c:v>
                </c:pt>
                <c:pt idx="123">
                  <c:v>541.41085047775289</c:v>
                </c:pt>
                <c:pt idx="124">
                  <c:v>541.41085047775289</c:v>
                </c:pt>
                <c:pt idx="125">
                  <c:v>541.41085047775289</c:v>
                </c:pt>
                <c:pt idx="126">
                  <c:v>541.41085047775289</c:v>
                </c:pt>
                <c:pt idx="127">
                  <c:v>541.41085047775289</c:v>
                </c:pt>
                <c:pt idx="128">
                  <c:v>541.41085047775289</c:v>
                </c:pt>
                <c:pt idx="129">
                  <c:v>541.41085047775289</c:v>
                </c:pt>
                <c:pt idx="130">
                  <c:v>541.41085047775289</c:v>
                </c:pt>
                <c:pt idx="131">
                  <c:v>541.41085047775289</c:v>
                </c:pt>
                <c:pt idx="132">
                  <c:v>541.41085047775289</c:v>
                </c:pt>
                <c:pt idx="133">
                  <c:v>541.41085047775289</c:v>
                </c:pt>
                <c:pt idx="134">
                  <c:v>541.41085047775289</c:v>
                </c:pt>
                <c:pt idx="135">
                  <c:v>541.41085047775289</c:v>
                </c:pt>
                <c:pt idx="136">
                  <c:v>541.41085047775289</c:v>
                </c:pt>
                <c:pt idx="137">
                  <c:v>541.41085047775289</c:v>
                </c:pt>
                <c:pt idx="138">
                  <c:v>541.41085047775289</c:v>
                </c:pt>
                <c:pt idx="139">
                  <c:v>541.41085047775289</c:v>
                </c:pt>
                <c:pt idx="140">
                  <c:v>541.41085047775289</c:v>
                </c:pt>
                <c:pt idx="141">
                  <c:v>541.41085047775289</c:v>
                </c:pt>
                <c:pt idx="142">
                  <c:v>541.41085047775289</c:v>
                </c:pt>
                <c:pt idx="143">
                  <c:v>541.41085047775289</c:v>
                </c:pt>
                <c:pt idx="144">
                  <c:v>541.41085047775289</c:v>
                </c:pt>
                <c:pt idx="145">
                  <c:v>541.41085047775289</c:v>
                </c:pt>
                <c:pt idx="146">
                  <c:v>541.41085047775289</c:v>
                </c:pt>
                <c:pt idx="147">
                  <c:v>541.41085047775289</c:v>
                </c:pt>
                <c:pt idx="148">
                  <c:v>541.41085047775289</c:v>
                </c:pt>
                <c:pt idx="149">
                  <c:v>541.41085047775289</c:v>
                </c:pt>
                <c:pt idx="150">
                  <c:v>541.41085047775289</c:v>
                </c:pt>
                <c:pt idx="151">
                  <c:v>541.41085047775289</c:v>
                </c:pt>
                <c:pt idx="152">
                  <c:v>541.41085047775289</c:v>
                </c:pt>
                <c:pt idx="153">
                  <c:v>541.41085047775289</c:v>
                </c:pt>
                <c:pt idx="154">
                  <c:v>541.41085047775289</c:v>
                </c:pt>
                <c:pt idx="155">
                  <c:v>541.41085047775289</c:v>
                </c:pt>
                <c:pt idx="156">
                  <c:v>541.41085047775289</c:v>
                </c:pt>
                <c:pt idx="157">
                  <c:v>541.41085047775289</c:v>
                </c:pt>
                <c:pt idx="158">
                  <c:v>541.41085047775289</c:v>
                </c:pt>
                <c:pt idx="159">
                  <c:v>541.41085047775289</c:v>
                </c:pt>
                <c:pt idx="160">
                  <c:v>541.41085047775289</c:v>
                </c:pt>
                <c:pt idx="161">
                  <c:v>541.41085047775289</c:v>
                </c:pt>
                <c:pt idx="162">
                  <c:v>541.41085047775289</c:v>
                </c:pt>
                <c:pt idx="163">
                  <c:v>541.41085047775289</c:v>
                </c:pt>
                <c:pt idx="164">
                  <c:v>541.41085047775289</c:v>
                </c:pt>
                <c:pt idx="165">
                  <c:v>541.41085047775289</c:v>
                </c:pt>
                <c:pt idx="166">
                  <c:v>541.41085047775289</c:v>
                </c:pt>
                <c:pt idx="167">
                  <c:v>541.41085047775289</c:v>
                </c:pt>
                <c:pt idx="168">
                  <c:v>541.41085047775289</c:v>
                </c:pt>
                <c:pt idx="169">
                  <c:v>541.41085047775289</c:v>
                </c:pt>
                <c:pt idx="170">
                  <c:v>541.41085047775289</c:v>
                </c:pt>
                <c:pt idx="171">
                  <c:v>541.41085047775289</c:v>
                </c:pt>
                <c:pt idx="172">
                  <c:v>541.41085047775289</c:v>
                </c:pt>
                <c:pt idx="173">
                  <c:v>541.41085047775289</c:v>
                </c:pt>
                <c:pt idx="174">
                  <c:v>541.41085047775289</c:v>
                </c:pt>
                <c:pt idx="175">
                  <c:v>541.41085047775289</c:v>
                </c:pt>
                <c:pt idx="176">
                  <c:v>541.41085047775289</c:v>
                </c:pt>
                <c:pt idx="177">
                  <c:v>541.41085047775289</c:v>
                </c:pt>
                <c:pt idx="178">
                  <c:v>541.41085047775289</c:v>
                </c:pt>
                <c:pt idx="179">
                  <c:v>541.41085047775289</c:v>
                </c:pt>
                <c:pt idx="180">
                  <c:v>541.41085047775289</c:v>
                </c:pt>
                <c:pt idx="181">
                  <c:v>541.41085047775289</c:v>
                </c:pt>
                <c:pt idx="182">
                  <c:v>541.41085047775289</c:v>
                </c:pt>
                <c:pt idx="183">
                  <c:v>541.41085047775289</c:v>
                </c:pt>
                <c:pt idx="184">
                  <c:v>541.41085047775289</c:v>
                </c:pt>
                <c:pt idx="185">
                  <c:v>541.41085047775289</c:v>
                </c:pt>
                <c:pt idx="186">
                  <c:v>541.41085047775289</c:v>
                </c:pt>
                <c:pt idx="187">
                  <c:v>541.41085047775289</c:v>
                </c:pt>
                <c:pt idx="188">
                  <c:v>541.41085047775289</c:v>
                </c:pt>
                <c:pt idx="189">
                  <c:v>541.41085047775289</c:v>
                </c:pt>
                <c:pt idx="190">
                  <c:v>541.41085047775289</c:v>
                </c:pt>
                <c:pt idx="191">
                  <c:v>541.41085047775289</c:v>
                </c:pt>
                <c:pt idx="192">
                  <c:v>541.41085047775289</c:v>
                </c:pt>
                <c:pt idx="193">
                  <c:v>541.41085047775289</c:v>
                </c:pt>
                <c:pt idx="194">
                  <c:v>541.41085047775289</c:v>
                </c:pt>
                <c:pt idx="195">
                  <c:v>541.41085047775289</c:v>
                </c:pt>
                <c:pt idx="196">
                  <c:v>541.41085047775289</c:v>
                </c:pt>
                <c:pt idx="197">
                  <c:v>541.41085047775289</c:v>
                </c:pt>
                <c:pt idx="198">
                  <c:v>541.41085047775289</c:v>
                </c:pt>
                <c:pt idx="199">
                  <c:v>541.41085047775289</c:v>
                </c:pt>
                <c:pt idx="200">
                  <c:v>541.41085047775289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570.81918970877257</c:v>
                </c:pt>
                <c:pt idx="62">
                  <c:v>580.90031938116931</c:v>
                </c:pt>
                <c:pt idx="63">
                  <c:v>590.97780129118485</c:v>
                </c:pt>
                <c:pt idx="64">
                  <c:v>601.05170640358597</c:v>
                </c:pt>
                <c:pt idx="65">
                  <c:v>611.12210311064734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626.22126355197054</c:v>
                </c:pt>
                <c:pt idx="77">
                  <c:v>632.92957124167299</c:v>
                </c:pt>
                <c:pt idx="78">
                  <c:v>639.63640905269347</c:v>
                </c:pt>
                <c:pt idx="79">
                  <c:v>646.34179457229197</c:v>
                </c:pt>
                <c:pt idx="80">
                  <c:v>653.0457449930251</c:v>
                </c:pt>
                <c:pt idx="81">
                  <c:v>631.25263281623893</c:v>
                </c:pt>
                <c:pt idx="82">
                  <c:v>631.25263281623893</c:v>
                </c:pt>
                <c:pt idx="83">
                  <c:v>631.25263281623893</c:v>
                </c:pt>
                <c:pt idx="84">
                  <c:v>631.25263281623893</c:v>
                </c:pt>
                <c:pt idx="85">
                  <c:v>631.25263281623893</c:v>
                </c:pt>
                <c:pt idx="86">
                  <c:v>631.25263281623893</c:v>
                </c:pt>
                <c:pt idx="87">
                  <c:v>631.25263281623893</c:v>
                </c:pt>
                <c:pt idx="88">
                  <c:v>631.25263281623893</c:v>
                </c:pt>
                <c:pt idx="89">
                  <c:v>631.25263281623893</c:v>
                </c:pt>
                <c:pt idx="90">
                  <c:v>631.25263281623893</c:v>
                </c:pt>
                <c:pt idx="91">
                  <c:v>631.25263281623893</c:v>
                </c:pt>
                <c:pt idx="92">
                  <c:v>631.25263281623893</c:v>
                </c:pt>
                <c:pt idx="93">
                  <c:v>631.25263281623893</c:v>
                </c:pt>
                <c:pt idx="94">
                  <c:v>631.25263281623893</c:v>
                </c:pt>
                <c:pt idx="95">
                  <c:v>631.25263281623893</c:v>
                </c:pt>
                <c:pt idx="96">
                  <c:v>631.25263281623893</c:v>
                </c:pt>
                <c:pt idx="97">
                  <c:v>631.25263281623893</c:v>
                </c:pt>
                <c:pt idx="98">
                  <c:v>631.25263281623893</c:v>
                </c:pt>
                <c:pt idx="99">
                  <c:v>631.25263281623893</c:v>
                </c:pt>
                <c:pt idx="100">
                  <c:v>631.25263281623893</c:v>
                </c:pt>
                <c:pt idx="101">
                  <c:v>631.25263281623893</c:v>
                </c:pt>
                <c:pt idx="102">
                  <c:v>631.25263281623893</c:v>
                </c:pt>
                <c:pt idx="103">
                  <c:v>631.25263281623893</c:v>
                </c:pt>
                <c:pt idx="104">
                  <c:v>631.25263281623893</c:v>
                </c:pt>
                <c:pt idx="105">
                  <c:v>631.25263281623893</c:v>
                </c:pt>
                <c:pt idx="106">
                  <c:v>631.25263281623893</c:v>
                </c:pt>
                <c:pt idx="107">
                  <c:v>631.25263281623893</c:v>
                </c:pt>
                <c:pt idx="108">
                  <c:v>631.25263281623893</c:v>
                </c:pt>
                <c:pt idx="109">
                  <c:v>631.25263281623893</c:v>
                </c:pt>
                <c:pt idx="110">
                  <c:v>631.25263281623893</c:v>
                </c:pt>
                <c:pt idx="111">
                  <c:v>631.25263281623893</c:v>
                </c:pt>
                <c:pt idx="112">
                  <c:v>631.25263281623893</c:v>
                </c:pt>
                <c:pt idx="113">
                  <c:v>631.25263281623893</c:v>
                </c:pt>
                <c:pt idx="114">
                  <c:v>631.25263281623893</c:v>
                </c:pt>
                <c:pt idx="115">
                  <c:v>631.25263281623893</c:v>
                </c:pt>
                <c:pt idx="116">
                  <c:v>631.25263281623893</c:v>
                </c:pt>
                <c:pt idx="117">
                  <c:v>631.25263281623893</c:v>
                </c:pt>
                <c:pt idx="118">
                  <c:v>631.25263281623893</c:v>
                </c:pt>
                <c:pt idx="119">
                  <c:v>631.25263281623893</c:v>
                </c:pt>
                <c:pt idx="120">
                  <c:v>631.25263281623893</c:v>
                </c:pt>
                <c:pt idx="121">
                  <c:v>631.25263281623893</c:v>
                </c:pt>
                <c:pt idx="122">
                  <c:v>631.25263281623893</c:v>
                </c:pt>
                <c:pt idx="123">
                  <c:v>631.25263281623893</c:v>
                </c:pt>
                <c:pt idx="124">
                  <c:v>631.25263281623893</c:v>
                </c:pt>
                <c:pt idx="125">
                  <c:v>631.25263281623893</c:v>
                </c:pt>
                <c:pt idx="126">
                  <c:v>631.25263281623893</c:v>
                </c:pt>
                <c:pt idx="127">
                  <c:v>631.25263281623893</c:v>
                </c:pt>
                <c:pt idx="128">
                  <c:v>631.25263281623893</c:v>
                </c:pt>
                <c:pt idx="129">
                  <c:v>631.25263281623893</c:v>
                </c:pt>
                <c:pt idx="130">
                  <c:v>631.25263281623893</c:v>
                </c:pt>
                <c:pt idx="131">
                  <c:v>631.25263281623893</c:v>
                </c:pt>
                <c:pt idx="132">
                  <c:v>631.25263281623893</c:v>
                </c:pt>
                <c:pt idx="133">
                  <c:v>631.25263281623893</c:v>
                </c:pt>
                <c:pt idx="134">
                  <c:v>631.25263281623893</c:v>
                </c:pt>
                <c:pt idx="135">
                  <c:v>631.25263281623893</c:v>
                </c:pt>
                <c:pt idx="136">
                  <c:v>631.25263281623893</c:v>
                </c:pt>
                <c:pt idx="137">
                  <c:v>631.25263281623893</c:v>
                </c:pt>
                <c:pt idx="138">
                  <c:v>631.25263281623893</c:v>
                </c:pt>
                <c:pt idx="139">
                  <c:v>631.25263281623893</c:v>
                </c:pt>
                <c:pt idx="140">
                  <c:v>631.25263281623893</c:v>
                </c:pt>
                <c:pt idx="141">
                  <c:v>631.25263281623893</c:v>
                </c:pt>
                <c:pt idx="142">
                  <c:v>631.25263281623893</c:v>
                </c:pt>
                <c:pt idx="143">
                  <c:v>631.25263281623893</c:v>
                </c:pt>
                <c:pt idx="144">
                  <c:v>631.25263281623893</c:v>
                </c:pt>
                <c:pt idx="145">
                  <c:v>631.25263281623893</c:v>
                </c:pt>
                <c:pt idx="146">
                  <c:v>631.25263281623893</c:v>
                </c:pt>
                <c:pt idx="147">
                  <c:v>631.25263281623893</c:v>
                </c:pt>
                <c:pt idx="148">
                  <c:v>631.25263281623893</c:v>
                </c:pt>
                <c:pt idx="149">
                  <c:v>631.25263281623893</c:v>
                </c:pt>
                <c:pt idx="150">
                  <c:v>631.25263281623893</c:v>
                </c:pt>
                <c:pt idx="151">
                  <c:v>631.25263281623893</c:v>
                </c:pt>
                <c:pt idx="152">
                  <c:v>631.25263281623893</c:v>
                </c:pt>
                <c:pt idx="153">
                  <c:v>631.25263281623893</c:v>
                </c:pt>
                <c:pt idx="154">
                  <c:v>631.25263281623893</c:v>
                </c:pt>
                <c:pt idx="155">
                  <c:v>631.25263281623893</c:v>
                </c:pt>
                <c:pt idx="156">
                  <c:v>631.25263281623893</c:v>
                </c:pt>
                <c:pt idx="157">
                  <c:v>631.25263281623893</c:v>
                </c:pt>
                <c:pt idx="158">
                  <c:v>631.25263281623893</c:v>
                </c:pt>
                <c:pt idx="159">
                  <c:v>631.25263281623893</c:v>
                </c:pt>
                <c:pt idx="160">
                  <c:v>631.25263281623893</c:v>
                </c:pt>
                <c:pt idx="161">
                  <c:v>631.25263281623893</c:v>
                </c:pt>
                <c:pt idx="162">
                  <c:v>631.25263281623893</c:v>
                </c:pt>
                <c:pt idx="163">
                  <c:v>631.25263281623893</c:v>
                </c:pt>
                <c:pt idx="164">
                  <c:v>631.25263281623893</c:v>
                </c:pt>
                <c:pt idx="165">
                  <c:v>631.25263281623893</c:v>
                </c:pt>
                <c:pt idx="166">
                  <c:v>631.25263281623893</c:v>
                </c:pt>
                <c:pt idx="167">
                  <c:v>631.25263281623893</c:v>
                </c:pt>
                <c:pt idx="168">
                  <c:v>631.25263281623893</c:v>
                </c:pt>
                <c:pt idx="169">
                  <c:v>631.25263281623893</c:v>
                </c:pt>
                <c:pt idx="170">
                  <c:v>631.25263281623893</c:v>
                </c:pt>
                <c:pt idx="171">
                  <c:v>631.25263281623893</c:v>
                </c:pt>
                <c:pt idx="172">
                  <c:v>631.25263281623893</c:v>
                </c:pt>
                <c:pt idx="173">
                  <c:v>631.25263281623893</c:v>
                </c:pt>
                <c:pt idx="174">
                  <c:v>631.25263281623893</c:v>
                </c:pt>
                <c:pt idx="175">
                  <c:v>631.25263281623893</c:v>
                </c:pt>
                <c:pt idx="176">
                  <c:v>631.25263281623893</c:v>
                </c:pt>
                <c:pt idx="177">
                  <c:v>631.25263281623893</c:v>
                </c:pt>
                <c:pt idx="178">
                  <c:v>631.25263281623893</c:v>
                </c:pt>
                <c:pt idx="179">
                  <c:v>631.25263281623893</c:v>
                </c:pt>
                <c:pt idx="180">
                  <c:v>631.25263281623893</c:v>
                </c:pt>
                <c:pt idx="181">
                  <c:v>631.25263281623893</c:v>
                </c:pt>
                <c:pt idx="182">
                  <c:v>631.25263281623893</c:v>
                </c:pt>
                <c:pt idx="183">
                  <c:v>631.25263281623893</c:v>
                </c:pt>
                <c:pt idx="184">
                  <c:v>631.25263281623893</c:v>
                </c:pt>
                <c:pt idx="185">
                  <c:v>631.25263281623893</c:v>
                </c:pt>
                <c:pt idx="186">
                  <c:v>631.25263281623893</c:v>
                </c:pt>
                <c:pt idx="187">
                  <c:v>631.25263281623893</c:v>
                </c:pt>
                <c:pt idx="188">
                  <c:v>631.25263281623893</c:v>
                </c:pt>
                <c:pt idx="189">
                  <c:v>631.25263281623893</c:v>
                </c:pt>
                <c:pt idx="190">
                  <c:v>631.25263281623893</c:v>
                </c:pt>
                <c:pt idx="191">
                  <c:v>631.25263281623893</c:v>
                </c:pt>
                <c:pt idx="192">
                  <c:v>631.25263281623893</c:v>
                </c:pt>
                <c:pt idx="193">
                  <c:v>631.25263281623893</c:v>
                </c:pt>
                <c:pt idx="194">
                  <c:v>631.25263281623893</c:v>
                </c:pt>
                <c:pt idx="195">
                  <c:v>631.25263281623893</c:v>
                </c:pt>
                <c:pt idx="196">
                  <c:v>631.25263281623893</c:v>
                </c:pt>
                <c:pt idx="197">
                  <c:v>631.25263281623893</c:v>
                </c:pt>
                <c:pt idx="198">
                  <c:v>631.25263281623893</c:v>
                </c:pt>
                <c:pt idx="199">
                  <c:v>631.25263281623893</c:v>
                </c:pt>
                <c:pt idx="200">
                  <c:v>631.25263281623893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1.6708208289081574</c:v>
                </c:pt>
                <c:pt idx="2">
                  <c:v>2.163178073386427</c:v>
                </c:pt>
                <c:pt idx="3">
                  <c:v>2.8012174746327188</c:v>
                </c:pt>
                <c:pt idx="4">
                  <c:v>3.6282106482914434</c:v>
                </c:pt>
                <c:pt idx="5">
                  <c:v>4.7003283237568159</c:v>
                </c:pt>
                <c:pt idx="6">
                  <c:v>6.0904983497899456</c:v>
                </c:pt>
                <c:pt idx="7">
                  <c:v>7.8934211379575494</c:v>
                </c:pt>
                <c:pt idx="8">
                  <c:v>10.232090762095874</c:v>
                </c:pt>
                <c:pt idx="9">
                  <c:v>13.266274962332382</c:v>
                </c:pt>
                <c:pt idx="10">
                  <c:v>17.203544085368073</c:v>
                </c:pt>
                <c:pt idx="11">
                  <c:v>22.313617148310872</c:v>
                </c:pt>
                <c:pt idx="12">
                  <c:v>28.947025280656934</c:v>
                </c:pt>
                <c:pt idx="13">
                  <c:v>37.559395124744732</c:v>
                </c:pt>
                <c:pt idx="14">
                  <c:v>48.743048671219157</c:v>
                </c:pt>
                <c:pt idx="15">
                  <c:v>63.26812926080428</c:v>
                </c:pt>
                <c:pt idx="16">
                  <c:v>91.465786550472217</c:v>
                </c:pt>
                <c:pt idx="17">
                  <c:v>119.44328066165535</c:v>
                </c:pt>
                <c:pt idx="18">
                  <c:v>147.26006612469442</c:v>
                </c:pt>
                <c:pt idx="19">
                  <c:v>174.95094251296169</c:v>
                </c:pt>
                <c:pt idx="20">
                  <c:v>202.53869517569197</c:v>
                </c:pt>
                <c:pt idx="21">
                  <c:v>189.07736081536709</c:v>
                </c:pt>
                <c:pt idx="22">
                  <c:v>221.52055911910176</c:v>
                </c:pt>
                <c:pt idx="23">
                  <c:v>253.85456933232786</c:v>
                </c:pt>
                <c:pt idx="24">
                  <c:v>286.09525856499152</c:v>
                </c:pt>
                <c:pt idx="25">
                  <c:v>318.25461813727674</c:v>
                </c:pt>
                <c:pt idx="26">
                  <c:v>270.40996214485261</c:v>
                </c:pt>
                <c:pt idx="27">
                  <c:v>304.08848473578604</c:v>
                </c:pt>
                <c:pt idx="28">
                  <c:v>337.6840193812842</c:v>
                </c:pt>
                <c:pt idx="29">
                  <c:v>371.20597553980701</c:v>
                </c:pt>
                <c:pt idx="30">
                  <c:v>404.66192417221941</c:v>
                </c:pt>
                <c:pt idx="31">
                  <c:v>356.03481754405396</c:v>
                </c:pt>
                <c:pt idx="32">
                  <c:v>388.46781006988311</c:v>
                </c:pt>
                <c:pt idx="33">
                  <c:v>420.84203117611963</c:v>
                </c:pt>
                <c:pt idx="34">
                  <c:v>453.16263150905041</c:v>
                </c:pt>
                <c:pt idx="35">
                  <c:v>485.43396761372065</c:v>
                </c:pt>
                <c:pt idx="36">
                  <c:v>435.74946916782238</c:v>
                </c:pt>
                <c:pt idx="37">
                  <c:v>466.78943004630463</c:v>
                </c:pt>
                <c:pt idx="38">
                  <c:v>497.78541142859484</c:v>
                </c:pt>
                <c:pt idx="39">
                  <c:v>528.7405328723429</c:v>
                </c:pt>
                <c:pt idx="40">
                  <c:v>559.65751929195142</c:v>
                </c:pt>
                <c:pt idx="41">
                  <c:v>508.66604379284121</c:v>
                </c:pt>
                <c:pt idx="42">
                  <c:v>538.14488655121613</c:v>
                </c:pt>
                <c:pt idx="43">
                  <c:v>567.58980946497468</c:v>
                </c:pt>
                <c:pt idx="44">
                  <c:v>597.00281707875183</c:v>
                </c:pt>
                <c:pt idx="45">
                  <c:v>626.38570057063134</c:v>
                </c:pt>
                <c:pt idx="46">
                  <c:v>573.85050540888926</c:v>
                </c:pt>
                <c:pt idx="47">
                  <c:v>601.58932106586462</c:v>
                </c:pt>
                <c:pt idx="48">
                  <c:v>629.30156886637451</c:v>
                </c:pt>
                <c:pt idx="49">
                  <c:v>656.98858165602678</c:v>
                </c:pt>
                <c:pt idx="50">
                  <c:v>684.65157093676453</c:v>
                </c:pt>
                <c:pt idx="51">
                  <c:v>630.96765373572316</c:v>
                </c:pt>
                <c:pt idx="52">
                  <c:v>657.40474147385248</c:v>
                </c:pt>
                <c:pt idx="53">
                  <c:v>683.81994089448472</c:v>
                </c:pt>
                <c:pt idx="54">
                  <c:v>710.21421527675409</c:v>
                </c:pt>
                <c:pt idx="55">
                  <c:v>736.58845056468351</c:v>
                </c:pt>
                <c:pt idx="56">
                  <c:v>685.48318025651076</c:v>
                </c:pt>
                <c:pt idx="57">
                  <c:v>710.21421527675409</c:v>
                </c:pt>
                <c:pt idx="58">
                  <c:v>734.92765690824933</c:v>
                </c:pt>
                <c:pt idx="59">
                  <c:v>759.62417920474752</c:v>
                </c:pt>
                <c:pt idx="60">
                  <c:v>784.30440887889836</c:v>
                </c:pt>
                <c:pt idx="61">
                  <c:v>739.07949813858215</c:v>
                </c:pt>
                <c:pt idx="62">
                  <c:v>762.32112060791712</c:v>
                </c:pt>
                <c:pt idx="63">
                  <c:v>785.5483695028073</c:v>
                </c:pt>
                <c:pt idx="64">
                  <c:v>808.7617290710632</c:v>
                </c:pt>
                <c:pt idx="65">
                  <c:v>831.96165353467279</c:v>
                </c:pt>
                <c:pt idx="66">
                  <c:v>790.10921803182828</c:v>
                </c:pt>
                <c:pt idx="67">
                  <c:v>812.49118300447708</c:v>
                </c:pt>
                <c:pt idx="68">
                  <c:v>834.86072097789531</c:v>
                </c:pt>
                <c:pt idx="69">
                  <c:v>857.21821134649679</c:v>
                </c:pt>
                <c:pt idx="70">
                  <c:v>879.56401212877552</c:v>
                </c:pt>
                <c:pt idx="71">
                  <c:v>838.58779608834539</c:v>
                </c:pt>
                <c:pt idx="72">
                  <c:v>859.70164901109058</c:v>
                </c:pt>
                <c:pt idx="73">
                  <c:v>880.8051096418734</c:v>
                </c:pt>
                <c:pt idx="74">
                  <c:v>901.89846169493296</c:v>
                </c:pt>
                <c:pt idx="75">
                  <c:v>922.98197455025081</c:v>
                </c:pt>
                <c:pt idx="76">
                  <c:v>882.25301254160865</c:v>
                </c:pt>
                <c:pt idx="77">
                  <c:v>901.48496198577732</c:v>
                </c:pt>
                <c:pt idx="78">
                  <c:v>920.70872783184029</c:v>
                </c:pt>
                <c:pt idx="79">
                  <c:v>939.92450478949831</c:v>
                </c:pt>
                <c:pt idx="80">
                  <c:v>959.13247896881603</c:v>
                </c:pt>
                <c:pt idx="81">
                  <c:v>900.24444014394294</c:v>
                </c:pt>
                <c:pt idx="82">
                  <c:v>900.24444014394294</c:v>
                </c:pt>
                <c:pt idx="83">
                  <c:v>900.24444014394294</c:v>
                </c:pt>
                <c:pt idx="84">
                  <c:v>900.24444014394294</c:v>
                </c:pt>
                <c:pt idx="85">
                  <c:v>900.24444014394294</c:v>
                </c:pt>
                <c:pt idx="86">
                  <c:v>900.24444014394294</c:v>
                </c:pt>
                <c:pt idx="87">
                  <c:v>900.24444014394294</c:v>
                </c:pt>
                <c:pt idx="88">
                  <c:v>900.24444014394294</c:v>
                </c:pt>
                <c:pt idx="89">
                  <c:v>900.24444014394294</c:v>
                </c:pt>
                <c:pt idx="90">
                  <c:v>900.24444014394294</c:v>
                </c:pt>
                <c:pt idx="91">
                  <c:v>900.24444014394294</c:v>
                </c:pt>
                <c:pt idx="92">
                  <c:v>900.24444014394294</c:v>
                </c:pt>
                <c:pt idx="93">
                  <c:v>900.24444014394294</c:v>
                </c:pt>
                <c:pt idx="94">
                  <c:v>900.24444014394294</c:v>
                </c:pt>
                <c:pt idx="95">
                  <c:v>900.24444014394294</c:v>
                </c:pt>
                <c:pt idx="96">
                  <c:v>900.24444014394294</c:v>
                </c:pt>
                <c:pt idx="97">
                  <c:v>900.24444014394294</c:v>
                </c:pt>
                <c:pt idx="98">
                  <c:v>900.24444014394294</c:v>
                </c:pt>
                <c:pt idx="99">
                  <c:v>900.24444014394294</c:v>
                </c:pt>
                <c:pt idx="100">
                  <c:v>900.24444014394294</c:v>
                </c:pt>
                <c:pt idx="101">
                  <c:v>900.24444014394294</c:v>
                </c:pt>
                <c:pt idx="102">
                  <c:v>900.24444014394294</c:v>
                </c:pt>
                <c:pt idx="103">
                  <c:v>900.24444014394294</c:v>
                </c:pt>
                <c:pt idx="104">
                  <c:v>900.24444014394294</c:v>
                </c:pt>
                <c:pt idx="105">
                  <c:v>900.24444014394294</c:v>
                </c:pt>
                <c:pt idx="106">
                  <c:v>900.24444014394294</c:v>
                </c:pt>
                <c:pt idx="107">
                  <c:v>900.24444014394294</c:v>
                </c:pt>
                <c:pt idx="108">
                  <c:v>900.24444014394294</c:v>
                </c:pt>
                <c:pt idx="109">
                  <c:v>900.24444014394294</c:v>
                </c:pt>
                <c:pt idx="110">
                  <c:v>900.24444014394294</c:v>
                </c:pt>
                <c:pt idx="111">
                  <c:v>900.24444014394294</c:v>
                </c:pt>
                <c:pt idx="112">
                  <c:v>900.24444014394294</c:v>
                </c:pt>
                <c:pt idx="113">
                  <c:v>900.24444014394294</c:v>
                </c:pt>
                <c:pt idx="114">
                  <c:v>900.24444014394294</c:v>
                </c:pt>
                <c:pt idx="115">
                  <c:v>900.24444014394294</c:v>
                </c:pt>
                <c:pt idx="116">
                  <c:v>900.24444014394294</c:v>
                </c:pt>
                <c:pt idx="117">
                  <c:v>900.24444014394294</c:v>
                </c:pt>
                <c:pt idx="118">
                  <c:v>900.24444014394294</c:v>
                </c:pt>
                <c:pt idx="119">
                  <c:v>900.24444014394294</c:v>
                </c:pt>
                <c:pt idx="120">
                  <c:v>900.24444014394294</c:v>
                </c:pt>
                <c:pt idx="121">
                  <c:v>900.24444014394294</c:v>
                </c:pt>
                <c:pt idx="122">
                  <c:v>900.24444014394294</c:v>
                </c:pt>
                <c:pt idx="123">
                  <c:v>900.24444014394294</c:v>
                </c:pt>
                <c:pt idx="124">
                  <c:v>900.24444014394294</c:v>
                </c:pt>
                <c:pt idx="125">
                  <c:v>900.24444014394294</c:v>
                </c:pt>
                <c:pt idx="126">
                  <c:v>900.24444014394294</c:v>
                </c:pt>
                <c:pt idx="127">
                  <c:v>900.24444014394294</c:v>
                </c:pt>
                <c:pt idx="128">
                  <c:v>900.24444014394294</c:v>
                </c:pt>
                <c:pt idx="129">
                  <c:v>900.24444014394294</c:v>
                </c:pt>
                <c:pt idx="130">
                  <c:v>900.24444014394294</c:v>
                </c:pt>
                <c:pt idx="131">
                  <c:v>900.24444014394294</c:v>
                </c:pt>
                <c:pt idx="132">
                  <c:v>900.24444014394294</c:v>
                </c:pt>
                <c:pt idx="133">
                  <c:v>900.24444014394294</c:v>
                </c:pt>
                <c:pt idx="134">
                  <c:v>900.24444014394294</c:v>
                </c:pt>
                <c:pt idx="135">
                  <c:v>900.24444014394294</c:v>
                </c:pt>
                <c:pt idx="136">
                  <c:v>900.24444014394294</c:v>
                </c:pt>
                <c:pt idx="137">
                  <c:v>900.24444014394294</c:v>
                </c:pt>
                <c:pt idx="138">
                  <c:v>900.24444014394294</c:v>
                </c:pt>
                <c:pt idx="139">
                  <c:v>900.24444014394294</c:v>
                </c:pt>
                <c:pt idx="140">
                  <c:v>900.24444014394294</c:v>
                </c:pt>
                <c:pt idx="141">
                  <c:v>900.24444014394294</c:v>
                </c:pt>
                <c:pt idx="142">
                  <c:v>900.24444014394294</c:v>
                </c:pt>
                <c:pt idx="143">
                  <c:v>900.24444014394294</c:v>
                </c:pt>
                <c:pt idx="144">
                  <c:v>900.24444014394294</c:v>
                </c:pt>
                <c:pt idx="145">
                  <c:v>900.24444014394294</c:v>
                </c:pt>
                <c:pt idx="146">
                  <c:v>900.24444014394294</c:v>
                </c:pt>
                <c:pt idx="147">
                  <c:v>900.24444014394294</c:v>
                </c:pt>
                <c:pt idx="148">
                  <c:v>900.24444014394294</c:v>
                </c:pt>
                <c:pt idx="149">
                  <c:v>900.24444014394294</c:v>
                </c:pt>
                <c:pt idx="150">
                  <c:v>900.24444014394294</c:v>
                </c:pt>
                <c:pt idx="151">
                  <c:v>900.24444014394294</c:v>
                </c:pt>
                <c:pt idx="152">
                  <c:v>900.24444014394294</c:v>
                </c:pt>
                <c:pt idx="153">
                  <c:v>900.24444014394294</c:v>
                </c:pt>
                <c:pt idx="154">
                  <c:v>900.24444014394294</c:v>
                </c:pt>
                <c:pt idx="155">
                  <c:v>900.24444014394294</c:v>
                </c:pt>
                <c:pt idx="156">
                  <c:v>900.24444014394294</c:v>
                </c:pt>
                <c:pt idx="157">
                  <c:v>900.24444014394294</c:v>
                </c:pt>
                <c:pt idx="158">
                  <c:v>900.24444014394294</c:v>
                </c:pt>
                <c:pt idx="159">
                  <c:v>900.24444014394294</c:v>
                </c:pt>
                <c:pt idx="160">
                  <c:v>900.24444014394294</c:v>
                </c:pt>
                <c:pt idx="161">
                  <c:v>900.24444014394294</c:v>
                </c:pt>
                <c:pt idx="162">
                  <c:v>900.24444014394294</c:v>
                </c:pt>
                <c:pt idx="163">
                  <c:v>900.24444014394294</c:v>
                </c:pt>
                <c:pt idx="164">
                  <c:v>900.24444014394294</c:v>
                </c:pt>
                <c:pt idx="165">
                  <c:v>900.24444014394294</c:v>
                </c:pt>
                <c:pt idx="166">
                  <c:v>900.24444014394294</c:v>
                </c:pt>
                <c:pt idx="167">
                  <c:v>900.24444014394294</c:v>
                </c:pt>
                <c:pt idx="168">
                  <c:v>900.24444014394294</c:v>
                </c:pt>
                <c:pt idx="169">
                  <c:v>900.24444014394294</c:v>
                </c:pt>
                <c:pt idx="170">
                  <c:v>900.24444014394294</c:v>
                </c:pt>
                <c:pt idx="171">
                  <c:v>900.24444014394294</c:v>
                </c:pt>
                <c:pt idx="172">
                  <c:v>900.24444014394294</c:v>
                </c:pt>
                <c:pt idx="173">
                  <c:v>900.24444014394294</c:v>
                </c:pt>
                <c:pt idx="174">
                  <c:v>900.24444014394294</c:v>
                </c:pt>
                <c:pt idx="175">
                  <c:v>900.24444014394294</c:v>
                </c:pt>
                <c:pt idx="176">
                  <c:v>900.24444014394294</c:v>
                </c:pt>
                <c:pt idx="177">
                  <c:v>900.24444014394294</c:v>
                </c:pt>
                <c:pt idx="178">
                  <c:v>900.24444014394294</c:v>
                </c:pt>
                <c:pt idx="179">
                  <c:v>900.24444014394294</c:v>
                </c:pt>
                <c:pt idx="180">
                  <c:v>900.24444014394294</c:v>
                </c:pt>
                <c:pt idx="181">
                  <c:v>900.24444014394294</c:v>
                </c:pt>
                <c:pt idx="182">
                  <c:v>900.24444014394294</c:v>
                </c:pt>
                <c:pt idx="183">
                  <c:v>900.24444014394294</c:v>
                </c:pt>
                <c:pt idx="184">
                  <c:v>900.24444014394294</c:v>
                </c:pt>
                <c:pt idx="185">
                  <c:v>900.24444014394294</c:v>
                </c:pt>
                <c:pt idx="186">
                  <c:v>900.24444014394294</c:v>
                </c:pt>
                <c:pt idx="187">
                  <c:v>900.24444014394294</c:v>
                </c:pt>
                <c:pt idx="188">
                  <c:v>900.24444014394294</c:v>
                </c:pt>
                <c:pt idx="189">
                  <c:v>900.24444014394294</c:v>
                </c:pt>
                <c:pt idx="190">
                  <c:v>900.24444014394294</c:v>
                </c:pt>
                <c:pt idx="191">
                  <c:v>900.24444014394294</c:v>
                </c:pt>
                <c:pt idx="192">
                  <c:v>900.24444014394294</c:v>
                </c:pt>
                <c:pt idx="193">
                  <c:v>900.24444014394294</c:v>
                </c:pt>
                <c:pt idx="194">
                  <c:v>900.24444014394294</c:v>
                </c:pt>
                <c:pt idx="195">
                  <c:v>900.24444014394294</c:v>
                </c:pt>
                <c:pt idx="196">
                  <c:v>900.24444014394294</c:v>
                </c:pt>
                <c:pt idx="197">
                  <c:v>900.24444014394294</c:v>
                </c:pt>
                <c:pt idx="198">
                  <c:v>900.24444014394294</c:v>
                </c:pt>
                <c:pt idx="199">
                  <c:v>900.24444014394294</c:v>
                </c:pt>
                <c:pt idx="200">
                  <c:v>900.24444014394294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7" t="s">
        <v>291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</row>
    <row r="13" spans="2:13" ht="15" customHeight="1" x14ac:dyDescent="0.3"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267"/>
    </row>
    <row r="14" spans="2:13" ht="15" customHeight="1" x14ac:dyDescent="0.3"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</row>
    <row r="15" spans="2:13" ht="18.75" customHeight="1" x14ac:dyDescent="0.3"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</row>
    <row r="16" spans="2:13" ht="18.75" customHeight="1" x14ac:dyDescent="0.3"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</row>
    <row r="18" spans="2:13" ht="12" customHeight="1" x14ac:dyDescent="0.3">
      <c r="B18" s="267" t="s">
        <v>292</v>
      </c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</row>
    <row r="19" spans="2:13" ht="12" customHeight="1" x14ac:dyDescent="0.3">
      <c r="B19" s="267"/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</row>
    <row r="20" spans="2:13" ht="12" customHeight="1" x14ac:dyDescent="0.3"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</row>
    <row r="21" spans="2:13" ht="12" customHeight="1" x14ac:dyDescent="0.3"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</row>
    <row r="22" spans="2:13" ht="12" customHeight="1" x14ac:dyDescent="0.3"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</row>
    <row r="23" spans="2:13" ht="12" customHeight="1" x14ac:dyDescent="0.3"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</row>
    <row r="24" spans="2:13" ht="12" customHeight="1" x14ac:dyDescent="0.3"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</row>
    <row r="25" spans="2:13" ht="12" customHeight="1" x14ac:dyDescent="0.3"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</row>
    <row r="26" spans="2:13" ht="12" customHeight="1" x14ac:dyDescent="0.3"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</row>
    <row r="27" spans="2:13" ht="12" customHeight="1" x14ac:dyDescent="0.3"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</row>
    <row r="28" spans="2:13" ht="12" customHeight="1" x14ac:dyDescent="0.3"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29" spans="2:13" ht="12" customHeight="1" x14ac:dyDescent="0.3"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</row>
    <row r="30" spans="2:13" ht="12" customHeight="1" x14ac:dyDescent="0.3"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</row>
    <row r="31" spans="2:13" ht="12" customHeight="1" x14ac:dyDescent="0.3"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I22" sqref="I2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8" t="s">
        <v>190</v>
      </c>
      <c r="D1" s="268"/>
      <c r="E1" s="26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7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3" t="s">
        <v>192</v>
      </c>
      <c r="C3" s="274"/>
      <c r="D3" s="274"/>
      <c r="E3" s="274"/>
      <c r="F3" s="275"/>
      <c r="G3" s="85"/>
      <c r="I3" s="207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6"/>
      <c r="B4" s="86"/>
      <c r="C4" s="86"/>
      <c r="D4" s="86"/>
      <c r="E4" s="86"/>
      <c r="F4" s="86"/>
      <c r="G4" s="214"/>
      <c r="I4" s="207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8" t="s">
        <v>231</v>
      </c>
      <c r="B5" s="278"/>
      <c r="C5" s="24">
        <v>1.59</v>
      </c>
      <c r="D5" s="279" t="s">
        <v>229</v>
      </c>
      <c r="E5" s="280"/>
      <c r="F5" s="86"/>
      <c r="G5" s="214"/>
      <c r="H5" s="214"/>
      <c r="I5" s="21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7"/>
      <c r="B6" s="87"/>
      <c r="C6" s="4"/>
      <c r="D6" s="84"/>
      <c r="E6" s="84"/>
      <c r="F6" s="26"/>
      <c r="G6" s="201"/>
      <c r="H6" s="201"/>
      <c r="I6" s="201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7" t="s">
        <v>226</v>
      </c>
      <c r="B7" s="277"/>
      <c r="C7" s="86"/>
      <c r="D7" s="86"/>
      <c r="E7" s="4"/>
      <c r="F7" s="86"/>
      <c r="G7" s="214"/>
      <c r="H7" s="214"/>
      <c r="I7" s="21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325</v>
      </c>
      <c r="H8" s="266" t="s">
        <v>327</v>
      </c>
      <c r="I8" s="221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1" t="s">
        <v>23</v>
      </c>
      <c r="C9" s="262">
        <v>0.1918</v>
      </c>
      <c r="D9" s="33">
        <f t="shared" ref="D9:D18" si="0">C9*$C$5</f>
        <v>0.30496200000000001</v>
      </c>
      <c r="E9" s="263">
        <v>80</v>
      </c>
      <c r="F9" s="35" t="str">
        <f t="array" ref="F9">IF(E9="","",IF(INDEX(A:A,MAX(IF(ISNUMBER($A$36:$A$55),ROW($A$36:$A$55),"")))&lt;&gt;E9,"Corrigez : révolution incorrecte","OK"))</f>
        <v>OK</v>
      </c>
      <c r="G9" s="224" t="s">
        <v>306</v>
      </c>
      <c r="I9" s="222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1" t="s">
        <v>46</v>
      </c>
      <c r="C10" s="262">
        <v>0.11219999999999999</v>
      </c>
      <c r="D10" s="33">
        <f t="shared" si="0"/>
        <v>0.178398</v>
      </c>
      <c r="E10" s="263">
        <v>80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2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1" t="s">
        <v>41</v>
      </c>
      <c r="C11" s="262">
        <v>4.4900000000000002E-2</v>
      </c>
      <c r="D11" s="33">
        <f t="shared" si="0"/>
        <v>7.139100000000001E-2</v>
      </c>
      <c r="E11" s="263">
        <v>100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325</v>
      </c>
      <c r="I11" s="222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1" t="s">
        <v>23</v>
      </c>
      <c r="C12" s="262">
        <v>0.1673</v>
      </c>
      <c r="D12" s="33">
        <f t="shared" si="0"/>
        <v>0.26600699999999999</v>
      </c>
      <c r="E12" s="263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326</v>
      </c>
      <c r="H12" s="266" t="s">
        <v>327</v>
      </c>
      <c r="I12" s="222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46</v>
      </c>
      <c r="C13" s="32">
        <v>6.1199999999999997E-2</v>
      </c>
      <c r="D13" s="33">
        <f t="shared" si="0"/>
        <v>9.7308000000000006E-2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326</v>
      </c>
      <c r="I13" s="222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41</v>
      </c>
      <c r="C14" s="32">
        <v>5.2999999999999999E-2</v>
      </c>
      <c r="D14" s="33">
        <f t="shared" si="0"/>
        <v>8.4269999999999998E-2</v>
      </c>
      <c r="E14" s="34">
        <v>100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326</v>
      </c>
      <c r="I14" s="222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27</v>
      </c>
      <c r="C15" s="32">
        <v>2.0400000000000001E-2</v>
      </c>
      <c r="D15" s="33">
        <f t="shared" si="0"/>
        <v>3.2436000000000006E-2</v>
      </c>
      <c r="E15" s="34">
        <v>60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326</v>
      </c>
      <c r="I15" s="222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23</v>
      </c>
      <c r="C16" s="32">
        <v>0.1918</v>
      </c>
      <c r="D16" s="33">
        <f t="shared" si="0"/>
        <v>0.30496200000000001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G16" s="23" t="s">
        <v>324</v>
      </c>
      <c r="H16" s="266" t="s">
        <v>327</v>
      </c>
      <c r="I16" s="222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46</v>
      </c>
      <c r="C17" s="32">
        <v>0.11219999999999999</v>
      </c>
      <c r="D17" s="33">
        <f t="shared" si="0"/>
        <v>0.178398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G17" s="23" t="s">
        <v>324</v>
      </c>
      <c r="I17" s="222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 t="s">
        <v>41</v>
      </c>
      <c r="C18" s="32">
        <v>4.4900000000000002E-2</v>
      </c>
      <c r="D18" s="33">
        <f t="shared" si="0"/>
        <v>7.139100000000001E-2</v>
      </c>
      <c r="E18" s="34">
        <v>100</v>
      </c>
      <c r="F18" s="35" t="str">
        <f t="array" ref="F18">IF(E18="","",IF(INDEX(A:A,MAX(IF(ISNUMBER($A$270:$A$289),ROW($A$270:$A$289),"")))&lt;&gt;E18,"Corrigez : révolution incorrecte","OK"))</f>
        <v>OK</v>
      </c>
      <c r="G18" s="23" t="s">
        <v>324</v>
      </c>
      <c r="I18" s="222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6"/>
      <c r="B19" s="36" t="s">
        <v>175</v>
      </c>
      <c r="C19" s="37">
        <f>SUM(C9:C18)</f>
        <v>0.99970000000000003</v>
      </c>
      <c r="D19" s="38">
        <f>SUM(D9:D18)</f>
        <v>1.589523</v>
      </c>
      <c r="E19" s="4"/>
      <c r="F19" s="88"/>
      <c r="G19" s="215"/>
      <c r="H19" s="215"/>
      <c r="I19" s="215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6"/>
      <c r="B20" s="39" t="s">
        <v>230</v>
      </c>
      <c r="C20" s="40" t="str">
        <f>IF(C19&gt;100%,"Erreur : corrigez","OK")</f>
        <v>OK</v>
      </c>
      <c r="D20" s="218"/>
      <c r="F20" s="201"/>
      <c r="G20" s="201"/>
      <c r="H20" s="215"/>
      <c r="I20" s="215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6"/>
      <c r="I21" s="216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6" t="s">
        <v>232</v>
      </c>
      <c r="B22" s="27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89"/>
      <c r="F24" s="89"/>
      <c r="G24" s="198"/>
      <c r="I24" s="198"/>
      <c r="J24" s="217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0"/>
      <c r="E25" s="4"/>
      <c r="F25" s="90"/>
      <c r="G25" s="217"/>
      <c r="I25" s="217"/>
      <c r="J25" s="217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89"/>
      <c r="F26" s="89"/>
      <c r="G26" s="198"/>
      <c r="I26" s="198"/>
      <c r="J26" s="198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89"/>
      <c r="F27" s="89"/>
      <c r="G27" s="198"/>
      <c r="I27" s="198"/>
      <c r="J27" s="198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7" t="s">
        <v>227</v>
      </c>
      <c r="B30" s="277"/>
      <c r="D30" s="219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19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Erable sycomore</v>
      </c>
      <c r="D32" s="225" t="s">
        <v>307</v>
      </c>
      <c r="K32" s="219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19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3" t="s">
        <v>185</v>
      </c>
      <c r="C34" s="269" t="s">
        <v>186</v>
      </c>
      <c r="D34" s="269"/>
      <c r="E34" s="270" t="s">
        <v>187</v>
      </c>
      <c r="F34" s="271"/>
      <c r="G34" s="271"/>
      <c r="H34" s="272"/>
      <c r="I34" s="91"/>
      <c r="J34" s="219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0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15</v>
      </c>
      <c r="B36" s="257">
        <f>22+15</f>
        <v>37</v>
      </c>
      <c r="C36" s="257">
        <v>1</v>
      </c>
      <c r="D36" s="257">
        <v>15</v>
      </c>
      <c r="E36" s="258"/>
      <c r="F36" s="258"/>
      <c r="G36" s="258"/>
      <c r="H36" s="258">
        <v>1</v>
      </c>
      <c r="I36" s="49">
        <f>IFERROR(B36/A36,"")</f>
        <v>2.4666666666666668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7">
        <v>20</v>
      </c>
      <c r="B37" s="257">
        <f>52+28</f>
        <v>80</v>
      </c>
      <c r="C37" s="257">
        <v>2</v>
      </c>
      <c r="D37" s="257">
        <v>28</v>
      </c>
      <c r="E37" s="258"/>
      <c r="F37" s="258"/>
      <c r="G37" s="258"/>
      <c r="H37" s="258">
        <v>1</v>
      </c>
      <c r="I37" s="53">
        <f>IF(A37&lt;&gt;0,(B37-(B36-D36))/(A37-A36),"")</f>
        <v>11.6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7">
        <v>25</v>
      </c>
      <c r="B38" s="257">
        <f>87+28</f>
        <v>115</v>
      </c>
      <c r="C38" s="257">
        <v>3</v>
      </c>
      <c r="D38" s="257">
        <v>28</v>
      </c>
      <c r="E38" s="258"/>
      <c r="F38" s="258"/>
      <c r="G38" s="258"/>
      <c r="H38" s="258">
        <v>1</v>
      </c>
      <c r="I38" s="53">
        <f>IF(A38&lt;&gt;0,(B38-(B37-D37))/(A38-A37),"")</f>
        <v>12.6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7">
        <v>30</v>
      </c>
      <c r="B39" s="257">
        <f>118+28</f>
        <v>146</v>
      </c>
      <c r="C39" s="257">
        <v>4</v>
      </c>
      <c r="D39" s="257">
        <v>28</v>
      </c>
      <c r="E39" s="258"/>
      <c r="F39" s="258"/>
      <c r="G39" s="258"/>
      <c r="H39" s="258">
        <v>1</v>
      </c>
      <c r="I39" s="49">
        <f t="shared" ref="I39:I55" si="1">IF(A39&lt;&gt;0,(B39-(B38-D38))/(A39-A38),"")</f>
        <v>11.8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7">
        <v>35</v>
      </c>
      <c r="B40" s="257">
        <f>144+28</f>
        <v>172</v>
      </c>
      <c r="C40" s="257">
        <v>5</v>
      </c>
      <c r="D40" s="257">
        <v>28</v>
      </c>
      <c r="E40" s="258">
        <v>1</v>
      </c>
      <c r="F40" s="258"/>
      <c r="G40" s="258"/>
      <c r="H40" s="258"/>
      <c r="I40" s="49">
        <f t="shared" si="1"/>
        <v>10.8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7">
        <v>40</v>
      </c>
      <c r="B41" s="257">
        <f>164+28</f>
        <v>192</v>
      </c>
      <c r="C41" s="257">
        <v>6</v>
      </c>
      <c r="D41" s="257">
        <v>28</v>
      </c>
      <c r="E41" s="258">
        <v>1</v>
      </c>
      <c r="F41" s="258"/>
      <c r="G41" s="258"/>
      <c r="H41" s="258"/>
      <c r="I41" s="53">
        <f t="shared" si="1"/>
        <v>9.6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7">
        <v>45</v>
      </c>
      <c r="B42" s="257">
        <f>183+22</f>
        <v>205</v>
      </c>
      <c r="C42" s="257">
        <v>7</v>
      </c>
      <c r="D42" s="257">
        <v>22</v>
      </c>
      <c r="E42" s="258">
        <v>1</v>
      </c>
      <c r="F42" s="258"/>
      <c r="G42" s="258"/>
      <c r="H42" s="258"/>
      <c r="I42" s="53">
        <f t="shared" si="1"/>
        <v>8.1999999999999993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7">
        <v>50</v>
      </c>
      <c r="B43" s="257">
        <f>202+17</f>
        <v>219</v>
      </c>
      <c r="C43" s="257">
        <v>8</v>
      </c>
      <c r="D43" s="257">
        <v>17</v>
      </c>
      <c r="E43" s="258">
        <v>1</v>
      </c>
      <c r="F43" s="258"/>
      <c r="G43" s="258"/>
      <c r="H43" s="258"/>
      <c r="I43" s="49">
        <f t="shared" si="1"/>
        <v>7.2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7">
        <v>55</v>
      </c>
      <c r="B44" s="257">
        <f>219+13</f>
        <v>232</v>
      </c>
      <c r="C44" s="257">
        <v>9</v>
      </c>
      <c r="D44" s="257">
        <v>13</v>
      </c>
      <c r="E44" s="258">
        <v>1</v>
      </c>
      <c r="F44" s="258"/>
      <c r="G44" s="258"/>
      <c r="H44" s="258"/>
      <c r="I44" s="49">
        <f t="shared" si="1"/>
        <v>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7">
        <v>60</v>
      </c>
      <c r="B45" s="259">
        <f>233+12</f>
        <v>245</v>
      </c>
      <c r="C45" s="257">
        <v>10</v>
      </c>
      <c r="D45" s="259">
        <v>12</v>
      </c>
      <c r="E45" s="258">
        <v>1</v>
      </c>
      <c r="F45" s="258"/>
      <c r="G45" s="258"/>
      <c r="H45" s="258"/>
      <c r="I45" s="49">
        <f t="shared" si="1"/>
        <v>5.2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7">
        <v>65</v>
      </c>
      <c r="B46" s="260">
        <f>244+11</f>
        <v>255</v>
      </c>
      <c r="C46" s="257">
        <v>11</v>
      </c>
      <c r="D46" s="260">
        <v>11</v>
      </c>
      <c r="E46" s="258">
        <v>1</v>
      </c>
      <c r="F46" s="258"/>
      <c r="G46" s="258"/>
      <c r="H46" s="258"/>
      <c r="I46" s="49">
        <f t="shared" si="1"/>
        <v>4.4000000000000004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7">
        <v>70</v>
      </c>
      <c r="B47" s="259">
        <f>253+10</f>
        <v>263</v>
      </c>
      <c r="C47" s="257">
        <v>12</v>
      </c>
      <c r="D47" s="259">
        <v>10</v>
      </c>
      <c r="E47" s="258">
        <v>1</v>
      </c>
      <c r="F47" s="258"/>
      <c r="G47" s="258"/>
      <c r="H47" s="258"/>
      <c r="I47" s="49">
        <f t="shared" si="1"/>
        <v>3.8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7">
        <v>75</v>
      </c>
      <c r="B48" s="259">
        <f>261+9</f>
        <v>270</v>
      </c>
      <c r="C48" s="257">
        <v>13</v>
      </c>
      <c r="D48" s="259">
        <v>9</v>
      </c>
      <c r="E48" s="258">
        <v>1</v>
      </c>
      <c r="F48" s="258"/>
      <c r="G48" s="258"/>
      <c r="H48" s="258"/>
      <c r="I48" s="49">
        <f t="shared" si="1"/>
        <v>3.4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7">
        <v>80</v>
      </c>
      <c r="B49" s="259">
        <f>267+8</f>
        <v>275</v>
      </c>
      <c r="C49" s="257">
        <v>14</v>
      </c>
      <c r="D49" s="259">
        <v>8</v>
      </c>
      <c r="E49" s="258">
        <v>1</v>
      </c>
      <c r="F49" s="258"/>
      <c r="G49" s="258"/>
      <c r="H49" s="258"/>
      <c r="I49" s="49">
        <f t="shared" si="1"/>
        <v>2.8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59"/>
      <c r="B50" s="259"/>
      <c r="C50" s="259"/>
      <c r="D50" s="259"/>
      <c r="E50" s="258"/>
      <c r="F50" s="258"/>
      <c r="G50" s="258"/>
      <c r="H50" s="258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59"/>
      <c r="B51" s="259"/>
      <c r="C51" s="259"/>
      <c r="D51" s="259"/>
      <c r="E51" s="258"/>
      <c r="F51" s="258"/>
      <c r="G51" s="258"/>
      <c r="H51" s="258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59"/>
      <c r="B52" s="259"/>
      <c r="C52" s="259"/>
      <c r="D52" s="259"/>
      <c r="E52" s="258"/>
      <c r="F52" s="258"/>
      <c r="G52" s="258"/>
      <c r="H52" s="258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59"/>
      <c r="B53" s="259"/>
      <c r="C53" s="259"/>
      <c r="D53" s="259"/>
      <c r="E53" s="258"/>
      <c r="F53" s="258"/>
      <c r="G53" s="258"/>
      <c r="H53" s="258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59"/>
      <c r="B54" s="259"/>
      <c r="C54" s="259"/>
      <c r="D54" s="259"/>
      <c r="E54" s="258"/>
      <c r="F54" s="258"/>
      <c r="G54" s="258"/>
      <c r="H54" s="258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59"/>
      <c r="B55" s="259"/>
      <c r="C55" s="259"/>
      <c r="D55" s="259"/>
      <c r="E55" s="258"/>
      <c r="F55" s="258"/>
      <c r="G55" s="258"/>
      <c r="H55" s="258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Sapin pectiné</v>
      </c>
      <c r="D58" s="225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2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3" t="s">
        <v>185</v>
      </c>
      <c r="C60" s="269" t="s">
        <v>186</v>
      </c>
      <c r="D60" s="269"/>
      <c r="E60" s="270" t="s">
        <v>187</v>
      </c>
      <c r="F60" s="271"/>
      <c r="G60" s="271"/>
      <c r="H60" s="272"/>
      <c r="I60" s="91"/>
      <c r="J60" s="219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0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59">
        <v>15</v>
      </c>
      <c r="B62" s="259">
        <v>28</v>
      </c>
      <c r="C62" s="259"/>
      <c r="D62" s="259"/>
      <c r="E62" s="258"/>
      <c r="F62" s="258"/>
      <c r="G62" s="258"/>
      <c r="H62" s="258"/>
      <c r="I62" s="53">
        <f>IFERROR(B62/A62,"")</f>
        <v>1.8666666666666667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59">
        <v>20</v>
      </c>
      <c r="B63" s="259">
        <f>125+3</f>
        <v>128</v>
      </c>
      <c r="C63" s="259">
        <v>1</v>
      </c>
      <c r="D63" s="259">
        <v>3</v>
      </c>
      <c r="E63" s="258"/>
      <c r="F63" s="258"/>
      <c r="G63" s="258">
        <v>1</v>
      </c>
      <c r="H63" s="258"/>
      <c r="I63" s="49">
        <f>IF(A63&lt;&gt;0,(B63-(B62-D62))/(A63-A62),"")</f>
        <v>20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59">
        <v>25</v>
      </c>
      <c r="B64" s="259">
        <f>182+63</f>
        <v>245</v>
      </c>
      <c r="C64" s="259">
        <v>2</v>
      </c>
      <c r="D64" s="259">
        <v>63</v>
      </c>
      <c r="E64" s="258"/>
      <c r="F64" s="258">
        <v>1</v>
      </c>
      <c r="G64" s="258"/>
      <c r="H64" s="258"/>
      <c r="I64" s="49">
        <f>IF(A64&lt;&gt;0,(B64-(B63-D63))/(A64-A63),"")</f>
        <v>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59">
        <v>30</v>
      </c>
      <c r="B65" s="259">
        <f>246+63</f>
        <v>309</v>
      </c>
      <c r="C65" s="259">
        <v>3</v>
      </c>
      <c r="D65" s="259">
        <v>63</v>
      </c>
      <c r="E65" s="258"/>
      <c r="F65" s="258">
        <v>1</v>
      </c>
      <c r="G65" s="258"/>
      <c r="H65" s="258"/>
      <c r="I65" s="49">
        <f>IF(A65&lt;&gt;0,(B65-(B64-D64))/(A65-A64),"")</f>
        <v>25.4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59">
        <v>35</v>
      </c>
      <c r="B66" s="259">
        <f>311+63</f>
        <v>374</v>
      </c>
      <c r="C66" s="259">
        <v>4</v>
      </c>
      <c r="D66" s="259">
        <v>63</v>
      </c>
      <c r="E66" s="258">
        <v>1</v>
      </c>
      <c r="F66" s="258"/>
      <c r="G66" s="258"/>
      <c r="H66" s="258"/>
      <c r="I66" s="49">
        <f t="shared" ref="I66:I81" si="2">IF(A66&lt;&gt;0,(B66-(B65-D65))/(A66-A65),"")</f>
        <v>25.6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59">
        <v>40</v>
      </c>
      <c r="B67" s="259">
        <f>373+63</f>
        <v>436</v>
      </c>
      <c r="C67" s="259">
        <v>5</v>
      </c>
      <c r="D67" s="259">
        <v>63</v>
      </c>
      <c r="E67" s="258">
        <v>1</v>
      </c>
      <c r="F67" s="258"/>
      <c r="G67" s="258"/>
      <c r="H67" s="258"/>
      <c r="I67" s="49">
        <f t="shared" si="2"/>
        <v>25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59">
        <v>45</v>
      </c>
      <c r="B68" s="259">
        <f>431+63</f>
        <v>494</v>
      </c>
      <c r="C68" s="259">
        <v>6</v>
      </c>
      <c r="D68" s="259">
        <v>63</v>
      </c>
      <c r="E68" s="258">
        <v>1</v>
      </c>
      <c r="F68" s="258"/>
      <c r="G68" s="258"/>
      <c r="H68" s="258"/>
      <c r="I68" s="49">
        <f t="shared" si="2"/>
        <v>24.2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59">
        <v>50</v>
      </c>
      <c r="B69" s="259">
        <f>482+63</f>
        <v>545</v>
      </c>
      <c r="C69" s="259">
        <v>7</v>
      </c>
      <c r="D69" s="259">
        <v>63</v>
      </c>
      <c r="E69" s="258">
        <v>1</v>
      </c>
      <c r="F69" s="258"/>
      <c r="G69" s="258"/>
      <c r="H69" s="258"/>
      <c r="I69" s="49">
        <f t="shared" si="2"/>
        <v>22.8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59">
        <v>55</v>
      </c>
      <c r="B70" s="259">
        <f>527+63</f>
        <v>590</v>
      </c>
      <c r="C70" s="259">
        <v>8</v>
      </c>
      <c r="D70" s="259">
        <v>63</v>
      </c>
      <c r="E70" s="258">
        <v>1</v>
      </c>
      <c r="F70" s="258"/>
      <c r="G70" s="258"/>
      <c r="H70" s="258"/>
      <c r="I70" s="49">
        <f t="shared" si="2"/>
        <v>21.6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59">
        <v>60</v>
      </c>
      <c r="B71" s="259">
        <f>575+54</f>
        <v>629</v>
      </c>
      <c r="C71" s="259">
        <v>9</v>
      </c>
      <c r="D71" s="259">
        <v>54</v>
      </c>
      <c r="E71" s="258">
        <v>1</v>
      </c>
      <c r="F71" s="258"/>
      <c r="G71" s="258"/>
      <c r="H71" s="258"/>
      <c r="I71" s="49">
        <f t="shared" si="2"/>
        <v>20.399999999999999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59">
        <v>65</v>
      </c>
      <c r="B72" s="259">
        <f>621+50</f>
        <v>671</v>
      </c>
      <c r="C72" s="259">
        <v>10</v>
      </c>
      <c r="D72" s="259">
        <v>50</v>
      </c>
      <c r="E72" s="258">
        <v>1</v>
      </c>
      <c r="F72" s="258"/>
      <c r="G72" s="258"/>
      <c r="H72" s="258"/>
      <c r="I72" s="49">
        <f t="shared" si="2"/>
        <v>19.2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59">
        <v>70</v>
      </c>
      <c r="B73" s="259">
        <f>663+48</f>
        <v>711</v>
      </c>
      <c r="C73" s="259">
        <v>11</v>
      </c>
      <c r="D73" s="259">
        <v>48</v>
      </c>
      <c r="E73" s="258">
        <v>1</v>
      </c>
      <c r="F73" s="258"/>
      <c r="G73" s="258"/>
      <c r="H73" s="258"/>
      <c r="I73" s="49">
        <f t="shared" si="2"/>
        <v>18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59">
        <v>75</v>
      </c>
      <c r="B74" s="259">
        <f>700+47</f>
        <v>747</v>
      </c>
      <c r="C74" s="259">
        <v>12</v>
      </c>
      <c r="D74" s="259">
        <v>47</v>
      </c>
      <c r="E74" s="258">
        <v>1</v>
      </c>
      <c r="F74" s="258"/>
      <c r="G74" s="258"/>
      <c r="H74" s="258"/>
      <c r="I74" s="49">
        <f t="shared" si="2"/>
        <v>16.8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59">
        <v>80</v>
      </c>
      <c r="B75" s="259">
        <f>733+46</f>
        <v>779</v>
      </c>
      <c r="C75" s="259">
        <v>13</v>
      </c>
      <c r="D75" s="259">
        <v>46</v>
      </c>
      <c r="E75" s="258">
        <v>1</v>
      </c>
      <c r="F75" s="258"/>
      <c r="G75" s="258"/>
      <c r="H75" s="258"/>
      <c r="I75" s="49">
        <f t="shared" si="2"/>
        <v>15.8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59"/>
      <c r="B76" s="259"/>
      <c r="C76" s="259"/>
      <c r="D76" s="259"/>
      <c r="E76" s="258"/>
      <c r="F76" s="258"/>
      <c r="G76" s="258"/>
      <c r="H76" s="258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4"/>
      <c r="B77" s="255"/>
      <c r="C77" s="254"/>
      <c r="D77" s="254"/>
      <c r="E77" s="253"/>
      <c r="F77" s="253"/>
      <c r="G77" s="253"/>
      <c r="H77" s="253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4"/>
      <c r="B78" s="255"/>
      <c r="C78" s="254"/>
      <c r="D78" s="254"/>
      <c r="E78" s="253"/>
      <c r="F78" s="253"/>
      <c r="G78" s="253"/>
      <c r="H78" s="253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4"/>
      <c r="B79" s="255"/>
      <c r="C79" s="254"/>
      <c r="D79" s="254"/>
      <c r="E79" s="253"/>
      <c r="F79" s="253"/>
      <c r="G79" s="253"/>
      <c r="H79" s="253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4"/>
      <c r="B80" s="255"/>
      <c r="C80" s="254"/>
      <c r="D80" s="254"/>
      <c r="E80" s="253"/>
      <c r="F80" s="253"/>
      <c r="G80" s="253"/>
      <c r="H80" s="253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4"/>
      <c r="B81" s="255"/>
      <c r="C81" s="254"/>
      <c r="D81" s="256"/>
      <c r="E81" s="253"/>
      <c r="F81" s="253"/>
      <c r="G81" s="253"/>
      <c r="H81" s="253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sylvestre</v>
      </c>
      <c r="D84" s="225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2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3" t="s">
        <v>185</v>
      </c>
      <c r="C86" s="269" t="s">
        <v>186</v>
      </c>
      <c r="D86" s="269"/>
      <c r="E86" s="270" t="s">
        <v>187</v>
      </c>
      <c r="F86" s="271"/>
      <c r="G86" s="271"/>
      <c r="H86" s="272"/>
      <c r="I86" s="91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59">
        <v>15</v>
      </c>
      <c r="B88" s="259">
        <v>30</v>
      </c>
      <c r="C88" s="259"/>
      <c r="D88" s="259"/>
      <c r="E88" s="258"/>
      <c r="F88" s="258"/>
      <c r="G88" s="258"/>
      <c r="H88" s="258"/>
      <c r="I88" s="53">
        <f>IFERROR(B88/A88,"")</f>
        <v>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59">
        <v>20</v>
      </c>
      <c r="B89" s="259">
        <v>64</v>
      </c>
      <c r="C89" s="259"/>
      <c r="D89" s="259"/>
      <c r="E89" s="258"/>
      <c r="F89" s="258"/>
      <c r="G89" s="258"/>
      <c r="H89" s="258"/>
      <c r="I89" s="53">
        <f t="shared" ref="I89:I107" si="3">IF(A89&lt;&gt;0,(B89-(B88-D88))/(A89-A88),"")</f>
        <v>6.8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59">
        <v>25</v>
      </c>
      <c r="B90" s="259">
        <f>79+33</f>
        <v>112</v>
      </c>
      <c r="C90" s="259">
        <v>1</v>
      </c>
      <c r="D90" s="259">
        <v>33</v>
      </c>
      <c r="E90" s="258"/>
      <c r="F90" s="258"/>
      <c r="G90" s="258">
        <v>1</v>
      </c>
      <c r="H90" s="258"/>
      <c r="I90" s="53">
        <f t="shared" si="3"/>
        <v>9.6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59">
        <v>30</v>
      </c>
      <c r="B91" s="259">
        <f>103+35</f>
        <v>138</v>
      </c>
      <c r="C91" s="259">
        <v>2</v>
      </c>
      <c r="D91" s="259">
        <v>35</v>
      </c>
      <c r="E91" s="258"/>
      <c r="F91" s="258">
        <v>1</v>
      </c>
      <c r="G91" s="258"/>
      <c r="H91" s="258"/>
      <c r="I91" s="53">
        <f t="shared" si="3"/>
        <v>11.8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59">
        <v>35</v>
      </c>
      <c r="B92" s="259">
        <f>134+35</f>
        <v>169</v>
      </c>
      <c r="C92" s="259">
        <v>3</v>
      </c>
      <c r="D92" s="259">
        <v>35</v>
      </c>
      <c r="E92" s="258">
        <v>1</v>
      </c>
      <c r="F92" s="258"/>
      <c r="G92" s="258"/>
      <c r="H92" s="258"/>
      <c r="I92" s="53">
        <f t="shared" si="3"/>
        <v>13.2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59">
        <v>40</v>
      </c>
      <c r="B93" s="259">
        <f>169+35</f>
        <v>204</v>
      </c>
      <c r="C93" s="259">
        <v>4</v>
      </c>
      <c r="D93" s="259">
        <v>35</v>
      </c>
      <c r="E93" s="258">
        <v>1</v>
      </c>
      <c r="F93" s="258"/>
      <c r="G93" s="258"/>
      <c r="H93" s="258"/>
      <c r="I93" s="53">
        <f t="shared" si="3"/>
        <v>14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59">
        <v>45</v>
      </c>
      <c r="B94" s="259">
        <f>206+35</f>
        <v>241</v>
      </c>
      <c r="C94" s="259">
        <v>5</v>
      </c>
      <c r="D94" s="259">
        <v>35</v>
      </c>
      <c r="E94" s="258">
        <v>1</v>
      </c>
      <c r="F94" s="258"/>
      <c r="G94" s="258"/>
      <c r="H94" s="258"/>
      <c r="I94" s="53">
        <f t="shared" si="3"/>
        <v>14.4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59">
        <v>50</v>
      </c>
      <c r="B95" s="259">
        <f>242+35</f>
        <v>277</v>
      </c>
      <c r="C95" s="259">
        <v>6</v>
      </c>
      <c r="D95" s="259">
        <v>35</v>
      </c>
      <c r="E95" s="258">
        <v>1</v>
      </c>
      <c r="F95" s="258"/>
      <c r="G95" s="258"/>
      <c r="H95" s="258"/>
      <c r="I95" s="53">
        <f t="shared" si="3"/>
        <v>14.2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59">
        <v>55</v>
      </c>
      <c r="B96" s="259">
        <f>275+35</f>
        <v>310</v>
      </c>
      <c r="C96" s="259">
        <v>7</v>
      </c>
      <c r="D96" s="259">
        <v>35</v>
      </c>
      <c r="E96" s="258">
        <v>1</v>
      </c>
      <c r="F96" s="258"/>
      <c r="G96" s="258"/>
      <c r="H96" s="258"/>
      <c r="I96" s="53">
        <f t="shared" si="3"/>
        <v>13.6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59">
        <v>60</v>
      </c>
      <c r="B97" s="259">
        <f>306+35</f>
        <v>341</v>
      </c>
      <c r="C97" s="259">
        <v>8</v>
      </c>
      <c r="D97" s="259">
        <v>35</v>
      </c>
      <c r="E97" s="258">
        <v>1</v>
      </c>
      <c r="F97" s="258"/>
      <c r="G97" s="258"/>
      <c r="H97" s="258"/>
      <c r="I97" s="53">
        <f t="shared" si="3"/>
        <v>13.2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59">
        <v>65</v>
      </c>
      <c r="B98" s="259">
        <f>333+33</f>
        <v>366</v>
      </c>
      <c r="C98" s="259">
        <v>9</v>
      </c>
      <c r="D98" s="259">
        <v>33</v>
      </c>
      <c r="E98" s="258">
        <v>1</v>
      </c>
      <c r="F98" s="258"/>
      <c r="G98" s="258"/>
      <c r="H98" s="258"/>
      <c r="I98" s="53">
        <f t="shared" si="3"/>
        <v>12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59">
        <v>70</v>
      </c>
      <c r="B99" s="259">
        <f>358+30</f>
        <v>388</v>
      </c>
      <c r="C99" s="259">
        <v>10</v>
      </c>
      <c r="D99" s="259">
        <v>30</v>
      </c>
      <c r="E99" s="258">
        <v>1</v>
      </c>
      <c r="F99" s="258"/>
      <c r="G99" s="258"/>
      <c r="H99" s="258"/>
      <c r="I99" s="53">
        <f t="shared" si="3"/>
        <v>11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59">
        <v>75</v>
      </c>
      <c r="B100" s="259">
        <f>381+27</f>
        <v>408</v>
      </c>
      <c r="C100" s="259">
        <v>11</v>
      </c>
      <c r="D100" s="259">
        <v>27</v>
      </c>
      <c r="E100" s="258">
        <v>1</v>
      </c>
      <c r="F100" s="258"/>
      <c r="G100" s="258"/>
      <c r="H100" s="258"/>
      <c r="I100" s="53">
        <f t="shared" si="3"/>
        <v>10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59">
        <v>80</v>
      </c>
      <c r="B101" s="259">
        <f>402+24</f>
        <v>426</v>
      </c>
      <c r="C101" s="259">
        <v>12</v>
      </c>
      <c r="D101" s="259">
        <v>24</v>
      </c>
      <c r="E101" s="258">
        <v>1</v>
      </c>
      <c r="F101" s="258"/>
      <c r="G101" s="258"/>
      <c r="H101" s="258"/>
      <c r="I101" s="53">
        <f t="shared" si="3"/>
        <v>9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59">
        <v>85</v>
      </c>
      <c r="B102" s="259">
        <f>420+21</f>
        <v>441</v>
      </c>
      <c r="C102" s="259">
        <v>13</v>
      </c>
      <c r="D102" s="259">
        <v>21</v>
      </c>
      <c r="E102" s="258">
        <v>1</v>
      </c>
      <c r="F102" s="258"/>
      <c r="G102" s="258"/>
      <c r="H102" s="258"/>
      <c r="I102" s="53">
        <f t="shared" si="3"/>
        <v>7.8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4">
        <v>90</v>
      </c>
      <c r="B103" s="255">
        <f>437+17</f>
        <v>454</v>
      </c>
      <c r="C103" s="254">
        <v>14</v>
      </c>
      <c r="D103" s="254">
        <v>17</v>
      </c>
      <c r="E103" s="253">
        <v>1</v>
      </c>
      <c r="F103" s="253"/>
      <c r="G103" s="253"/>
      <c r="H103" s="253"/>
      <c r="I103" s="53">
        <f t="shared" si="3"/>
        <v>6.8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4">
        <v>95</v>
      </c>
      <c r="B104" s="255">
        <f>452+15</f>
        <v>467</v>
      </c>
      <c r="C104" s="254">
        <v>15</v>
      </c>
      <c r="D104" s="254">
        <v>15</v>
      </c>
      <c r="E104" s="253">
        <v>1</v>
      </c>
      <c r="F104" s="253"/>
      <c r="G104" s="253"/>
      <c r="H104" s="253"/>
      <c r="I104" s="53">
        <f t="shared" si="3"/>
        <v>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4">
        <v>100</v>
      </c>
      <c r="B105" s="255">
        <f>465+12</f>
        <v>477</v>
      </c>
      <c r="C105" s="254">
        <v>16</v>
      </c>
      <c r="D105" s="254">
        <v>12</v>
      </c>
      <c r="E105" s="253">
        <v>1</v>
      </c>
      <c r="F105" s="253"/>
      <c r="G105" s="253"/>
      <c r="H105" s="253"/>
      <c r="I105" s="53">
        <f t="shared" si="3"/>
        <v>5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4"/>
      <c r="B106" s="255"/>
      <c r="C106" s="254"/>
      <c r="D106" s="254"/>
      <c r="E106" s="253"/>
      <c r="F106" s="253"/>
      <c r="G106" s="253"/>
      <c r="H106" s="253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4"/>
      <c r="B107" s="255"/>
      <c r="C107" s="254"/>
      <c r="D107" s="256"/>
      <c r="E107" s="253"/>
      <c r="F107" s="253"/>
      <c r="G107" s="253"/>
      <c r="H107" s="253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Erable sycomore</v>
      </c>
      <c r="D110" s="225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2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3" t="s">
        <v>185</v>
      </c>
      <c r="C112" s="269" t="s">
        <v>186</v>
      </c>
      <c r="D112" s="269"/>
      <c r="E112" s="270" t="s">
        <v>187</v>
      </c>
      <c r="F112" s="271"/>
      <c r="G112" s="271"/>
      <c r="H112" s="272"/>
      <c r="I112" s="91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57">
        <v>10</v>
      </c>
      <c r="B114" s="257">
        <v>11</v>
      </c>
      <c r="C114" s="257"/>
      <c r="D114" s="257"/>
      <c r="E114" s="258"/>
      <c r="F114" s="258"/>
      <c r="G114" s="258"/>
      <c r="H114" s="258">
        <v>1</v>
      </c>
      <c r="I114" s="53">
        <f>IFERROR(B114/A114,"")</f>
        <v>1.1000000000000001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57">
        <v>15</v>
      </c>
      <c r="B115" s="257">
        <v>65</v>
      </c>
      <c r="C115" s="257">
        <v>1</v>
      </c>
      <c r="D115" s="257">
        <v>32</v>
      </c>
      <c r="E115" s="258"/>
      <c r="F115" s="258"/>
      <c r="G115" s="258"/>
      <c r="H115" s="258">
        <v>1</v>
      </c>
      <c r="I115" s="53">
        <f t="shared" ref="I115:I133" si="4">IF(A115&lt;&gt;0,(B115-(B114-D114))/(A115-A114),"")</f>
        <v>10.8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57">
        <v>20</v>
      </c>
      <c r="B116" s="257">
        <v>102</v>
      </c>
      <c r="C116" s="257">
        <v>2</v>
      </c>
      <c r="D116" s="257">
        <v>35</v>
      </c>
      <c r="E116" s="258"/>
      <c r="F116" s="258"/>
      <c r="G116" s="258"/>
      <c r="H116" s="258">
        <v>1</v>
      </c>
      <c r="I116" s="53">
        <f t="shared" si="4"/>
        <v>13.8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57">
        <v>25</v>
      </c>
      <c r="B117" s="257">
        <v>141</v>
      </c>
      <c r="C117" s="257">
        <v>3</v>
      </c>
      <c r="D117" s="257">
        <v>35</v>
      </c>
      <c r="E117" s="258"/>
      <c r="F117" s="258"/>
      <c r="G117" s="258"/>
      <c r="H117" s="258">
        <v>1</v>
      </c>
      <c r="I117" s="53">
        <f t="shared" si="4"/>
        <v>14.8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57">
        <v>30</v>
      </c>
      <c r="B118" s="257">
        <v>177</v>
      </c>
      <c r="C118" s="257">
        <v>4</v>
      </c>
      <c r="D118" s="257">
        <v>35</v>
      </c>
      <c r="E118" s="258"/>
      <c r="F118" s="258"/>
      <c r="G118" s="258"/>
      <c r="H118" s="258">
        <v>1</v>
      </c>
      <c r="I118" s="53">
        <f t="shared" si="4"/>
        <v>14.2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57">
        <v>35</v>
      </c>
      <c r="B119" s="257">
        <v>206</v>
      </c>
      <c r="C119" s="257">
        <v>5</v>
      </c>
      <c r="D119" s="257">
        <v>35</v>
      </c>
      <c r="E119" s="258">
        <v>1</v>
      </c>
      <c r="F119" s="258"/>
      <c r="G119" s="258"/>
      <c r="H119" s="258"/>
      <c r="I119" s="53">
        <f t="shared" si="4"/>
        <v>12.8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57">
        <v>40</v>
      </c>
      <c r="B120" s="257">
        <v>228</v>
      </c>
      <c r="C120" s="257">
        <v>6</v>
      </c>
      <c r="D120" s="257">
        <v>35</v>
      </c>
      <c r="E120" s="258">
        <v>1</v>
      </c>
      <c r="F120" s="258"/>
      <c r="G120" s="258"/>
      <c r="H120" s="258"/>
      <c r="I120" s="53">
        <f t="shared" si="4"/>
        <v>11.4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57">
        <v>45</v>
      </c>
      <c r="B121" s="257">
        <v>242</v>
      </c>
      <c r="C121" s="257">
        <v>7</v>
      </c>
      <c r="D121" s="257">
        <v>24</v>
      </c>
      <c r="E121" s="258">
        <v>1</v>
      </c>
      <c r="F121" s="258"/>
      <c r="G121" s="258"/>
      <c r="H121" s="258"/>
      <c r="I121" s="53">
        <f t="shared" si="4"/>
        <v>9.8000000000000007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57">
        <v>50</v>
      </c>
      <c r="B122" s="257">
        <v>261</v>
      </c>
      <c r="C122" s="257">
        <v>8</v>
      </c>
      <c r="D122" s="257">
        <v>19</v>
      </c>
      <c r="E122" s="258">
        <v>1</v>
      </c>
      <c r="F122" s="258"/>
      <c r="G122" s="258"/>
      <c r="H122" s="258"/>
      <c r="I122" s="53">
        <f t="shared" si="4"/>
        <v>8.6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57">
        <v>55</v>
      </c>
      <c r="B123" s="259">
        <v>279</v>
      </c>
      <c r="C123" s="257">
        <v>9</v>
      </c>
      <c r="D123" s="259">
        <v>16</v>
      </c>
      <c r="E123" s="258">
        <v>1</v>
      </c>
      <c r="F123" s="258"/>
      <c r="G123" s="258"/>
      <c r="H123" s="258"/>
      <c r="I123" s="53">
        <f t="shared" si="4"/>
        <v>7.4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57">
        <v>60</v>
      </c>
      <c r="B124" s="260">
        <v>294</v>
      </c>
      <c r="C124" s="257">
        <v>10</v>
      </c>
      <c r="D124" s="260">
        <v>14</v>
      </c>
      <c r="E124" s="258">
        <v>1</v>
      </c>
      <c r="F124" s="258"/>
      <c r="G124" s="258"/>
      <c r="H124" s="258"/>
      <c r="I124" s="53">
        <f t="shared" si="4"/>
        <v>6.2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57">
        <v>65</v>
      </c>
      <c r="B125" s="259">
        <v>306</v>
      </c>
      <c r="C125" s="257">
        <v>11</v>
      </c>
      <c r="D125" s="259">
        <v>13</v>
      </c>
      <c r="E125" s="258">
        <v>1</v>
      </c>
      <c r="F125" s="258"/>
      <c r="G125" s="258"/>
      <c r="H125" s="258"/>
      <c r="I125" s="53">
        <f t="shared" si="4"/>
        <v>5.2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57">
        <v>70</v>
      </c>
      <c r="B126" s="259">
        <v>316</v>
      </c>
      <c r="C126" s="257">
        <v>12</v>
      </c>
      <c r="D126" s="259">
        <v>13</v>
      </c>
      <c r="E126" s="258">
        <v>1</v>
      </c>
      <c r="F126" s="258"/>
      <c r="G126" s="258"/>
      <c r="H126" s="258"/>
      <c r="I126" s="53">
        <f t="shared" si="4"/>
        <v>4.5999999999999996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57">
        <v>75</v>
      </c>
      <c r="B127" s="259">
        <v>324</v>
      </c>
      <c r="C127" s="257">
        <v>13</v>
      </c>
      <c r="D127" s="259">
        <v>12</v>
      </c>
      <c r="E127" s="258">
        <v>1</v>
      </c>
      <c r="F127" s="258"/>
      <c r="G127" s="258"/>
      <c r="H127" s="258"/>
      <c r="I127" s="53">
        <f t="shared" si="4"/>
        <v>4.2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59">
        <v>80</v>
      </c>
      <c r="B128" s="259">
        <v>330</v>
      </c>
      <c r="C128" s="259">
        <v>14</v>
      </c>
      <c r="D128" s="259">
        <v>11</v>
      </c>
      <c r="E128" s="258">
        <v>1</v>
      </c>
      <c r="F128" s="258"/>
      <c r="G128" s="258"/>
      <c r="H128" s="258"/>
      <c r="I128" s="53">
        <f t="shared" si="4"/>
        <v>3.6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258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258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258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59"/>
      <c r="B132" s="259"/>
      <c r="C132" s="259"/>
      <c r="D132" s="259"/>
      <c r="E132" s="258"/>
      <c r="F132" s="258"/>
      <c r="G132" s="258"/>
      <c r="H132" s="258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59"/>
      <c r="B133" s="259"/>
      <c r="C133" s="259"/>
      <c r="D133" s="259"/>
      <c r="E133" s="258"/>
      <c r="F133" s="258"/>
      <c r="G133" s="258"/>
      <c r="H133" s="258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Sapin pectiné</v>
      </c>
      <c r="D136" s="225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2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3" t="s">
        <v>185</v>
      </c>
      <c r="C138" s="269" t="s">
        <v>186</v>
      </c>
      <c r="D138" s="269"/>
      <c r="E138" s="270" t="s">
        <v>187</v>
      </c>
      <c r="F138" s="271"/>
      <c r="G138" s="271"/>
      <c r="H138" s="272"/>
      <c r="I138" s="91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259">
        <v>15</v>
      </c>
      <c r="B140" s="259">
        <v>42</v>
      </c>
      <c r="C140" s="259"/>
      <c r="D140" s="259">
        <v>0</v>
      </c>
      <c r="E140" s="258"/>
      <c r="F140" s="258"/>
      <c r="G140" s="258"/>
      <c r="H140" s="51"/>
      <c r="I140" s="57">
        <f>IFERROR(B140/A140,"")</f>
        <v>2.8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259">
        <v>20</v>
      </c>
      <c r="B141" s="259">
        <v>156</v>
      </c>
      <c r="C141" s="259">
        <v>1</v>
      </c>
      <c r="D141" s="259">
        <v>22</v>
      </c>
      <c r="E141" s="258"/>
      <c r="F141" s="258"/>
      <c r="G141" s="258">
        <v>1</v>
      </c>
      <c r="H141" s="51"/>
      <c r="I141" s="57">
        <f t="shared" ref="I141:I159" si="5">IF(A141&lt;&gt;0,(B141-(B140-D140))/(A141-A140),"")</f>
        <v>22.8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259">
        <v>25</v>
      </c>
      <c r="B142" s="259">
        <v>269</v>
      </c>
      <c r="C142" s="259">
        <v>2</v>
      </c>
      <c r="D142" s="259">
        <v>70</v>
      </c>
      <c r="E142" s="258"/>
      <c r="F142" s="258">
        <v>1</v>
      </c>
      <c r="G142" s="258"/>
      <c r="H142" s="51"/>
      <c r="I142" s="57">
        <f t="shared" si="5"/>
        <v>27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259">
        <v>30</v>
      </c>
      <c r="B143" s="259">
        <v>342</v>
      </c>
      <c r="C143" s="259">
        <v>3</v>
      </c>
      <c r="D143" s="259">
        <v>70</v>
      </c>
      <c r="E143" s="258"/>
      <c r="F143" s="258">
        <v>1</v>
      </c>
      <c r="G143" s="258"/>
      <c r="H143" s="51"/>
      <c r="I143" s="57">
        <f t="shared" si="5"/>
        <v>28.6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259">
        <v>35</v>
      </c>
      <c r="B144" s="259">
        <v>413</v>
      </c>
      <c r="C144" s="259">
        <v>4</v>
      </c>
      <c r="D144" s="259">
        <v>70</v>
      </c>
      <c r="E144" s="258">
        <v>1</v>
      </c>
      <c r="F144" s="258"/>
      <c r="G144" s="258"/>
      <c r="H144" s="51"/>
      <c r="I144" s="57">
        <f t="shared" si="5"/>
        <v>28.2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259">
        <v>40</v>
      </c>
      <c r="B145" s="259">
        <v>480</v>
      </c>
      <c r="C145" s="259">
        <v>5</v>
      </c>
      <c r="D145" s="259">
        <v>70</v>
      </c>
      <c r="E145" s="258">
        <v>1</v>
      </c>
      <c r="F145" s="258"/>
      <c r="G145" s="258"/>
      <c r="H145" s="51"/>
      <c r="I145" s="57">
        <f t="shared" si="5"/>
        <v>27.4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259">
        <v>45</v>
      </c>
      <c r="B146" s="259">
        <v>540</v>
      </c>
      <c r="C146" s="259">
        <v>6</v>
      </c>
      <c r="D146" s="259">
        <v>70</v>
      </c>
      <c r="E146" s="258">
        <v>1</v>
      </c>
      <c r="F146" s="258"/>
      <c r="G146" s="258"/>
      <c r="H146" s="51"/>
      <c r="I146" s="57">
        <f t="shared" si="5"/>
        <v>26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259">
        <v>50</v>
      </c>
      <c r="B147" s="259">
        <v>593</v>
      </c>
      <c r="C147" s="259">
        <v>7</v>
      </c>
      <c r="D147" s="259">
        <v>70</v>
      </c>
      <c r="E147" s="258">
        <v>1</v>
      </c>
      <c r="F147" s="258"/>
      <c r="G147" s="258"/>
      <c r="H147" s="51"/>
      <c r="I147" s="57">
        <f>IF(A147&lt;&gt;0,(B147-(B146-D146))/(A147-A146),"")</f>
        <v>24.6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259">
        <v>55</v>
      </c>
      <c r="B148" s="259">
        <v>640</v>
      </c>
      <c r="C148" s="259">
        <v>8</v>
      </c>
      <c r="D148" s="259">
        <v>68</v>
      </c>
      <c r="E148" s="258">
        <v>1</v>
      </c>
      <c r="F148" s="258"/>
      <c r="G148" s="258"/>
      <c r="H148" s="51"/>
      <c r="I148" s="57">
        <f t="shared" si="5"/>
        <v>23.4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259">
        <v>60</v>
      </c>
      <c r="B149" s="259">
        <v>684</v>
      </c>
      <c r="C149" s="259">
        <v>9</v>
      </c>
      <c r="D149" s="259">
        <v>60</v>
      </c>
      <c r="E149" s="258">
        <v>1</v>
      </c>
      <c r="F149" s="258"/>
      <c r="G149" s="258"/>
      <c r="H149" s="51"/>
      <c r="I149" s="57">
        <f t="shared" si="5"/>
        <v>22.4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259">
        <v>65</v>
      </c>
      <c r="B150" s="259">
        <v>729</v>
      </c>
      <c r="C150" s="259">
        <v>10</v>
      </c>
      <c r="D150" s="259">
        <v>56</v>
      </c>
      <c r="E150" s="258">
        <v>1</v>
      </c>
      <c r="F150" s="258"/>
      <c r="G150" s="258"/>
      <c r="H150" s="51"/>
      <c r="I150" s="57">
        <f t="shared" si="5"/>
        <v>21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259">
        <v>70</v>
      </c>
      <c r="B151" s="259">
        <v>771</v>
      </c>
      <c r="C151" s="259">
        <v>11</v>
      </c>
      <c r="D151" s="259">
        <v>54</v>
      </c>
      <c r="E151" s="258">
        <v>1</v>
      </c>
      <c r="F151" s="258"/>
      <c r="G151" s="258"/>
      <c r="H151" s="51"/>
      <c r="I151" s="57">
        <f t="shared" si="5"/>
        <v>19.600000000000001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259">
        <v>75</v>
      </c>
      <c r="B152" s="259">
        <v>806</v>
      </c>
      <c r="C152" s="259">
        <v>12</v>
      </c>
      <c r="D152" s="259">
        <v>52</v>
      </c>
      <c r="E152" s="258">
        <v>1</v>
      </c>
      <c r="F152" s="258"/>
      <c r="G152" s="258"/>
      <c r="H152" s="54"/>
      <c r="I152" s="57">
        <f t="shared" si="5"/>
        <v>17.8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259">
        <v>80</v>
      </c>
      <c r="B153" s="259">
        <v>840</v>
      </c>
      <c r="C153" s="259">
        <v>13</v>
      </c>
      <c r="D153" s="259">
        <v>51</v>
      </c>
      <c r="E153" s="258">
        <v>1</v>
      </c>
      <c r="F153" s="258"/>
      <c r="G153" s="258"/>
      <c r="H153" s="54"/>
      <c r="I153" s="57">
        <f t="shared" si="5"/>
        <v>17.2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Pin sylvestre</v>
      </c>
      <c r="D162" s="225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2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3" t="s">
        <v>185</v>
      </c>
      <c r="C164" s="269" t="s">
        <v>186</v>
      </c>
      <c r="D164" s="269"/>
      <c r="E164" s="270" t="s">
        <v>187</v>
      </c>
      <c r="F164" s="271"/>
      <c r="G164" s="271"/>
      <c r="H164" s="272"/>
      <c r="I164" s="91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15</v>
      </c>
      <c r="B166" s="264">
        <v>46</v>
      </c>
      <c r="C166" s="50"/>
      <c r="D166" s="264">
        <v>0</v>
      </c>
      <c r="E166" s="62"/>
      <c r="F166" s="62"/>
      <c r="G166" s="62"/>
      <c r="H166" s="51"/>
      <c r="I166" s="49">
        <f>IFERROR(B166/A166,"")</f>
        <v>3.0666666666666669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20</v>
      </c>
      <c r="B167" s="264">
        <v>96</v>
      </c>
      <c r="C167" s="50">
        <v>1</v>
      </c>
      <c r="D167" s="264">
        <v>18</v>
      </c>
      <c r="E167" s="62"/>
      <c r="F167" s="62"/>
      <c r="G167" s="62">
        <v>1</v>
      </c>
      <c r="H167" s="51"/>
      <c r="I167" s="49">
        <f t="shared" ref="I167:I185" si="6">IF(A167&lt;&gt;0,(B167-(B166-D166))/(A167-A166),"")</f>
        <v>10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25</v>
      </c>
      <c r="B168" s="264">
        <v>142</v>
      </c>
      <c r="C168" s="50">
        <v>2</v>
      </c>
      <c r="D168" s="264">
        <v>42</v>
      </c>
      <c r="E168" s="62"/>
      <c r="F168" s="62">
        <v>1</v>
      </c>
      <c r="G168" s="62"/>
      <c r="H168" s="51"/>
      <c r="I168" s="49">
        <f t="shared" si="6"/>
        <v>12.8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5">
        <v>30</v>
      </c>
      <c r="B169" s="55">
        <v>173</v>
      </c>
      <c r="C169" s="55">
        <v>3</v>
      </c>
      <c r="D169" s="55">
        <v>42</v>
      </c>
      <c r="E169" s="62"/>
      <c r="F169" s="62">
        <v>1</v>
      </c>
      <c r="G169" s="62"/>
      <c r="H169" s="51"/>
      <c r="I169" s="49">
        <f t="shared" si="6"/>
        <v>14.6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5">
        <v>35</v>
      </c>
      <c r="B170" s="55">
        <v>212</v>
      </c>
      <c r="C170" s="55">
        <v>4</v>
      </c>
      <c r="D170" s="55">
        <v>42</v>
      </c>
      <c r="E170" s="62">
        <v>1</v>
      </c>
      <c r="F170" s="62"/>
      <c r="G170" s="62"/>
      <c r="H170" s="51"/>
      <c r="I170" s="49">
        <f t="shared" si="6"/>
        <v>16.2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5">
        <v>40</v>
      </c>
      <c r="B171" s="55">
        <v>253</v>
      </c>
      <c r="C171" s="55">
        <v>5</v>
      </c>
      <c r="D171" s="55">
        <v>42</v>
      </c>
      <c r="E171" s="62">
        <v>1</v>
      </c>
      <c r="F171" s="62"/>
      <c r="G171" s="62"/>
      <c r="H171" s="51"/>
      <c r="I171" s="49">
        <f t="shared" si="6"/>
        <v>16.600000000000001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5">
        <v>45</v>
      </c>
      <c r="B172" s="55">
        <v>295</v>
      </c>
      <c r="C172" s="55">
        <v>6</v>
      </c>
      <c r="D172" s="55">
        <v>42</v>
      </c>
      <c r="E172" s="62">
        <v>1</v>
      </c>
      <c r="F172" s="62"/>
      <c r="G172" s="62"/>
      <c r="H172" s="51"/>
      <c r="I172" s="49">
        <f t="shared" si="6"/>
        <v>16.8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5">
        <v>50</v>
      </c>
      <c r="B173" s="55">
        <v>334</v>
      </c>
      <c r="C173" s="55">
        <v>7</v>
      </c>
      <c r="D173" s="55">
        <v>42</v>
      </c>
      <c r="E173" s="62">
        <v>1</v>
      </c>
      <c r="F173" s="62"/>
      <c r="G173" s="62"/>
      <c r="H173" s="51"/>
      <c r="I173" s="49">
        <f t="shared" si="6"/>
        <v>16.2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5">
        <v>55</v>
      </c>
      <c r="B174" s="55">
        <v>370</v>
      </c>
      <c r="C174" s="55">
        <v>8</v>
      </c>
      <c r="D174" s="55">
        <v>42</v>
      </c>
      <c r="E174" s="62">
        <v>1</v>
      </c>
      <c r="F174" s="62"/>
      <c r="G174" s="62"/>
      <c r="H174" s="51"/>
      <c r="I174" s="49">
        <f t="shared" si="6"/>
        <v>15.6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5">
        <v>60</v>
      </c>
      <c r="B175" s="55">
        <v>400</v>
      </c>
      <c r="C175" s="55">
        <v>9</v>
      </c>
      <c r="D175" s="55">
        <v>40</v>
      </c>
      <c r="E175" s="62">
        <v>1</v>
      </c>
      <c r="F175" s="62"/>
      <c r="G175" s="62"/>
      <c r="H175" s="51"/>
      <c r="I175" s="49">
        <f t="shared" si="6"/>
        <v>14.4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5">
        <v>65</v>
      </c>
      <c r="B176" s="55">
        <v>427</v>
      </c>
      <c r="C176" s="55">
        <v>10</v>
      </c>
      <c r="D176" s="55">
        <v>37</v>
      </c>
      <c r="E176" s="62">
        <v>1</v>
      </c>
      <c r="F176" s="62"/>
      <c r="G176" s="62"/>
      <c r="H176" s="51"/>
      <c r="I176" s="49">
        <f t="shared" si="6"/>
        <v>13.4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5">
        <v>70</v>
      </c>
      <c r="B177" s="55">
        <v>451</v>
      </c>
      <c r="C177" s="55">
        <v>11</v>
      </c>
      <c r="D177" s="55">
        <v>33</v>
      </c>
      <c r="E177" s="62">
        <v>1</v>
      </c>
      <c r="F177" s="62"/>
      <c r="G177" s="62"/>
      <c r="H177" s="51"/>
      <c r="I177" s="49">
        <f t="shared" si="6"/>
        <v>12.2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5">
        <v>75</v>
      </c>
      <c r="B178" s="55">
        <v>475</v>
      </c>
      <c r="C178" s="55">
        <v>12</v>
      </c>
      <c r="D178" s="55">
        <v>30</v>
      </c>
      <c r="E178" s="63">
        <v>1</v>
      </c>
      <c r="F178" s="63"/>
      <c r="G178" s="63"/>
      <c r="H178" s="51"/>
      <c r="I178" s="49">
        <f t="shared" si="6"/>
        <v>11.4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265">
        <v>80</v>
      </c>
      <c r="B179" s="264">
        <v>496</v>
      </c>
      <c r="C179" s="265">
        <v>13</v>
      </c>
      <c r="D179" s="264">
        <v>26</v>
      </c>
      <c r="E179" s="54">
        <v>1</v>
      </c>
      <c r="F179" s="54"/>
      <c r="G179" s="54"/>
      <c r="H179" s="51"/>
      <c r="I179" s="49">
        <f t="shared" si="6"/>
        <v>10.199999999999999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85</v>
      </c>
      <c r="B180" s="50">
        <v>516</v>
      </c>
      <c r="C180" s="50">
        <v>14</v>
      </c>
      <c r="D180" s="50">
        <v>23</v>
      </c>
      <c r="E180" s="54">
        <v>1</v>
      </c>
      <c r="F180" s="54"/>
      <c r="G180" s="54"/>
      <c r="H180" s="51"/>
      <c r="I180" s="49">
        <f t="shared" si="6"/>
        <v>9.1999999999999993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90</v>
      </c>
      <c r="B181" s="50">
        <v>532</v>
      </c>
      <c r="C181" s="50">
        <v>15</v>
      </c>
      <c r="D181" s="50">
        <v>20</v>
      </c>
      <c r="E181" s="54">
        <v>1</v>
      </c>
      <c r="F181" s="54"/>
      <c r="G181" s="54"/>
      <c r="H181" s="51"/>
      <c r="I181" s="49">
        <f t="shared" si="6"/>
        <v>7.8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>
        <v>95</v>
      </c>
      <c r="B182" s="50">
        <v>543</v>
      </c>
      <c r="C182" s="50">
        <v>16</v>
      </c>
      <c r="D182" s="50">
        <v>17</v>
      </c>
      <c r="E182" s="54">
        <v>1</v>
      </c>
      <c r="F182" s="54"/>
      <c r="G182" s="54"/>
      <c r="H182" s="51"/>
      <c r="I182" s="49">
        <f t="shared" si="6"/>
        <v>6.2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>
        <v>100</v>
      </c>
      <c r="B183" s="50">
        <v>557</v>
      </c>
      <c r="C183" s="50">
        <v>17</v>
      </c>
      <c r="D183" s="50">
        <v>15</v>
      </c>
      <c r="E183" s="54">
        <v>1</v>
      </c>
      <c r="F183" s="54"/>
      <c r="G183" s="54"/>
      <c r="H183" s="51"/>
      <c r="I183" s="49">
        <f t="shared" si="6"/>
        <v>6.2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Mélèze d'Europe</v>
      </c>
      <c r="D188" s="225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2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3" t="s">
        <v>185</v>
      </c>
      <c r="C190" s="269" t="s">
        <v>186</v>
      </c>
      <c r="D190" s="269"/>
      <c r="E190" s="270" t="s">
        <v>187</v>
      </c>
      <c r="F190" s="271"/>
      <c r="G190" s="271"/>
      <c r="H190" s="272"/>
      <c r="I190" s="91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12</v>
      </c>
      <c r="B192" s="264">
        <v>103</v>
      </c>
      <c r="C192" s="264">
        <v>1</v>
      </c>
      <c r="D192" s="264">
        <v>18</v>
      </c>
      <c r="E192" s="51"/>
      <c r="F192" s="51"/>
      <c r="G192" s="51">
        <v>1</v>
      </c>
      <c r="H192" s="51"/>
      <c r="I192" s="49">
        <f>IFERROR(B192/A192,"")</f>
        <v>8.5833333333333339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18</v>
      </c>
      <c r="B193" s="264">
        <v>223</v>
      </c>
      <c r="C193" s="264">
        <v>2</v>
      </c>
      <c r="D193" s="264">
        <v>84.3</v>
      </c>
      <c r="E193" s="51"/>
      <c r="F193" s="51">
        <v>1</v>
      </c>
      <c r="G193" s="51"/>
      <c r="H193" s="51"/>
      <c r="I193" s="49">
        <f t="shared" ref="I193:I211" si="7">IF(A193&lt;&gt;0,(B193-(B192-D192))/(A193-A192),"")</f>
        <v>23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24</v>
      </c>
      <c r="B194" s="264">
        <v>254</v>
      </c>
      <c r="C194" s="264">
        <v>3</v>
      </c>
      <c r="D194" s="264">
        <v>73.7</v>
      </c>
      <c r="E194" s="51"/>
      <c r="F194" s="51">
        <v>1</v>
      </c>
      <c r="G194" s="51"/>
      <c r="H194" s="51"/>
      <c r="I194" s="49">
        <f t="shared" si="7"/>
        <v>19.216666666666669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30</v>
      </c>
      <c r="B195" s="264">
        <v>280</v>
      </c>
      <c r="C195" s="264">
        <v>4</v>
      </c>
      <c r="D195" s="264">
        <v>62.6</v>
      </c>
      <c r="E195" s="51"/>
      <c r="F195" s="51">
        <v>1</v>
      </c>
      <c r="G195" s="51"/>
      <c r="H195" s="51"/>
      <c r="I195" s="49">
        <f t="shared" si="7"/>
        <v>16.616666666666664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36</v>
      </c>
      <c r="B196" s="264">
        <v>305</v>
      </c>
      <c r="C196" s="264">
        <v>5</v>
      </c>
      <c r="D196" s="264">
        <v>58.4</v>
      </c>
      <c r="E196" s="51">
        <v>1</v>
      </c>
      <c r="F196" s="51"/>
      <c r="G196" s="51"/>
      <c r="H196" s="51"/>
      <c r="I196" s="49">
        <f t="shared" si="7"/>
        <v>14.6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42</v>
      </c>
      <c r="B197" s="264">
        <v>330</v>
      </c>
      <c r="C197" s="264">
        <v>6</v>
      </c>
      <c r="D197" s="264">
        <v>54.6</v>
      </c>
      <c r="E197" s="51">
        <v>1</v>
      </c>
      <c r="F197" s="51"/>
      <c r="G197" s="51"/>
      <c r="H197" s="51"/>
      <c r="I197" s="49">
        <f t="shared" si="7"/>
        <v>13.9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48</v>
      </c>
      <c r="B198" s="264">
        <v>353</v>
      </c>
      <c r="C198" s="264">
        <v>7</v>
      </c>
      <c r="D198" s="264">
        <v>48.2</v>
      </c>
      <c r="E198" s="51">
        <v>1</v>
      </c>
      <c r="F198" s="51"/>
      <c r="G198" s="51"/>
      <c r="H198" s="51"/>
      <c r="I198" s="49">
        <f t="shared" si="7"/>
        <v>12.933333333333337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54</v>
      </c>
      <c r="B199" s="50">
        <v>374</v>
      </c>
      <c r="C199" s="50">
        <v>8</v>
      </c>
      <c r="D199" s="50">
        <v>46.9</v>
      </c>
      <c r="E199" s="51">
        <v>1</v>
      </c>
      <c r="F199" s="51"/>
      <c r="G199" s="51"/>
      <c r="H199" s="51"/>
      <c r="I199" s="49">
        <f t="shared" si="7"/>
        <v>11.533333333333331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60</v>
      </c>
      <c r="B200" s="50">
        <v>401</v>
      </c>
      <c r="C200" s="50"/>
      <c r="D200" s="50">
        <v>0</v>
      </c>
      <c r="E200" s="51"/>
      <c r="F200" s="51"/>
      <c r="G200" s="51"/>
      <c r="H200" s="51"/>
      <c r="I200" s="49">
        <f t="shared" si="7"/>
        <v>12.316666666666663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Erable sycomore</v>
      </c>
      <c r="D214" s="225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2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3" t="s">
        <v>185</v>
      </c>
      <c r="C216" s="269" t="s">
        <v>186</v>
      </c>
      <c r="D216" s="269"/>
      <c r="E216" s="270" t="s">
        <v>187</v>
      </c>
      <c r="F216" s="271"/>
      <c r="G216" s="271"/>
      <c r="H216" s="272"/>
      <c r="I216" s="91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257">
        <v>10</v>
      </c>
      <c r="B218" s="257">
        <v>19</v>
      </c>
      <c r="C218" s="257">
        <v>1</v>
      </c>
      <c r="D218" s="257">
        <v>7</v>
      </c>
      <c r="E218" s="258"/>
      <c r="F218" s="258"/>
      <c r="G218" s="258"/>
      <c r="H218" s="258">
        <v>1</v>
      </c>
      <c r="I218" s="53">
        <f>IFERROR(B218/A218,"")</f>
        <v>1.9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257">
        <v>15</v>
      </c>
      <c r="B219" s="257">
        <v>85</v>
      </c>
      <c r="C219" s="257">
        <v>2</v>
      </c>
      <c r="D219" s="257">
        <v>42</v>
      </c>
      <c r="E219" s="258"/>
      <c r="F219" s="258"/>
      <c r="G219" s="258"/>
      <c r="H219" s="258">
        <v>1</v>
      </c>
      <c r="I219" s="53">
        <f t="shared" ref="I219:I237" si="8">IF(A219&lt;&gt;0,(B219-(B218-D218))/(A219-A218),"")</f>
        <v>14.6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257">
        <v>20</v>
      </c>
      <c r="B220" s="257">
        <v>123</v>
      </c>
      <c r="C220" s="257">
        <v>3</v>
      </c>
      <c r="D220" s="257">
        <v>42</v>
      </c>
      <c r="E220" s="258"/>
      <c r="F220" s="258"/>
      <c r="G220" s="258"/>
      <c r="H220" s="258">
        <v>1</v>
      </c>
      <c r="I220" s="53">
        <f t="shared" si="8"/>
        <v>16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257">
        <v>25</v>
      </c>
      <c r="B221" s="257">
        <v>165</v>
      </c>
      <c r="C221" s="257">
        <v>4</v>
      </c>
      <c r="D221" s="257">
        <v>42</v>
      </c>
      <c r="E221" s="258"/>
      <c r="F221" s="258"/>
      <c r="G221" s="258"/>
      <c r="H221" s="258">
        <v>1</v>
      </c>
      <c r="I221" s="53">
        <f t="shared" si="8"/>
        <v>16.8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257">
        <v>30</v>
      </c>
      <c r="B222" s="257">
        <v>205</v>
      </c>
      <c r="C222" s="257">
        <v>5</v>
      </c>
      <c r="D222" s="257">
        <v>42</v>
      </c>
      <c r="E222" s="258"/>
      <c r="F222" s="258"/>
      <c r="G222" s="258"/>
      <c r="H222" s="258">
        <v>1</v>
      </c>
      <c r="I222" s="53">
        <f t="shared" si="8"/>
        <v>16.399999999999999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257">
        <v>35</v>
      </c>
      <c r="B223" s="257">
        <v>239</v>
      </c>
      <c r="C223" s="257">
        <v>6</v>
      </c>
      <c r="D223" s="257">
        <v>42</v>
      </c>
      <c r="E223" s="258">
        <v>1</v>
      </c>
      <c r="F223" s="258"/>
      <c r="G223" s="258"/>
      <c r="H223" s="258"/>
      <c r="I223" s="53">
        <f t="shared" si="8"/>
        <v>15.2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257">
        <v>40</v>
      </c>
      <c r="B224" s="257">
        <v>263</v>
      </c>
      <c r="C224" s="257">
        <v>7</v>
      </c>
      <c r="D224" s="257">
        <v>40</v>
      </c>
      <c r="E224" s="258">
        <v>1</v>
      </c>
      <c r="F224" s="258"/>
      <c r="G224" s="258"/>
      <c r="H224" s="258"/>
      <c r="I224" s="53">
        <f t="shared" si="8"/>
        <v>13.2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257">
        <v>45</v>
      </c>
      <c r="B225" s="257">
        <v>280</v>
      </c>
      <c r="C225" s="257">
        <v>8</v>
      </c>
      <c r="D225" s="257">
        <v>26</v>
      </c>
      <c r="E225" s="258">
        <v>1</v>
      </c>
      <c r="F225" s="258"/>
      <c r="G225" s="258"/>
      <c r="H225" s="258"/>
      <c r="I225" s="53">
        <f t="shared" si="8"/>
        <v>11.4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257">
        <v>50</v>
      </c>
      <c r="B226" s="257">
        <v>303</v>
      </c>
      <c r="C226" s="257">
        <v>9</v>
      </c>
      <c r="D226" s="257">
        <v>21</v>
      </c>
      <c r="E226" s="258">
        <v>1</v>
      </c>
      <c r="F226" s="258"/>
      <c r="G226" s="258"/>
      <c r="H226" s="258"/>
      <c r="I226" s="53">
        <f t="shared" si="8"/>
        <v>9.8000000000000007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257">
        <v>55</v>
      </c>
      <c r="B227" s="259">
        <v>324</v>
      </c>
      <c r="C227" s="257">
        <v>10</v>
      </c>
      <c r="D227" s="259">
        <v>18</v>
      </c>
      <c r="E227" s="258">
        <v>1</v>
      </c>
      <c r="F227" s="258"/>
      <c r="G227" s="258"/>
      <c r="H227" s="258"/>
      <c r="I227" s="53">
        <f t="shared" si="8"/>
        <v>8.4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257">
        <v>60</v>
      </c>
      <c r="B228" s="260">
        <v>343</v>
      </c>
      <c r="C228" s="257">
        <v>11</v>
      </c>
      <c r="D228" s="260">
        <v>17</v>
      </c>
      <c r="E228" s="258">
        <v>1</v>
      </c>
      <c r="F228" s="258"/>
      <c r="G228" s="258"/>
      <c r="H228" s="258"/>
      <c r="I228" s="53">
        <f t="shared" si="8"/>
        <v>7.4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257">
        <v>65</v>
      </c>
      <c r="B229" s="259">
        <v>356</v>
      </c>
      <c r="C229" s="257">
        <v>12</v>
      </c>
      <c r="D229" s="259">
        <v>16</v>
      </c>
      <c r="E229" s="258">
        <v>1</v>
      </c>
      <c r="F229" s="258"/>
      <c r="G229" s="258"/>
      <c r="H229" s="258"/>
      <c r="I229" s="53">
        <f t="shared" si="8"/>
        <v>6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257">
        <v>70</v>
      </c>
      <c r="B230" s="259">
        <v>366</v>
      </c>
      <c r="C230" s="257">
        <v>13</v>
      </c>
      <c r="D230" s="259">
        <v>15</v>
      </c>
      <c r="E230" s="258">
        <v>1</v>
      </c>
      <c r="F230" s="258"/>
      <c r="G230" s="258"/>
      <c r="H230" s="258"/>
      <c r="I230" s="53">
        <f t="shared" si="8"/>
        <v>5.2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257">
        <v>75</v>
      </c>
      <c r="B231" s="259">
        <v>375</v>
      </c>
      <c r="C231" s="257">
        <v>14</v>
      </c>
      <c r="D231" s="259">
        <v>14</v>
      </c>
      <c r="E231" s="258">
        <v>1</v>
      </c>
      <c r="F231" s="258"/>
      <c r="G231" s="258"/>
      <c r="H231" s="258"/>
      <c r="I231" s="53">
        <f t="shared" si="8"/>
        <v>4.8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259">
        <v>80</v>
      </c>
      <c r="B232" s="259">
        <v>381</v>
      </c>
      <c r="C232" s="259">
        <v>15</v>
      </c>
      <c r="D232" s="259">
        <v>13</v>
      </c>
      <c r="E232" s="258">
        <v>1</v>
      </c>
      <c r="F232" s="258"/>
      <c r="G232" s="258"/>
      <c r="H232" s="258"/>
      <c r="I232" s="53">
        <f t="shared" si="8"/>
        <v>4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Sapin pectiné</v>
      </c>
      <c r="D240" s="225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2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3" t="s">
        <v>185</v>
      </c>
      <c r="C242" s="269" t="s">
        <v>186</v>
      </c>
      <c r="D242" s="269"/>
      <c r="E242" s="270" t="s">
        <v>187</v>
      </c>
      <c r="F242" s="271"/>
      <c r="G242" s="271"/>
      <c r="H242" s="272"/>
      <c r="I242" s="91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15</v>
      </c>
      <c r="B244" s="264">
        <v>56</v>
      </c>
      <c r="C244" s="264"/>
      <c r="D244" s="264">
        <v>0</v>
      </c>
      <c r="E244" s="51"/>
      <c r="F244" s="51"/>
      <c r="G244" s="51"/>
      <c r="H244" s="62"/>
      <c r="I244" s="53">
        <f>IFERROR(B244/A244,"")</f>
        <v>3.7333333333333334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20</v>
      </c>
      <c r="B245" s="264">
        <v>185</v>
      </c>
      <c r="C245" s="264">
        <v>1</v>
      </c>
      <c r="D245" s="264">
        <v>43</v>
      </c>
      <c r="E245" s="51"/>
      <c r="F245" s="51"/>
      <c r="G245" s="51">
        <v>1</v>
      </c>
      <c r="H245" s="62"/>
      <c r="I245" s="53">
        <f>IF(A245&lt;&gt;0,(B245-(B244-D244))/(A245-A244),"")</f>
        <v>25.8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25</v>
      </c>
      <c r="B246" s="264">
        <v>294</v>
      </c>
      <c r="C246" s="264">
        <v>2</v>
      </c>
      <c r="D246" s="264">
        <v>77</v>
      </c>
      <c r="E246" s="51"/>
      <c r="F246" s="51">
        <v>1</v>
      </c>
      <c r="G246" s="51"/>
      <c r="H246" s="62"/>
      <c r="I246" s="53">
        <f>IF(A246&lt;&gt;0,(B246-(B245-D245))/(A246-A245),"")</f>
        <v>30.4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30</v>
      </c>
      <c r="B247" s="264">
        <v>376</v>
      </c>
      <c r="C247" s="264">
        <v>3</v>
      </c>
      <c r="D247" s="264">
        <v>77</v>
      </c>
      <c r="E247" s="51"/>
      <c r="F247" s="51">
        <v>1</v>
      </c>
      <c r="G247" s="51"/>
      <c r="H247" s="62"/>
      <c r="I247" s="53">
        <f t="shared" ref="I247:I263" si="9">IF(A247&lt;&gt;0,(B247-(B246-D246))/(A247-A246),"")</f>
        <v>31.8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35</v>
      </c>
      <c r="B248" s="264">
        <v>453</v>
      </c>
      <c r="C248" s="264">
        <v>4</v>
      </c>
      <c r="D248" s="264">
        <v>77</v>
      </c>
      <c r="E248" s="51">
        <v>1</v>
      </c>
      <c r="F248" s="51"/>
      <c r="G248" s="51"/>
      <c r="H248" s="62"/>
      <c r="I248" s="53">
        <f t="shared" si="9"/>
        <v>30.8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40</v>
      </c>
      <c r="B249" s="264">
        <v>524</v>
      </c>
      <c r="C249" s="264">
        <v>5</v>
      </c>
      <c r="D249" s="264">
        <v>77</v>
      </c>
      <c r="E249" s="51">
        <v>1</v>
      </c>
      <c r="F249" s="51"/>
      <c r="G249" s="51"/>
      <c r="H249" s="62"/>
      <c r="I249" s="53">
        <f t="shared" si="9"/>
        <v>29.6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45</v>
      </c>
      <c r="B250" s="264">
        <v>588</v>
      </c>
      <c r="C250" s="264">
        <v>6</v>
      </c>
      <c r="D250" s="264">
        <v>77</v>
      </c>
      <c r="E250" s="51">
        <v>1</v>
      </c>
      <c r="F250" s="51"/>
      <c r="G250" s="51"/>
      <c r="H250" s="62"/>
      <c r="I250" s="53">
        <f t="shared" si="9"/>
        <v>28.2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0">
        <v>50</v>
      </c>
      <c r="B251" s="50">
        <v>644</v>
      </c>
      <c r="C251" s="50">
        <v>7</v>
      </c>
      <c r="D251" s="50">
        <v>77</v>
      </c>
      <c r="E251" s="51">
        <v>1</v>
      </c>
      <c r="F251" s="51"/>
      <c r="G251" s="51"/>
      <c r="H251" s="62"/>
      <c r="I251" s="53">
        <f t="shared" si="9"/>
        <v>26.6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0">
        <v>55</v>
      </c>
      <c r="B252" s="50">
        <v>694</v>
      </c>
      <c r="C252" s="50">
        <v>8</v>
      </c>
      <c r="D252" s="50">
        <v>73</v>
      </c>
      <c r="E252" s="51">
        <v>1</v>
      </c>
      <c r="F252" s="51"/>
      <c r="G252" s="51"/>
      <c r="H252" s="62"/>
      <c r="I252" s="53">
        <f t="shared" si="9"/>
        <v>25.4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0">
        <v>60</v>
      </c>
      <c r="B253" s="50">
        <v>740</v>
      </c>
      <c r="C253" s="50">
        <v>9</v>
      </c>
      <c r="D253" s="50">
        <v>66</v>
      </c>
      <c r="E253" s="51">
        <v>1</v>
      </c>
      <c r="F253" s="51"/>
      <c r="G253" s="51"/>
      <c r="H253" s="62"/>
      <c r="I253" s="53">
        <f t="shared" si="9"/>
        <v>23.8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0">
        <v>65</v>
      </c>
      <c r="B254" s="50">
        <v>786</v>
      </c>
      <c r="C254" s="50">
        <v>10</v>
      </c>
      <c r="D254" s="50">
        <v>62</v>
      </c>
      <c r="E254" s="51">
        <v>1</v>
      </c>
      <c r="F254" s="51"/>
      <c r="G254" s="51"/>
      <c r="H254" s="62"/>
      <c r="I254" s="53">
        <f t="shared" si="9"/>
        <v>22.4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0">
        <v>70</v>
      </c>
      <c r="B255" s="50">
        <v>832</v>
      </c>
      <c r="C255" s="50">
        <v>11</v>
      </c>
      <c r="D255" s="50">
        <v>60</v>
      </c>
      <c r="E255" s="51">
        <v>1</v>
      </c>
      <c r="F255" s="51"/>
      <c r="G255" s="51"/>
      <c r="H255" s="62"/>
      <c r="I255" s="53">
        <f t="shared" si="9"/>
        <v>21.6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0">
        <v>75</v>
      </c>
      <c r="B256" s="50">
        <v>874</v>
      </c>
      <c r="C256" s="50">
        <v>12</v>
      </c>
      <c r="D256" s="50">
        <v>58</v>
      </c>
      <c r="E256" s="51">
        <v>1</v>
      </c>
      <c r="F256" s="51"/>
      <c r="G256" s="51"/>
      <c r="H256" s="63"/>
      <c r="I256" s="53">
        <f t="shared" si="9"/>
        <v>20.399999999999999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50">
        <v>80</v>
      </c>
      <c r="B257" s="50">
        <v>909</v>
      </c>
      <c r="C257" s="50">
        <v>13</v>
      </c>
      <c r="D257" s="50">
        <v>57</v>
      </c>
      <c r="E257" s="51">
        <v>1</v>
      </c>
      <c r="F257" s="51"/>
      <c r="G257" s="51"/>
      <c r="H257" s="54"/>
      <c r="I257" s="53">
        <f t="shared" si="9"/>
        <v>18.600000000000001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>Pin sylvestre</v>
      </c>
      <c r="D266" s="225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2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3" t="s">
        <v>185</v>
      </c>
      <c r="C268" s="269" t="s">
        <v>186</v>
      </c>
      <c r="D268" s="269"/>
      <c r="E268" s="270" t="s">
        <v>187</v>
      </c>
      <c r="F268" s="271"/>
      <c r="G268" s="271"/>
      <c r="H268" s="272"/>
      <c r="I268" s="91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>
        <v>15</v>
      </c>
      <c r="B270" s="264">
        <v>64</v>
      </c>
      <c r="C270" s="264">
        <v>0</v>
      </c>
      <c r="D270" s="264">
        <v>0</v>
      </c>
      <c r="E270" s="51"/>
      <c r="F270" s="51"/>
      <c r="G270" s="51"/>
      <c r="H270" s="51"/>
      <c r="I270" s="53">
        <f>IFERROR(B270/A270,"")</f>
        <v>4.2666666666666666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>
        <v>20</v>
      </c>
      <c r="B271" s="264">
        <v>129</v>
      </c>
      <c r="C271" s="264">
        <v>1</v>
      </c>
      <c r="D271" s="264">
        <v>37</v>
      </c>
      <c r="E271" s="51"/>
      <c r="F271" s="51"/>
      <c r="G271" s="51">
        <v>1</v>
      </c>
      <c r="H271" s="51"/>
      <c r="I271" s="53">
        <f>IF(A271&lt;&gt;0,(B271-(B270-D270))/(A271-A270),"")</f>
        <v>13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>
        <v>25</v>
      </c>
      <c r="B272" s="264">
        <v>172</v>
      </c>
      <c r="C272" s="264">
        <v>2</v>
      </c>
      <c r="D272" s="264">
        <v>49</v>
      </c>
      <c r="E272" s="51"/>
      <c r="F272" s="51">
        <v>1</v>
      </c>
      <c r="G272" s="51"/>
      <c r="H272" s="51"/>
      <c r="I272" s="53">
        <f t="shared" ref="I272:I289" si="10">IF(A272&lt;&gt;0,(B272-(B271-D271))/(A272-A271),"")</f>
        <v>16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>
        <v>30</v>
      </c>
      <c r="B273" s="264">
        <v>211</v>
      </c>
      <c r="C273" s="264">
        <v>3</v>
      </c>
      <c r="D273" s="264">
        <v>49</v>
      </c>
      <c r="E273" s="51"/>
      <c r="F273" s="51">
        <v>1</v>
      </c>
      <c r="G273" s="51"/>
      <c r="H273" s="51"/>
      <c r="I273" s="53">
        <f t="shared" si="10"/>
        <v>17.600000000000001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>
        <v>35</v>
      </c>
      <c r="B274" s="264">
        <v>255</v>
      </c>
      <c r="C274" s="264">
        <v>4</v>
      </c>
      <c r="D274" s="264">
        <v>49</v>
      </c>
      <c r="E274" s="51">
        <v>1</v>
      </c>
      <c r="F274" s="51"/>
      <c r="G274" s="51"/>
      <c r="H274" s="51"/>
      <c r="I274" s="53">
        <f t="shared" si="10"/>
        <v>18.600000000000001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>
        <v>40</v>
      </c>
      <c r="B275" s="264">
        <v>300</v>
      </c>
      <c r="C275" s="264">
        <v>5</v>
      </c>
      <c r="D275" s="264">
        <v>49</v>
      </c>
      <c r="E275" s="51">
        <v>1</v>
      </c>
      <c r="F275" s="51"/>
      <c r="G275" s="51"/>
      <c r="H275" s="62"/>
      <c r="I275" s="53">
        <f t="shared" si="10"/>
        <v>18.8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>
        <v>45</v>
      </c>
      <c r="B276" s="264">
        <v>345</v>
      </c>
      <c r="C276" s="264">
        <v>6</v>
      </c>
      <c r="D276" s="264">
        <v>49</v>
      </c>
      <c r="E276" s="51">
        <v>1</v>
      </c>
      <c r="F276" s="51"/>
      <c r="G276" s="51"/>
      <c r="H276" s="62"/>
      <c r="I276" s="53">
        <f t="shared" si="10"/>
        <v>18.8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0">
        <v>50</v>
      </c>
      <c r="B277" s="50">
        <v>386</v>
      </c>
      <c r="C277" s="50">
        <v>7</v>
      </c>
      <c r="D277" s="50">
        <v>49</v>
      </c>
      <c r="E277" s="51">
        <v>1</v>
      </c>
      <c r="F277" s="51"/>
      <c r="G277" s="51"/>
      <c r="H277" s="62"/>
      <c r="I277" s="53">
        <f t="shared" si="10"/>
        <v>18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0">
        <v>55</v>
      </c>
      <c r="B278" s="50">
        <v>423</v>
      </c>
      <c r="C278" s="50">
        <v>8</v>
      </c>
      <c r="D278" s="50">
        <v>47</v>
      </c>
      <c r="E278" s="51">
        <v>1</v>
      </c>
      <c r="F278" s="51"/>
      <c r="G278" s="51"/>
      <c r="H278" s="62"/>
      <c r="I278" s="53">
        <f t="shared" si="10"/>
        <v>17.2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0">
        <v>60</v>
      </c>
      <c r="B279" s="50">
        <v>457</v>
      </c>
      <c r="C279" s="50">
        <v>9</v>
      </c>
      <c r="D279" s="50">
        <v>43</v>
      </c>
      <c r="E279" s="51">
        <v>1</v>
      </c>
      <c r="F279" s="51"/>
      <c r="G279" s="51"/>
      <c r="H279" s="62"/>
      <c r="I279" s="53">
        <f t="shared" si="10"/>
        <v>16.2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0">
        <v>65</v>
      </c>
      <c r="B280" s="50">
        <v>489</v>
      </c>
      <c r="C280" s="50">
        <v>10</v>
      </c>
      <c r="D280" s="50">
        <v>40</v>
      </c>
      <c r="E280" s="51">
        <v>1</v>
      </c>
      <c r="F280" s="51"/>
      <c r="G280" s="51"/>
      <c r="H280" s="62"/>
      <c r="I280" s="53">
        <f t="shared" si="10"/>
        <v>15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0">
        <v>70</v>
      </c>
      <c r="B281" s="50">
        <v>517</v>
      </c>
      <c r="C281" s="50">
        <v>11</v>
      </c>
      <c r="D281" s="50">
        <v>36</v>
      </c>
      <c r="E281" s="51">
        <v>1</v>
      </c>
      <c r="F281" s="51"/>
      <c r="G281" s="51"/>
      <c r="H281" s="62"/>
      <c r="I281" s="53">
        <f t="shared" si="10"/>
        <v>13.6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0">
        <v>75</v>
      </c>
      <c r="B282" s="50">
        <v>543</v>
      </c>
      <c r="C282" s="50">
        <v>12</v>
      </c>
      <c r="D282" s="50">
        <v>33</v>
      </c>
      <c r="E282" s="51">
        <v>1</v>
      </c>
      <c r="F282" s="51"/>
      <c r="G282" s="51"/>
      <c r="H282" s="63"/>
      <c r="I282" s="53">
        <f t="shared" si="10"/>
        <v>12.4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50">
        <v>80</v>
      </c>
      <c r="B283" s="50">
        <v>566</v>
      </c>
      <c r="C283" s="50">
        <v>13</v>
      </c>
      <c r="D283" s="50">
        <v>29</v>
      </c>
      <c r="E283" s="51">
        <v>1</v>
      </c>
      <c r="F283" s="51"/>
      <c r="G283" s="51"/>
      <c r="H283" s="54"/>
      <c r="I283" s="53">
        <f t="shared" si="10"/>
        <v>11.2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>
        <v>85</v>
      </c>
      <c r="B284" s="50">
        <v>587</v>
      </c>
      <c r="C284" s="50">
        <v>14</v>
      </c>
      <c r="D284" s="50">
        <v>26</v>
      </c>
      <c r="E284" s="51">
        <v>1</v>
      </c>
      <c r="F284" s="51"/>
      <c r="G284" s="51"/>
      <c r="H284" s="51"/>
      <c r="I284" s="53">
        <f t="shared" si="10"/>
        <v>10</v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>
        <v>90</v>
      </c>
      <c r="B285" s="50">
        <v>605</v>
      </c>
      <c r="C285" s="50">
        <v>15</v>
      </c>
      <c r="D285" s="50">
        <v>23</v>
      </c>
      <c r="E285" s="51">
        <v>1</v>
      </c>
      <c r="F285" s="51"/>
      <c r="G285" s="51"/>
      <c r="H285" s="51"/>
      <c r="I285" s="53">
        <f t="shared" si="10"/>
        <v>8.8000000000000007</v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>
        <v>95</v>
      </c>
      <c r="B286" s="50">
        <v>619</v>
      </c>
      <c r="C286" s="50">
        <v>16</v>
      </c>
      <c r="D286" s="50">
        <v>20</v>
      </c>
      <c r="E286" s="51">
        <v>1</v>
      </c>
      <c r="F286" s="51"/>
      <c r="G286" s="51"/>
      <c r="H286" s="51"/>
      <c r="I286" s="53">
        <f t="shared" si="10"/>
        <v>7.4</v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>
        <v>100</v>
      </c>
      <c r="B287" s="50">
        <v>632</v>
      </c>
      <c r="C287" s="50">
        <v>17</v>
      </c>
      <c r="D287" s="50">
        <v>17</v>
      </c>
      <c r="E287" s="51">
        <v>1</v>
      </c>
      <c r="F287" s="51"/>
      <c r="G287" s="51"/>
      <c r="H287" s="51"/>
      <c r="I287" s="53">
        <f t="shared" si="10"/>
        <v>6.6</v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phoneticPr fontId="35" type="noConversion"/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="115" zoomScaleNormal="115" workbookViewId="0">
      <selection activeCell="G21" sqref="G21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3"/>
      <c r="K1" s="9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2" t="s">
        <v>191</v>
      </c>
      <c r="C2" s="283"/>
      <c r="D2" s="283"/>
      <c r="E2" s="283"/>
      <c r="F2" s="283"/>
      <c r="G2" s="28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1"/>
      <c r="C4" s="281"/>
      <c r="D4" s="281"/>
      <c r="E4" s="281"/>
      <c r="F4" s="281"/>
      <c r="G4" s="28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4" t="s">
        <v>296</v>
      </c>
      <c r="C5" s="94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3"/>
      <c r="C6" s="213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5"/>
      <c r="B7" s="26" t="s">
        <v>295</v>
      </c>
      <c r="C7" s="96" t="s">
        <v>214</v>
      </c>
      <c r="D7" s="211"/>
      <c r="E7" s="97"/>
      <c r="F7" s="26" t="s">
        <v>295</v>
      </c>
      <c r="G7" s="96" t="s">
        <v>215</v>
      </c>
      <c r="H7" s="212"/>
      <c r="I7" s="212"/>
      <c r="J7" s="212"/>
      <c r="K7" s="212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</row>
    <row r="8" spans="1:38" ht="17.25" customHeight="1" x14ac:dyDescent="0.3">
      <c r="A8" s="101">
        <v>1</v>
      </c>
      <c r="B8" s="60">
        <v>0</v>
      </c>
      <c r="C8" s="49" t="s">
        <v>177</v>
      </c>
      <c r="D8" s="23"/>
      <c r="E8" s="101">
        <v>4</v>
      </c>
      <c r="F8" s="60">
        <v>1</v>
      </c>
      <c r="G8" s="98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1">
        <v>2</v>
      </c>
      <c r="B9" s="60">
        <v>0</v>
      </c>
      <c r="C9" s="104" t="s">
        <v>216</v>
      </c>
      <c r="D9" s="23"/>
      <c r="E9" s="101">
        <v>5</v>
      </c>
      <c r="F9" s="60">
        <v>0</v>
      </c>
      <c r="G9" s="99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1">
        <v>3</v>
      </c>
      <c r="B10" s="60">
        <v>0</v>
      </c>
      <c r="C10" s="105" t="s">
        <v>217</v>
      </c>
      <c r="D10" s="23"/>
      <c r="E10" s="4"/>
      <c r="F10" s="102">
        <f>SUM(F7:F9)</f>
        <v>1</v>
      </c>
      <c r="G10" s="100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2">
        <v>0</v>
      </c>
      <c r="C11" s="100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2"/>
      <c r="B13" s="103"/>
      <c r="C13" s="94" t="s">
        <v>273</v>
      </c>
      <c r="D13" s="212"/>
      <c r="E13" s="95"/>
      <c r="F13" s="103"/>
      <c r="G13" s="94" t="s">
        <v>301</v>
      </c>
      <c r="H13" s="212"/>
      <c r="I13" s="212"/>
      <c r="J13" s="212"/>
      <c r="K13" s="212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</row>
    <row r="14" spans="1:38" s="3" customFormat="1" ht="21" customHeight="1" x14ac:dyDescent="0.3">
      <c r="A14" s="212"/>
      <c r="B14" s="103"/>
      <c r="C14" s="94" t="s">
        <v>309</v>
      </c>
      <c r="D14" s="212"/>
      <c r="E14" s="95"/>
      <c r="F14" s="103"/>
      <c r="G14" s="94" t="s">
        <v>294</v>
      </c>
      <c r="H14" s="212"/>
      <c r="I14" s="212"/>
      <c r="J14" s="212"/>
      <c r="K14" s="212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0">
        <v>0</v>
      </c>
      <c r="C16" s="106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0">
        <v>0</v>
      </c>
      <c r="C17" s="106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0">
        <v>0</v>
      </c>
      <c r="C18" s="106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2">
        <f>SUM(B16:B18)</f>
        <v>0</v>
      </c>
      <c r="C19" s="100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8" t="s">
        <v>176</v>
      </c>
      <c r="C1" s="289"/>
      <c r="D1" s="289"/>
      <c r="E1" s="289"/>
      <c r="F1" s="289"/>
      <c r="G1" s="289"/>
      <c r="H1" s="290"/>
      <c r="I1" s="285" t="str">
        <f>IF('Données projet'!$B$9="","",'Données projet'!$B$9)</f>
        <v>Erable sycomore</v>
      </c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7"/>
      <c r="AD1" s="286" t="str">
        <f>IF('Données projet'!$B$10="","",'Données projet'!$B$10)</f>
        <v>Sapin pectiné</v>
      </c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7"/>
      <c r="AY1" s="285" t="str">
        <f>IF('Données projet'!$B$11="","",'Données projet'!$B$11)</f>
        <v>Pin sylvestre</v>
      </c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  <c r="BK1" s="286"/>
      <c r="BL1" s="286"/>
      <c r="BM1" s="286"/>
      <c r="BN1" s="286"/>
      <c r="BO1" s="286"/>
      <c r="BP1" s="286"/>
      <c r="BQ1" s="286"/>
      <c r="BR1" s="286"/>
      <c r="BS1" s="287"/>
      <c r="BT1" s="285" t="str">
        <f>IF('Données projet'!$B$12="","",'Données projet'!$B$12)</f>
        <v>Erable sycomore</v>
      </c>
      <c r="BU1" s="286"/>
      <c r="BV1" s="286"/>
      <c r="BW1" s="286"/>
      <c r="BX1" s="286"/>
      <c r="BY1" s="286"/>
      <c r="BZ1" s="286"/>
      <c r="CA1" s="286"/>
      <c r="CB1" s="286"/>
      <c r="CC1" s="286"/>
      <c r="CD1" s="286"/>
      <c r="CE1" s="286"/>
      <c r="CF1" s="286"/>
      <c r="CG1" s="286"/>
      <c r="CH1" s="286"/>
      <c r="CI1" s="286"/>
      <c r="CJ1" s="286"/>
      <c r="CK1" s="286"/>
      <c r="CL1" s="286"/>
      <c r="CM1" s="286"/>
      <c r="CN1" s="287"/>
      <c r="CO1" s="285" t="str">
        <f>IF('Données projet'!$B$13="","",'Données projet'!$B$13)</f>
        <v>Sapin pectiné</v>
      </c>
      <c r="CP1" s="286"/>
      <c r="CQ1" s="286"/>
      <c r="CR1" s="286"/>
      <c r="CS1" s="286"/>
      <c r="CT1" s="286"/>
      <c r="CU1" s="286"/>
      <c r="CV1" s="286"/>
      <c r="CW1" s="286"/>
      <c r="CX1" s="286"/>
      <c r="CY1" s="286"/>
      <c r="CZ1" s="286"/>
      <c r="DA1" s="286"/>
      <c r="DB1" s="286"/>
      <c r="DC1" s="286"/>
      <c r="DD1" s="286"/>
      <c r="DE1" s="286"/>
      <c r="DF1" s="286"/>
      <c r="DG1" s="286"/>
      <c r="DH1" s="286"/>
      <c r="DI1" s="287"/>
      <c r="DJ1" s="285" t="str">
        <f>IF('Données projet'!$B$14="","",'Données projet'!$B$14)</f>
        <v>Pin sylvestre</v>
      </c>
      <c r="DK1" s="286"/>
      <c r="DL1" s="286"/>
      <c r="DM1" s="286"/>
      <c r="DN1" s="286"/>
      <c r="DO1" s="286"/>
      <c r="DP1" s="286"/>
      <c r="DQ1" s="286"/>
      <c r="DR1" s="286"/>
      <c r="DS1" s="286"/>
      <c r="DT1" s="286"/>
      <c r="DU1" s="286"/>
      <c r="DV1" s="286"/>
      <c r="DW1" s="286"/>
      <c r="DX1" s="286"/>
      <c r="DY1" s="286"/>
      <c r="DZ1" s="286"/>
      <c r="EA1" s="286"/>
      <c r="EB1" s="286"/>
      <c r="EC1" s="286"/>
      <c r="ED1" s="287"/>
      <c r="EE1" s="285" t="str">
        <f>IF('Données projet'!$B$15="","",'Données projet'!$B$15)</f>
        <v>Mélèze d'Europe</v>
      </c>
      <c r="EF1" s="286"/>
      <c r="EG1" s="286"/>
      <c r="EH1" s="286"/>
      <c r="EI1" s="286"/>
      <c r="EJ1" s="286"/>
      <c r="EK1" s="286"/>
      <c r="EL1" s="286"/>
      <c r="EM1" s="286"/>
      <c r="EN1" s="286"/>
      <c r="EO1" s="286"/>
      <c r="EP1" s="286"/>
      <c r="EQ1" s="286"/>
      <c r="ER1" s="286"/>
      <c r="ES1" s="286"/>
      <c r="ET1" s="286"/>
      <c r="EU1" s="286"/>
      <c r="EV1" s="286"/>
      <c r="EW1" s="286"/>
      <c r="EX1" s="286"/>
      <c r="EY1" s="287"/>
      <c r="EZ1" s="285" t="str">
        <f>IF('Données projet'!$B$16="","",'Données projet'!$B$16)</f>
        <v>Erable sycomore</v>
      </c>
      <c r="FA1" s="286"/>
      <c r="FB1" s="286"/>
      <c r="FC1" s="286"/>
      <c r="FD1" s="286"/>
      <c r="FE1" s="286"/>
      <c r="FF1" s="286"/>
      <c r="FG1" s="286"/>
      <c r="FH1" s="286"/>
      <c r="FI1" s="286"/>
      <c r="FJ1" s="286"/>
      <c r="FK1" s="286"/>
      <c r="FL1" s="286"/>
      <c r="FM1" s="286"/>
      <c r="FN1" s="286"/>
      <c r="FO1" s="286"/>
      <c r="FP1" s="286"/>
      <c r="FQ1" s="286"/>
      <c r="FR1" s="286"/>
      <c r="FS1" s="286"/>
      <c r="FT1" s="287"/>
      <c r="FU1" s="285" t="str">
        <f>IF('Données projet'!$B$17="","",'Données projet'!$B$17)</f>
        <v>Sapin pectiné</v>
      </c>
      <c r="FV1" s="286"/>
      <c r="FW1" s="286"/>
      <c r="FX1" s="286"/>
      <c r="FY1" s="286"/>
      <c r="FZ1" s="286"/>
      <c r="GA1" s="286"/>
      <c r="GB1" s="286"/>
      <c r="GC1" s="286"/>
      <c r="GD1" s="286"/>
      <c r="GE1" s="286"/>
      <c r="GF1" s="286"/>
      <c r="GG1" s="286"/>
      <c r="GH1" s="286"/>
      <c r="GI1" s="286"/>
      <c r="GJ1" s="286"/>
      <c r="GK1" s="286"/>
      <c r="GL1" s="286"/>
      <c r="GM1" s="286"/>
      <c r="GN1" s="286"/>
      <c r="GO1" s="287"/>
      <c r="GP1" s="285" t="str">
        <f>IF('Données projet'!$B$18="","",'Données projet'!$B$18)</f>
        <v>Pin sylvestre</v>
      </c>
      <c r="GQ1" s="286"/>
      <c r="GR1" s="286"/>
      <c r="GS1" s="286"/>
      <c r="GT1" s="286"/>
      <c r="GU1" s="286"/>
      <c r="GV1" s="286"/>
      <c r="GW1" s="286"/>
      <c r="GX1" s="286"/>
      <c r="GY1" s="286"/>
      <c r="GZ1" s="286"/>
      <c r="HA1" s="286"/>
      <c r="HB1" s="286"/>
      <c r="HC1" s="286"/>
      <c r="HD1" s="286"/>
      <c r="HE1" s="286"/>
      <c r="HF1" s="286"/>
      <c r="HG1" s="286"/>
      <c r="HH1" s="286"/>
      <c r="HI1" s="286"/>
      <c r="HJ1" s="287"/>
    </row>
    <row r="2" spans="1:218" ht="58.2" thickBot="1" x14ac:dyDescent="0.35">
      <c r="A2" s="69" t="s">
        <v>178</v>
      </c>
      <c r="B2" s="70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4" t="s">
        <v>299</v>
      </c>
      <c r="I2" s="66" t="s">
        <v>298</v>
      </c>
      <c r="J2" s="67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7" t="s">
        <v>298</v>
      </c>
      <c r="AE2" s="67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6" t="s">
        <v>298</v>
      </c>
      <c r="AZ2" s="67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6" t="s">
        <v>298</v>
      </c>
      <c r="BU2" s="67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6" t="s">
        <v>298</v>
      </c>
      <c r="CP2" s="67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6" t="s">
        <v>298</v>
      </c>
      <c r="DK2" s="67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6" t="s">
        <v>298</v>
      </c>
      <c r="EF2" s="67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6" t="s">
        <v>298</v>
      </c>
      <c r="FA2" s="67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6" t="s">
        <v>298</v>
      </c>
      <c r="FV2" s="67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6" t="s">
        <v>298</v>
      </c>
      <c r="GQ2" s="67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1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5">
        <f>(B3+E3+F3)*44/12+(C3+D3)*0.475*44/12</f>
        <v>293.33333333333331</v>
      </c>
      <c r="I3" s="6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225.2323446080772</v>
      </c>
      <c r="T3" s="59">
        <f>IF('Données projet'!E9&gt;30,$R$33-$H$33,LOOKUP('Données projet'!$E$9,$A$3:$A$203,R3:R203)-LOOKUP('Données projet'!$E$9,$A$3:$A$203,$H$3:$H$203))</f>
        <v>222.29030402759292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360.05819346986135</v>
      </c>
      <c r="AO3" s="59">
        <f>IF('Données projet'!E10&gt;30,$AM$33-$H$33,LOOKUP('Données projet'!$E$10,$A$3:$A$203,AM3:AM203)-LOOKUP('Données projet'!$E$10,$A$3:$A$203,$H$3:$H$203))</f>
        <v>300.47468388351081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250.90038883668348</v>
      </c>
      <c r="BJ3" s="59">
        <f>IF('Données projet'!E11&gt;30,$BH$33-$H$33,LOOKUP('Données projet'!$E$11,$A$3:$A$203,BH3:BH203)-LOOKUP('Données projet'!$E$11,$A$3:$A$203,$H$3:$H$203))</f>
        <v>141.96132114475608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279.49721661620544</v>
      </c>
      <c r="CE3" s="59">
        <f>IF('Données projet'!E12&gt;30,$CC$33-$H$33,LOOKUP('Données projet'!$E$12,$A$3:$A$203,CC3:CC203)-LOOKUP('Données projet'!$E$12,$A$3:$A$203,$H$3:$H$203))</f>
        <v>275.18739333988754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396.27049617044378</v>
      </c>
      <c r="CZ3" s="59">
        <f>IF('Données projet'!E13&gt;30,$CX$33-$H$33,LOOKUP('Données projet'!$E$13,$A$3:$A$203,CX3:CX203)-LOOKUP('Données projet'!$E$13,$A$3:$A$203,$H$3:$H$203))</f>
        <v>335.2680289568774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307.43900954374504</v>
      </c>
      <c r="DU3" s="59">
        <f>IF('Données projet'!E14&gt;30,$DS$33-$H$33,LOOKUP('Données projet'!$E$14,$A$3:$A$203,DS3:DS203)-LOOKUP('Données projet'!$E$14,$A$3:$A$203,$H$3:$H$203))</f>
        <v>185.25270859048999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269.77739619445515</v>
      </c>
      <c r="EP3" s="59">
        <f>IF('Données projet'!E15&gt;30,$EN$33-$H$33,LOOKUP('Données projet'!$E$15,$A$3:$A$203,EN3:EN203)-LOOKUP('Données projet'!$E$15,$A$3:$A$203,$H$3:$H$203))</f>
        <v>347.56964743629885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331.52724290297675</v>
      </c>
      <c r="FK3" s="59">
        <f>IF('Données projet'!E16&gt;30,$FI$33-$H$33,LOOKUP('Données projet'!$E$16,$A$3:$A$203,FI3:FI203)-LOOKUP('Données projet'!$E$16,$A$3:$A$203,$H$3:$H$203))</f>
        <v>322.79102610158054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434.08297999735811</v>
      </c>
      <c r="GF3" s="59">
        <f>IF('Données projet'!E17&gt;30,$GD$33-$H$33,LOOKUP('Données projet'!$E$17,$A$3:$A$203,GD3:GD203)-LOOKUP('Données projet'!$E$17,$A$3:$A$203,$H$3:$H$203))</f>
        <v>371.04090283546122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293.33333333333331</v>
      </c>
      <c r="GZ3" s="59">
        <f ca="1">AVERAGE(OFFSET($GY$3,0,0,'Données projet'!$E$18+1,1))-AVERAGE(OFFSET($H$3,0,0,'Données projet'!$E$18+1,1))</f>
        <v>362.57172983134313</v>
      </c>
      <c r="HA3" s="59">
        <f>IF('Données projet'!E18&gt;30,$GY$33-$H$33,LOOKUP('Données projet'!$E$18,$A$3:$A$203,GY3:GY203)-LOOKUP('Données projet'!$E$18,$A$3:$A$203,$H$3:$H$203))</f>
        <v>232.03250917542471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1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5">
        <f t="shared" ref="H4:H67" si="1">(B4+E4+F4)*44/12+(C4+D4)*0.475*44/12</f>
        <v>294.5914728578652</v>
      </c>
      <c r="I4" s="6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2.4666666666666668</v>
      </c>
      <c r="N4" s="13">
        <f>IF('Données projet'!$A$36&gt;35,N3+M4-V3,IF(A4&lt;'Données projet'!$A$36,$K$205^A4,IF(A4='Données projet'!$A$36,'Données projet'!$B$36,N3+M4-V3)))</f>
        <v>1.2721747796233518</v>
      </c>
      <c r="O4" s="13">
        <f>N4*VLOOKUP('Données projet'!$B$9,Paramètres!$A$1:$I$89,3,0)*VLOOKUP('Données projet'!$B$9,Paramètres!$A$1:$I$89,5,0)</f>
        <v>1.0121422546683387</v>
      </c>
      <c r="P4" s="13">
        <f>EXP(-1.0587+0.8836*LN(O4)+0.284)</f>
        <v>0.46578286063395047</v>
      </c>
      <c r="Q4" s="20">
        <f t="shared" ref="Q4:Q34" si="2">(O4+P4)*0.475*44/12</f>
        <v>2.574052909151487</v>
      </c>
      <c r="R4" s="59">
        <f t="shared" si="0"/>
        <v>295.90738624248479</v>
      </c>
      <c r="S4" s="59">
        <f ca="1">AVERAGE(OFFSET($R$3,0,0,'Données projet'!$E$9+1,1))-AVERAGE(OFFSET($H$3,0,0,'Données projet'!$E$9+1,1))</f>
        <v>225.2323446080772</v>
      </c>
      <c r="T4" s="59">
        <f>$T$3</f>
        <v>222.29030402759292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1.8666666666666667</v>
      </c>
      <c r="AI4" s="13">
        <f>IF('Données projet'!$A$62&gt;35,AI3+AH4-AQ3,IF(A4&lt;'Données projet'!$A$62,$AF$205^A4,IF(A4='Données projet'!$A$62,'Données projet'!$B$62,AI3+AH4-AQ3)))</f>
        <v>1.2487548905696053</v>
      </c>
      <c r="AJ4" s="13">
        <f>AI4*VLOOKUP('Données projet'!$B$10,Paramètres!$A$1:$I$89,3,0)*VLOOKUP('Données projet'!$B$10,Paramètres!$A$1:$I$89,5,0)</f>
        <v>0.61688491594138506</v>
      </c>
      <c r="AK4" s="13">
        <f>EXP(-1.0587+0.8836*LN(AJ4)+0.284)</f>
        <v>0.30072979116681903</v>
      </c>
      <c r="AL4" s="20">
        <f t="shared" ref="AL4:AL67" si="4">(AJ4+AK4)*0.475*44/12</f>
        <v>1.5981789482134554</v>
      </c>
      <c r="AM4" s="59">
        <f t="shared" ref="AM4:AM67" si="5">AL4+(AD4+AE4)*44/12</f>
        <v>294.93151228154676</v>
      </c>
      <c r="AN4" s="59">
        <f ca="1">AVERAGE(OFFSET($AM$3,0,0,'Données projet'!$E$10+1,1))-AVERAGE(OFFSET($H$3,0,0,'Données projet'!$E$10+1,1))</f>
        <v>360.05819346986135</v>
      </c>
      <c r="AO4" s="59">
        <f>$AO$3</f>
        <v>300.47468388351081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</v>
      </c>
      <c r="BD4" s="12">
        <f>IF('Données projet'!$A$88&gt;35,BD3+BC4-BL3,IF(A4&lt;'Données projet'!$A$88,$BA$205^A4,IF(A4='Données projet'!$A$88,'Données projet'!$B$88,BD3+BC4-BL3)))</f>
        <v>1.2545117989873635</v>
      </c>
      <c r="BE4" s="13">
        <f>BD4*VLOOKUP('Données projet'!$B$11,Paramètres!$A$1:$I$89,3,0)*VLOOKUP('Données projet'!$B$11,Paramètres!$A$1:$I$89,5,0)</f>
        <v>0.71758074902077196</v>
      </c>
      <c r="BF4" s="13">
        <f>EXP(-1.0587+0.8836*LN(BE4)+0.284)</f>
        <v>0.34371579125713536</v>
      </c>
      <c r="BG4" s="20">
        <f t="shared" ref="BG4:BG67" si="7">(BE4+BF4)*0.475*44/12</f>
        <v>1.8484248076506884</v>
      </c>
      <c r="BH4" s="59">
        <f t="shared" ref="BH4:BH67" si="8">BG4+(AY4+AZ4)*44/12</f>
        <v>295.18175814098402</v>
      </c>
      <c r="BI4" s="59">
        <f ca="1">AVERAGE(OFFSET($BH$3,0,0,'Données projet'!$E$11+1,1))-AVERAGE(OFFSET($H$3,0,0,'Données projet'!$E$11+1,1))</f>
        <v>250.90038883668348</v>
      </c>
      <c r="BJ4" s="59">
        <f>$BJ$3</f>
        <v>141.96132114475608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1.1000000000000001</v>
      </c>
      <c r="BY4" s="12">
        <f>IF('Données projet'!$A$114&gt;35,BY3+BX4-CG3,IF(A4&lt;'Données projet'!$A$114,$BV$205^A4,IF(A4='Données projet'!$A$114,'Données projet'!$B$114,BY3+BX4-CG3)))</f>
        <v>1.2709816152101407</v>
      </c>
      <c r="BZ4" s="13">
        <f>BY4*VLOOKUP('Données projet'!$B$12,Paramètres!$A$1:$I$89,3,0)*VLOOKUP('Données projet'!$B$12,Paramètres!$A$1:$I$89,5,0)</f>
        <v>1.0111929730611879</v>
      </c>
      <c r="CA4" s="13">
        <f>EXP(-1.0587+0.8836*LN(BZ4)+0.284)</f>
        <v>0.46539683474213156</v>
      </c>
      <c r="CB4" s="20">
        <f t="shared" ref="CB4:CB67" si="10">(BZ4+CA4)*0.475*44/12</f>
        <v>2.5717272485907814</v>
      </c>
      <c r="CC4" s="59">
        <f t="shared" ref="CC4:CC67" si="11">CB4+(BT4+BU4)*44/12</f>
        <v>295.90506058192409</v>
      </c>
      <c r="CD4" s="59">
        <f ca="1">AVERAGE(OFFSET($CC$3,0,0,'Données projet'!$E$12+1,1))-AVERAGE(OFFSET($H$3,0,0,'Données projet'!$E$12+1,1))</f>
        <v>279.49721661620544</v>
      </c>
      <c r="CE4" s="59">
        <f>$CE$3</f>
        <v>275.18739333988754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2.8</v>
      </c>
      <c r="CT4" s="12">
        <f>IF('Données projet'!$A$140&gt;35,CT3+CS4-DB3,IF(A4&lt;'Données projet'!$A$140,$CQ$205^A4,IF(A4='Données projet'!$A$140,'Données projet'!$B$140,CT3+CS4-DB3)))</f>
        <v>1.282970348825361</v>
      </c>
      <c r="CU4" s="17">
        <f>CT4*VLOOKUP('Données projet'!$B$13,Paramètres!$A$1:$I$89,3,0)*VLOOKUP('Données projet'!$B$13,Paramètres!$A$1:$I$89,5,0)</f>
        <v>0.63378735231972827</v>
      </c>
      <c r="CV4" s="13">
        <f>EXP(-1.0587+0.8836*LN(CU4)+0.284)</f>
        <v>0.30799906762428558</v>
      </c>
      <c r="CW4" s="20">
        <f t="shared" ref="CW4:CW67" si="13">(CU4+CV4)*0.475*44/12</f>
        <v>1.6402780147358238</v>
      </c>
      <c r="CX4" s="59">
        <f t="shared" ref="CX4:CX67" si="14">CW4+(CO4+CP4)*44/12</f>
        <v>294.97361134806914</v>
      </c>
      <c r="CY4" s="59">
        <f ca="1">AVERAGE(OFFSET($CX$3,0,0,'Données projet'!$E$13+1,1))-AVERAGE(OFFSET($H$3,0,0,'Données projet'!$E$13+1,1))</f>
        <v>396.27049617044378</v>
      </c>
      <c r="CZ4" s="59">
        <f>$CZ$3</f>
        <v>335.2680289568774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3.0666666666666669</v>
      </c>
      <c r="DO4" s="12">
        <f>IF('Données projet'!$A$166&gt;35,DO3+DN4-DW3,IF(A4&lt;'Données projet'!$A$166,$DL$205^A4,IF(A4='Données projet'!$A$166,'Données projet'!$B$166,DO3+DN4-DW3)))</f>
        <v>1.2907749310619425</v>
      </c>
      <c r="DP4" s="17">
        <f>DO4*VLOOKUP('Données projet'!$B$14,Paramètres!$A$1:$I$89,3,0)*VLOOKUP('Données projet'!$B$14,Paramètres!$A$1:$I$89,5,0)</f>
        <v>0.73832326056743114</v>
      </c>
      <c r="DQ4" s="13">
        <f>EXP(-1.0587+0.8836*LN(DP4)+0.284)</f>
        <v>0.35248019271209924</v>
      </c>
      <c r="DR4" s="20">
        <f t="shared" ref="DR4:DR67" si="16">(DP4+DQ4)*0.475*44/12</f>
        <v>1.8998160144618488</v>
      </c>
      <c r="DS4" s="59">
        <f t="shared" ref="DS4:DS67" si="17">DR4+(DJ4+DK4)*44/12</f>
        <v>295.23314934779518</v>
      </c>
      <c r="DT4" s="59">
        <f ca="1">AVERAGE(OFFSET($DS$3,0,0,'Données projet'!$E$14+1,1))-AVERAGE(OFFSET($H$3,0,0,'Données projet'!$E$14+1,1))</f>
        <v>307.43900954374504</v>
      </c>
      <c r="DU4" s="59">
        <f>$DU$3</f>
        <v>185.25270859048999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8.5833333333333339</v>
      </c>
      <c r="EJ4" s="12">
        <f>IF('Données projet'!$A$192&gt;35,EJ3+EI4-ER3,IF(A4&lt;'Données projet'!$A$192,$EG$205^A4,IF(A4='Données projet'!$A$192,'Données projet'!$B$192,EJ3+EI4-ER3)))</f>
        <v>1.4714192565876152</v>
      </c>
      <c r="EK4" s="17">
        <f>EJ4*VLOOKUP('Données projet'!$B$15,Paramètres!$A$1:$I$89,3,0)*VLOOKUP('Données projet'!$B$15,Paramètres!$A$1:$I$89,5,0)</f>
        <v>0.91816561611067193</v>
      </c>
      <c r="EL4" s="13">
        <f>EXP(-1.0587+0.8836*LN(EK4)+0.284)</f>
        <v>0.42735528842602116</v>
      </c>
      <c r="EM4" s="20">
        <f t="shared" ref="EM4:EM67" si="19">(EK4+EL4)*0.475*44/12</f>
        <v>2.3434489087347408</v>
      </c>
      <c r="EN4" s="59">
        <f t="shared" ref="EN4:EN67" si="20">EM4+(EE4+EF4)*44/12</f>
        <v>295.67678224206804</v>
      </c>
      <c r="EO4" s="59">
        <f ca="1">AVERAGE(OFFSET($EN$3,0,0,'Données projet'!$E$15+1,1))-AVERAGE(OFFSET($H$3,0,0,'Données projet'!$E$15+1,1))</f>
        <v>269.77739619445515</v>
      </c>
      <c r="EP4" s="59">
        <f>$EP$3</f>
        <v>347.56964743629885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1.9</v>
      </c>
      <c r="FE4" s="12">
        <f>IF('Données projet'!$A$218&gt;35,FE3+FD4-FM3,IF(A4&lt;'Données projet'!$A$218,$FB$205^A4,IF(A4='Données projet'!$A$218,'Données projet'!$B$218,FE3+FD4-FM3)))</f>
        <v>1.3423796509621049</v>
      </c>
      <c r="FF4" s="17">
        <f>FE4*VLOOKUP('Données projet'!$B$16,Paramètres!$A$1:$I$89,3,0)*VLOOKUP('Données projet'!$B$16,Paramètres!$A$1:$I$89,5,0)</f>
        <v>1.0679972503054507</v>
      </c>
      <c r="FG4" s="13">
        <f>EXP(-1.0587+0.8836*LN(FF4)+0.284)</f>
        <v>0.48842359485523285</v>
      </c>
      <c r="FH4" s="20">
        <f t="shared" ref="FH4:FH67" si="22">(FF4+FG4)*0.475*44/12</f>
        <v>2.7107663053215236</v>
      </c>
      <c r="FI4" s="59">
        <f t="shared" ref="FI4:FI67" si="23">FH4+(EZ4+FA4)*44/12</f>
        <v>296.04409963865481</v>
      </c>
      <c r="FJ4" s="59">
        <f ca="1">AVERAGE(OFFSET($FI$3,0,0,'Données projet'!$E$16+1,1))-AVERAGE(OFFSET($H$3,0,0,'Données projet'!$E$16+1,1))</f>
        <v>331.52724290297675</v>
      </c>
      <c r="FK4" s="59">
        <f>$FK$3</f>
        <v>322.79102610158054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3.7333333333333334</v>
      </c>
      <c r="FZ4" s="12">
        <f>IF('Données projet'!$A$244&gt;35,FZ3+FY4-GH3,IF(A4&lt;'Données projet'!$A$244,$FW$205^A4,IF(A4='Données projet'!$A$244,'Données projet'!$B$244,FZ3+FY4-GH3)))</f>
        <v>1.3078136577370625</v>
      </c>
      <c r="GA4" s="17">
        <f>FZ4*VLOOKUP('Données projet'!$B$17,Paramètres!$A$1:$I$89,3,0)*VLOOKUP('Données projet'!$B$17,Paramètres!$A$1:$I$89,5,0)</f>
        <v>0.64605994692210889</v>
      </c>
      <c r="GB4" s="13">
        <f>EXP(-1.0587+0.8836*LN(GA4)+0.284)</f>
        <v>0.31326301704429743</v>
      </c>
      <c r="GC4" s="20">
        <f t="shared" ref="GC4:GC67" si="25">(GA4+GB4)*0.475*44/12</f>
        <v>1.6708208289081574</v>
      </c>
      <c r="GD4" s="59">
        <f t="shared" ref="GD4:GD67" si="26">GC4+(FU4+FV4)*44/12</f>
        <v>295.00415416224149</v>
      </c>
      <c r="GE4" s="59">
        <f ca="1">AVERAGE(OFFSET($GD$3,0,0,'Données projet'!$E$17+1,1))-AVERAGE(OFFSET($H$3,0,0,'Données projet'!$E$17+1,1))</f>
        <v>434.08297999735811</v>
      </c>
      <c r="GF4" s="59">
        <f>$GF$3</f>
        <v>371.04090283546122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4.2666666666666666</v>
      </c>
      <c r="GU4" s="12">
        <f>IF('Données projet'!$A$270&gt;35,GU3+GT4-HC3,IF(A4&lt;'Données projet'!$A$270,$GR$205^A4,IF(A4='Données projet'!$A$270,'Données projet'!$B$270,GU3+GT4-HC3)))</f>
        <v>1.3195079107728942</v>
      </c>
      <c r="GV4" s="17">
        <f>GU4*VLOOKUP('Données projet'!$B$18,Paramètres!$A$1:$I$89,3,0)*VLOOKUP('Données projet'!$B$18,Paramètres!$A$1:$I$89,5,0)</f>
        <v>0.75475852496209561</v>
      </c>
      <c r="GW4" s="13">
        <f>EXP(-1.0587+0.8836*LN(GV4)+0.284)</f>
        <v>0.35940427415554149</v>
      </c>
      <c r="GX4" s="20">
        <f t="shared" ref="GX4:GX67" si="28">(GV4+GW4)*0.475*44/12</f>
        <v>1.9405002084632177</v>
      </c>
      <c r="GY4" s="59">
        <f t="shared" ref="GY4:GY67" si="29">GX4+(GP4+GQ4)*44/12</f>
        <v>295.27383354179653</v>
      </c>
      <c r="GZ4" s="59">
        <f ca="1">AVERAGE(OFFSET($GY$3,0,0,'Données projet'!$E$18+1,1))-AVERAGE(OFFSET($H$3,0,0,'Données projet'!$E$18+1,1))</f>
        <v>362.57172983134313</v>
      </c>
      <c r="HA4" s="59">
        <f>$HA$3</f>
        <v>232.03250917542471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">
      <c r="A5" s="10">
        <f t="shared" ref="A5:A68" si="31">A4+1</f>
        <v>2</v>
      </c>
      <c r="B5" s="71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5">
        <f t="shared" si="1"/>
        <v>295.78443952307919</v>
      </c>
      <c r="I5" s="6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2.4666666666666668</v>
      </c>
      <c r="N5" s="13">
        <f>IF('Données projet'!$A$36&gt;35,N4+M5-V4,IF(A5&lt;'Données projet'!$A$36,$K$205^A5,IF(A5='Données projet'!$A$36,'Données projet'!$B$36,N4+M5-V4)))</f>
        <v>1.6184286699097237</v>
      </c>
      <c r="O5" s="13">
        <f>N5*VLOOKUP('Données projet'!$B$9,Paramètres!$A$1:$I$89,3,0)*VLOOKUP('Données projet'!$B$9,Paramètres!$A$1:$I$89,5,0)</f>
        <v>1.2876218497801761</v>
      </c>
      <c r="P5" s="13">
        <f t="shared" ref="P5:P68" si="33">EXP(-1.0587+0.8836*LN(O5)+0.284)</f>
        <v>0.57618379541883336</v>
      </c>
      <c r="Q5" s="20">
        <f t="shared" si="2"/>
        <v>3.2461281653882743</v>
      </c>
      <c r="R5" s="59">
        <f t="shared" si="0"/>
        <v>296.57946149872157</v>
      </c>
      <c r="S5" s="59">
        <f ca="1">AVERAGE(OFFSET($R$3,0,0,'Données projet'!$E$9+1,1))-AVERAGE(OFFSET($H$3,0,0,'Données projet'!$E$9+1,1))</f>
        <v>225.2323446080772</v>
      </c>
      <c r="T5" s="59">
        <f t="shared" ref="T5:T68" si="34">$T$3</f>
        <v>222.29030402759292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1.8666666666666667</v>
      </c>
      <c r="AI5" s="13">
        <f>IF('Données projet'!$A$62&gt;35,AI4+AH5-AQ4,IF(A5&lt;'Données projet'!$A$62,$AF$205^A5,IF(A5='Données projet'!$A$62,'Données projet'!$B$62,AI4+AH5-AQ4)))</f>
        <v>1.5593887767215069</v>
      </c>
      <c r="AJ5" s="13">
        <f>AI5*VLOOKUP('Données projet'!$B$10,Paramètres!$A$1:$I$89,3,0)*VLOOKUP('Données projet'!$B$10,Paramètres!$A$1:$I$89,5,0)</f>
        <v>0.77033805570042446</v>
      </c>
      <c r="AK5" s="13">
        <f t="shared" ref="AK5:AK68" si="35">EXP(-1.0587+0.8836*LN(AJ5)+0.284)</f>
        <v>0.36595164901307464</v>
      </c>
      <c r="AL5" s="20">
        <f t="shared" si="4"/>
        <v>1.979037902376011</v>
      </c>
      <c r="AM5" s="59">
        <f t="shared" si="5"/>
        <v>295.31237123570935</v>
      </c>
      <c r="AN5" s="59">
        <f ca="1">AVERAGE(OFFSET($AM$3,0,0,'Données projet'!$E$10+1,1))-AVERAGE(OFFSET($H$3,0,0,'Données projet'!$E$10+1,1))</f>
        <v>360.05819346986135</v>
      </c>
      <c r="AO5" s="59">
        <f t="shared" ref="AO5:AO68" si="36">$AO$3</f>
        <v>300.47468388351081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</v>
      </c>
      <c r="BD5" s="12">
        <f>IF('Données projet'!$A$88&gt;35,BD4+BC5-BL4,IF(A5&lt;'Données projet'!$A$88,$BA$205^A5,IF(A5='Données projet'!$A$88,'Données projet'!$B$88,BD4+BC5-BL4)))</f>
        <v>1.5737998537985112</v>
      </c>
      <c r="BE5" s="13">
        <f>BD5*VLOOKUP('Données projet'!$B$11,Paramètres!$A$1:$I$89,3,0)*VLOOKUP('Données projet'!$B$11,Paramètres!$A$1:$I$89,5,0)</f>
        <v>0.90021351637274838</v>
      </c>
      <c r="BF5" s="13">
        <f t="shared" ref="BF5:BF68" si="37">EXP(-1.0587+0.8836*LN(BE5)+0.284)</f>
        <v>0.4199637206387441</v>
      </c>
      <c r="BG5" s="20">
        <f t="shared" si="7"/>
        <v>2.2993086877950155</v>
      </c>
      <c r="BH5" s="59">
        <f t="shared" si="8"/>
        <v>295.63264202112833</v>
      </c>
      <c r="BI5" s="59">
        <f ca="1">AVERAGE(OFFSET($BH$3,0,0,'Données projet'!$E$11+1,1))-AVERAGE(OFFSET($H$3,0,0,'Données projet'!$E$11+1,1))</f>
        <v>250.90038883668348</v>
      </c>
      <c r="BJ5" s="59">
        <f t="shared" ref="BJ5:BJ68" si="38">$BJ$3</f>
        <v>141.96132114475608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1.1000000000000001</v>
      </c>
      <c r="BY5" s="12">
        <f>IF('Données projet'!$A$114&gt;35,BY4+BX5-CG4,IF(A5&lt;'Données projet'!$A$114,$BV$205^A5,IF(A5='Données projet'!$A$114,'Données projet'!$B$114,BY4+BX5-CG4)))</f>
        <v>1.6153942662021783</v>
      </c>
      <c r="BZ5" s="13">
        <f>BY5*VLOOKUP('Données projet'!$B$12,Paramètres!$A$1:$I$89,3,0)*VLOOKUP('Données projet'!$B$12,Paramètres!$A$1:$I$89,5,0)</f>
        <v>1.2852076781904531</v>
      </c>
      <c r="CA5" s="13">
        <f t="shared" ref="CA5:CA68" si="39">EXP(-1.0587+0.8836*LN(BZ5)+0.284)</f>
        <v>0.57522914588482876</v>
      </c>
      <c r="CB5" s="20">
        <f t="shared" si="10"/>
        <v>3.2402608019311159</v>
      </c>
      <c r="CC5" s="59">
        <f t="shared" si="11"/>
        <v>296.57359413526444</v>
      </c>
      <c r="CD5" s="59">
        <f ca="1">AVERAGE(OFFSET($CC$3,0,0,'Données projet'!$E$12+1,1))-AVERAGE(OFFSET($H$3,0,0,'Données projet'!$E$12+1,1))</f>
        <v>279.49721661620544</v>
      </c>
      <c r="CE5" s="59">
        <f t="shared" ref="CE5:CE68" si="40">$CE$3</f>
        <v>275.18739333988754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2.8</v>
      </c>
      <c r="CT5" s="12">
        <f>IF('Données projet'!$A$140&gt;35,CT4+CS5-DB4,IF(A5&lt;'Données projet'!$A$140,$CQ$205^A5,IF(A5='Données projet'!$A$140,'Données projet'!$B$140,CT4+CS5-DB4)))</f>
        <v>1.6460129159650685</v>
      </c>
      <c r="CU5" s="17">
        <f>CT5*VLOOKUP('Données projet'!$B$13,Paramètres!$A$1:$I$89,3,0)*VLOOKUP('Données projet'!$B$13,Paramètres!$A$1:$I$89,5,0)</f>
        <v>0.81313038048674391</v>
      </c>
      <c r="CV5" s="13">
        <f t="shared" ref="CV5:CV68" si="41">EXP(-1.0587+0.8836*LN(CU5)+0.284)</f>
        <v>0.38385712540288347</v>
      </c>
      <c r="CW5" s="20">
        <f t="shared" si="13"/>
        <v>2.0847532394244346</v>
      </c>
      <c r="CX5" s="59">
        <f t="shared" si="14"/>
        <v>295.41808657275777</v>
      </c>
      <c r="CY5" s="59">
        <f ca="1">AVERAGE(OFFSET($CX$3,0,0,'Données projet'!$E$13+1,1))-AVERAGE(OFFSET($H$3,0,0,'Données projet'!$E$13+1,1))</f>
        <v>396.27049617044378</v>
      </c>
      <c r="CZ5" s="59">
        <f t="shared" ref="CZ5:CZ68" si="42">$CZ$3</f>
        <v>335.2680289568774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3.0666666666666669</v>
      </c>
      <c r="DO5" s="12">
        <f>IF('Données projet'!$A$166&gt;35,DO4+DN5-DW4,IF(A5&lt;'Données projet'!$A$166,$DL$205^A5,IF(A5='Données projet'!$A$166,'Données projet'!$B$166,DO4+DN5-DW4)))</f>
        <v>1.6660999226579625</v>
      </c>
      <c r="DP5" s="17">
        <f>DO5*VLOOKUP('Données projet'!$B$14,Paramètres!$A$1:$I$89,3,0)*VLOOKUP('Données projet'!$B$14,Paramètres!$A$1:$I$89,5,0)</f>
        <v>0.95300915576035461</v>
      </c>
      <c r="DQ5" s="13">
        <f t="shared" ref="DQ5:DQ68" si="43">EXP(-1.0587+0.8836*LN(DP5)+0.284)</f>
        <v>0.44165407164485548</v>
      </c>
      <c r="DR5" s="20">
        <f t="shared" si="16"/>
        <v>2.4290384543974075</v>
      </c>
      <c r="DS5" s="59">
        <f t="shared" si="17"/>
        <v>295.76237178773073</v>
      </c>
      <c r="DT5" s="59">
        <f ca="1">AVERAGE(OFFSET($DS$3,0,0,'Données projet'!$E$14+1,1))-AVERAGE(OFFSET($H$3,0,0,'Données projet'!$E$14+1,1))</f>
        <v>307.43900954374504</v>
      </c>
      <c r="DU5" s="59">
        <f t="shared" ref="DU5:DU68" si="44">$DU$3</f>
        <v>185.25270859048999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8.5833333333333339</v>
      </c>
      <c r="EJ5" s="12">
        <f>IF('Données projet'!$A$192&gt;35,EJ4+EI5-ER4,IF(A5&lt;'Données projet'!$A$192,$EG$205^A5,IF(A5='Données projet'!$A$192,'Données projet'!$B$192,EJ4+EI5-ER4)))</f>
        <v>2.1650746286568503</v>
      </c>
      <c r="EK5" s="17">
        <f>EJ5*VLOOKUP('Données projet'!$B$15,Paramètres!$A$1:$I$89,3,0)*VLOOKUP('Données projet'!$B$15,Paramètres!$A$1:$I$89,5,0)</f>
        <v>1.3510065682818746</v>
      </c>
      <c r="EL5" s="13">
        <f t="shared" ref="EL5:EL68" si="45">EXP(-1.0587+0.8836*LN(EK5)+0.284)</f>
        <v>0.60117511749976371</v>
      </c>
      <c r="EM5" s="20">
        <f t="shared" si="19"/>
        <v>3.4000497694030201</v>
      </c>
      <c r="EN5" s="59">
        <f t="shared" si="20"/>
        <v>296.73338310273635</v>
      </c>
      <c r="EO5" s="59">
        <f ca="1">AVERAGE(OFFSET($EN$3,0,0,'Données projet'!$E$15+1,1))-AVERAGE(OFFSET($H$3,0,0,'Données projet'!$E$15+1,1))</f>
        <v>269.77739619445515</v>
      </c>
      <c r="EP5" s="59">
        <f t="shared" ref="EP5:EP68" si="46">$EP$3</f>
        <v>347.56964743629885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1.9</v>
      </c>
      <c r="FE5" s="12">
        <f>IF('Données projet'!$A$218&gt;35,FE4+FD5-FM4,IF(A5&lt;'Données projet'!$A$218,$FB$205^A5,IF(A5='Données projet'!$A$218,'Données projet'!$B$218,FE4+FD5-FM4)))</f>
        <v>1.8019831273171425</v>
      </c>
      <c r="FF5" s="17">
        <f>FE5*VLOOKUP('Données projet'!$B$16,Paramètres!$A$1:$I$89,3,0)*VLOOKUP('Données projet'!$B$16,Paramètres!$A$1:$I$89,5,0)</f>
        <v>1.4336577760935185</v>
      </c>
      <c r="FG5" s="13">
        <f t="shared" ref="FG5:FG68" si="47">EXP(-1.0587+0.8836*LN(FF5)+0.284)</f>
        <v>0.63355934907379652</v>
      </c>
      <c r="FH5" s="20">
        <f t="shared" si="22"/>
        <v>3.6004031596664068</v>
      </c>
      <c r="FI5" s="59">
        <f t="shared" si="23"/>
        <v>296.93373649299974</v>
      </c>
      <c r="FJ5" s="59">
        <f ca="1">AVERAGE(OFFSET($FI$3,0,0,'Données projet'!$E$16+1,1))-AVERAGE(OFFSET($H$3,0,0,'Données projet'!$E$16+1,1))</f>
        <v>331.52724290297675</v>
      </c>
      <c r="FK5" s="59">
        <f t="shared" ref="FK5:FK68" si="48">$FK$3</f>
        <v>322.79102610158054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3.7333333333333334</v>
      </c>
      <c r="FZ5" s="12">
        <f>IF('Données projet'!$A$244&gt;35,FZ4+FY5-GH4,IF(A5&lt;'Données projet'!$A$244,$FW$205^A5,IF(A5='Données projet'!$A$244,'Données projet'!$B$244,FZ4+FY5-GH4)))</f>
        <v>1.7103765633635943</v>
      </c>
      <c r="GA5" s="17">
        <f>FZ5*VLOOKUP('Données projet'!$B$17,Paramètres!$A$1:$I$89,3,0)*VLOOKUP('Données projet'!$B$17,Paramètres!$A$1:$I$89,5,0)</f>
        <v>0.84492602230161562</v>
      </c>
      <c r="GB5" s="13">
        <f t="shared" ref="GB5:GB68" si="49">EXP(-1.0587+0.8836*LN(GA5)+0.284)</f>
        <v>0.3970900963891561</v>
      </c>
      <c r="GC5" s="20">
        <f t="shared" si="25"/>
        <v>2.163178073386427</v>
      </c>
      <c r="GD5" s="59">
        <f t="shared" si="26"/>
        <v>295.49651140671972</v>
      </c>
      <c r="GE5" s="59">
        <f ca="1">AVERAGE(OFFSET($GD$3,0,0,'Données projet'!$E$17+1,1))-AVERAGE(OFFSET($H$3,0,0,'Données projet'!$E$17+1,1))</f>
        <v>434.08297999735811</v>
      </c>
      <c r="GF5" s="59">
        <f t="shared" ref="GF5:GF68" si="50">$GF$3</f>
        <v>371.04090283546122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4.2666666666666666</v>
      </c>
      <c r="GU5" s="12">
        <f>IF('Données projet'!$A$270&gt;35,GU4+GT5-HC4,IF(A5&lt;'Données projet'!$A$270,$GR$205^A5,IF(A5='Données projet'!$A$270,'Données projet'!$B$270,GU4+GT5-HC4)))</f>
        <v>1.741101126592248</v>
      </c>
      <c r="GV5" s="17">
        <f>GU5*VLOOKUP('Données projet'!$B$18,Paramètres!$A$1:$I$89,3,0)*VLOOKUP('Données projet'!$B$18,Paramètres!$A$1:$I$89,5,0)</f>
        <v>0.99590984441076591</v>
      </c>
      <c r="GW5" s="13">
        <f t="shared" ref="GW5:GW68" si="51">EXP(-1.0587+0.8836*LN(GV5)+0.284)</f>
        <v>0.45917610442571793</v>
      </c>
      <c r="GX5" s="20">
        <f t="shared" si="28"/>
        <v>2.5342746942235426</v>
      </c>
      <c r="GY5" s="59">
        <f t="shared" si="29"/>
        <v>295.86760802755686</v>
      </c>
      <c r="GZ5" s="59">
        <f ca="1">AVERAGE(OFFSET($GY$3,0,0,'Données projet'!$E$18+1,1))-AVERAGE(OFFSET($H$3,0,0,'Données projet'!$E$18+1,1))</f>
        <v>362.57172983134313</v>
      </c>
      <c r="HA5" s="59">
        <f t="shared" ref="HA5:HA68" si="52">$HA$3</f>
        <v>232.03250917542471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">
      <c r="A6" s="10">
        <f t="shared" si="31"/>
        <v>3</v>
      </c>
      <c r="B6" s="71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5">
        <f t="shared" si="1"/>
        <v>296.95635862620634</v>
      </c>
      <c r="I6" s="6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2.4666666666666668</v>
      </c>
      <c r="N6" s="13">
        <f>IF('Données projet'!$A$36&gt;35,N5+M6-V5,IF(A6&lt;'Données projet'!$A$36,$K$205^A6,IF(A6='Données projet'!$A$36,'Données projet'!$B$36,N5+M6-V5)))</f>
        <v>2.0589241364785171</v>
      </c>
      <c r="O6" s="13">
        <f>N6*VLOOKUP('Données projet'!$B$9,Paramètres!$A$1:$I$89,3,0)*VLOOKUP('Données projet'!$B$9,Paramètres!$A$1:$I$89,5,0)</f>
        <v>1.6380800429823084</v>
      </c>
      <c r="P6" s="13">
        <f t="shared" si="33"/>
        <v>0.71275221602487127</v>
      </c>
      <c r="Q6" s="20">
        <f t="shared" si="2"/>
        <v>4.0943661844375043</v>
      </c>
      <c r="R6" s="59">
        <f t="shared" si="0"/>
        <v>297.4276995177708</v>
      </c>
      <c r="S6" s="59">
        <f ca="1">AVERAGE(OFFSET($R$3,0,0,'Données projet'!$E$9+1,1))-AVERAGE(OFFSET($H$3,0,0,'Données projet'!$E$9+1,1))</f>
        <v>225.2323446080772</v>
      </c>
      <c r="T6" s="59">
        <f t="shared" si="34"/>
        <v>222.29030402759292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1.8666666666666667</v>
      </c>
      <c r="AI6" s="13">
        <f>IF('Données projet'!$A$62&gt;35,AI5+AH6-AQ5,IF(A6&lt;'Données projet'!$A$62,$AF$205^A6,IF(A6='Données projet'!$A$62,'Données projet'!$B$62,AI5+AH6-AQ5)))</f>
        <v>1.9472943612303359</v>
      </c>
      <c r="AJ6" s="13">
        <f>AI6*VLOOKUP('Données projet'!$B$10,Paramètres!$A$1:$I$89,3,0)*VLOOKUP('Données projet'!$B$10,Paramètres!$A$1:$I$89,5,0)</f>
        <v>0.96196341444778599</v>
      </c>
      <c r="AK6" s="13">
        <f t="shared" si="35"/>
        <v>0.44531873246006709</v>
      </c>
      <c r="AL6" s="20">
        <f t="shared" si="4"/>
        <v>2.451016405864511</v>
      </c>
      <c r="AM6" s="59">
        <f t="shared" si="5"/>
        <v>295.78434973919781</v>
      </c>
      <c r="AN6" s="59">
        <f ca="1">AVERAGE(OFFSET($AM$3,0,0,'Données projet'!$E$10+1,1))-AVERAGE(OFFSET($H$3,0,0,'Données projet'!$E$10+1,1))</f>
        <v>360.05819346986135</v>
      </c>
      <c r="AO6" s="59">
        <f t="shared" si="36"/>
        <v>300.47468388351081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</v>
      </c>
      <c r="BD6" s="12">
        <f>IF('Données projet'!$A$88&gt;35,BD5+BC6-BL5,IF(A6&lt;'Données projet'!$A$88,$BA$205^A6,IF(A6='Données projet'!$A$88,'Données projet'!$B$88,BD5+BC6-BL5)))</f>
        <v>1.97435048583482</v>
      </c>
      <c r="BE6" s="13">
        <f>BD6*VLOOKUP('Données projet'!$B$11,Paramètres!$A$1:$I$89,3,0)*VLOOKUP('Données projet'!$B$11,Paramètres!$A$1:$I$89,5,0)</f>
        <v>1.1293284778975172</v>
      </c>
      <c r="BF6" s="13">
        <f t="shared" si="37"/>
        <v>0.51312605105418119</v>
      </c>
      <c r="BG6" s="20">
        <f t="shared" si="7"/>
        <v>2.8606083045908743</v>
      </c>
      <c r="BH6" s="59">
        <f t="shared" si="8"/>
        <v>296.19394163792418</v>
      </c>
      <c r="BI6" s="59">
        <f ca="1">AVERAGE(OFFSET($BH$3,0,0,'Données projet'!$E$11+1,1))-AVERAGE(OFFSET($H$3,0,0,'Données projet'!$E$11+1,1))</f>
        <v>250.90038883668348</v>
      </c>
      <c r="BJ6" s="59">
        <f t="shared" si="38"/>
        <v>141.96132114475608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1.1000000000000001</v>
      </c>
      <c r="BY6" s="12">
        <f>IF('Données projet'!$A$114&gt;35,BY5+BX6-CG5,IF(A6&lt;'Données projet'!$A$114,$BV$205^A6,IF(A6='Données projet'!$A$114,'Données projet'!$B$114,BY5+BX6-CG5)))</f>
        <v>2.0531364136588448</v>
      </c>
      <c r="BZ6" s="13">
        <f>BY6*VLOOKUP('Données projet'!$B$12,Paramètres!$A$1:$I$89,3,0)*VLOOKUP('Données projet'!$B$12,Paramètres!$A$1:$I$89,5,0)</f>
        <v>1.6334753307069771</v>
      </c>
      <c r="CA6" s="13">
        <f t="shared" si="39"/>
        <v>0.71098156578295024</v>
      </c>
      <c r="CB6" s="20">
        <f t="shared" si="10"/>
        <v>4.0832624280532892</v>
      </c>
      <c r="CC6" s="59">
        <f t="shared" si="11"/>
        <v>297.41659576138659</v>
      </c>
      <c r="CD6" s="59">
        <f ca="1">AVERAGE(OFFSET($CC$3,0,0,'Données projet'!$E$12+1,1))-AVERAGE(OFFSET($H$3,0,0,'Données projet'!$E$12+1,1))</f>
        <v>279.49721661620544</v>
      </c>
      <c r="CE6" s="59">
        <f t="shared" si="40"/>
        <v>275.18739333988754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2.8</v>
      </c>
      <c r="CT6" s="12">
        <f>IF('Données projet'!$A$140&gt;35,CT5+CS6-DB5,IF(A6&lt;'Données projet'!$A$140,$CQ$205^A6,IF(A6='Données projet'!$A$140,'Données projet'!$B$140,CT5+CS6-DB5)))</f>
        <v>2.1117857649667533</v>
      </c>
      <c r="CU6" s="17">
        <f>CT6*VLOOKUP('Données projet'!$B$13,Paramètres!$A$1:$I$89,3,0)*VLOOKUP('Données projet'!$B$13,Paramètres!$A$1:$I$89,5,0)</f>
        <v>1.0432221678935762</v>
      </c>
      <c r="CV6" s="13">
        <f t="shared" si="41"/>
        <v>0.47839850249906024</v>
      </c>
      <c r="CW6" s="20">
        <f t="shared" si="13"/>
        <v>2.6501560009338418</v>
      </c>
      <c r="CX6" s="59">
        <f t="shared" si="14"/>
        <v>295.98348933426718</v>
      </c>
      <c r="CY6" s="59">
        <f ca="1">AVERAGE(OFFSET($CX$3,0,0,'Données projet'!$E$13+1,1))-AVERAGE(OFFSET($H$3,0,0,'Données projet'!$E$13+1,1))</f>
        <v>396.27049617044378</v>
      </c>
      <c r="CZ6" s="59">
        <f t="shared" si="42"/>
        <v>335.2680289568774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3.0666666666666669</v>
      </c>
      <c r="DO6" s="12">
        <f>IF('Données projet'!$A$166&gt;35,DO5+DN6-DW5,IF(A6&lt;'Données projet'!$A$166,$DL$205^A6,IF(A6='Données projet'!$A$166,'Données projet'!$B$166,DO5+DN6-DW5)))</f>
        <v>2.1505600128111393</v>
      </c>
      <c r="DP6" s="17">
        <f>DO6*VLOOKUP('Données projet'!$B$14,Paramètres!$A$1:$I$89,3,0)*VLOOKUP('Données projet'!$B$14,Paramètres!$A$1:$I$89,5,0)</f>
        <v>1.2301203273279717</v>
      </c>
      <c r="DQ6" s="13">
        <f t="shared" si="43"/>
        <v>0.55338802869924653</v>
      </c>
      <c r="DR6" s="20">
        <f t="shared" si="16"/>
        <v>3.1062770534140718</v>
      </c>
      <c r="DS6" s="59">
        <f t="shared" si="17"/>
        <v>296.4396103867474</v>
      </c>
      <c r="DT6" s="59">
        <f ca="1">AVERAGE(OFFSET($DS$3,0,0,'Données projet'!$E$14+1,1))-AVERAGE(OFFSET($H$3,0,0,'Données projet'!$E$14+1,1))</f>
        <v>307.43900954374504</v>
      </c>
      <c r="DU6" s="59">
        <f t="shared" si="44"/>
        <v>185.25270859048999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8.5833333333333339</v>
      </c>
      <c r="EJ6" s="12">
        <f>IF('Données projet'!$A$192&gt;35,EJ5+EI6-ER5,IF(A6&lt;'Données projet'!$A$192,$EG$205^A6,IF(A6='Données projet'!$A$192,'Données projet'!$B$192,EJ5+EI6-ER5)))</f>
        <v>3.1857325005549697</v>
      </c>
      <c r="EK6" s="17">
        <f>EJ6*VLOOKUP('Données projet'!$B$15,Paramètres!$A$1:$I$89,3,0)*VLOOKUP('Données projet'!$B$15,Paramètres!$A$1:$I$89,5,0)</f>
        <v>1.9878970803463012</v>
      </c>
      <c r="EL6" s="13">
        <f t="shared" si="45"/>
        <v>0.84569334155652565</v>
      </c>
      <c r="EM6" s="20">
        <f t="shared" si="19"/>
        <v>4.93516998481409</v>
      </c>
      <c r="EN6" s="59">
        <f t="shared" si="20"/>
        <v>298.2685033181474</v>
      </c>
      <c r="EO6" s="59">
        <f ca="1">AVERAGE(OFFSET($EN$3,0,0,'Données projet'!$E$15+1,1))-AVERAGE(OFFSET($H$3,0,0,'Données projet'!$E$15+1,1))</f>
        <v>269.77739619445515</v>
      </c>
      <c r="EP6" s="59">
        <f t="shared" si="46"/>
        <v>347.56964743629885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1.9</v>
      </c>
      <c r="FE6" s="12">
        <f>IF('Données projet'!$A$218&gt;35,FE5+FD6-FM5,IF(A6&lt;'Données projet'!$A$218,$FB$205^A6,IF(A6='Données projet'!$A$218,'Données projet'!$B$218,FE5+FD6-FM5)))</f>
        <v>2.4189454814875879</v>
      </c>
      <c r="FF6" s="17">
        <f>FE6*VLOOKUP('Données projet'!$B$16,Paramètres!$A$1:$I$89,3,0)*VLOOKUP('Données projet'!$B$16,Paramètres!$A$1:$I$89,5,0)</f>
        <v>1.9245130250715252</v>
      </c>
      <c r="FG6" s="13">
        <f t="shared" si="47"/>
        <v>0.82182239561499026</v>
      </c>
      <c r="FH6" s="20">
        <f t="shared" si="22"/>
        <v>4.7832008576956815</v>
      </c>
      <c r="FI6" s="59">
        <f t="shared" si="23"/>
        <v>298.11653419102902</v>
      </c>
      <c r="FJ6" s="59">
        <f ca="1">AVERAGE(OFFSET($FI$3,0,0,'Données projet'!$E$16+1,1))-AVERAGE(OFFSET($H$3,0,0,'Données projet'!$E$16+1,1))</f>
        <v>331.52724290297675</v>
      </c>
      <c r="FK6" s="59">
        <f t="shared" si="48"/>
        <v>322.79102610158054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3.7333333333333334</v>
      </c>
      <c r="FZ6" s="12">
        <f>IF('Données projet'!$A$244&gt;35,FZ5+FY6-GH5,IF(A6&lt;'Données projet'!$A$244,$FW$205^A6,IF(A6='Données projet'!$A$244,'Données projet'!$B$244,FZ5+FY6-GH5)))</f>
        <v>2.2368538294402889</v>
      </c>
      <c r="GA6" s="17">
        <f>FZ6*VLOOKUP('Données projet'!$B$17,Paramètres!$A$1:$I$89,3,0)*VLOOKUP('Données projet'!$B$17,Paramètres!$A$1:$I$89,5,0)</f>
        <v>1.1050057917435028</v>
      </c>
      <c r="GB6" s="13">
        <f t="shared" si="49"/>
        <v>0.50334873914609668</v>
      </c>
      <c r="GC6" s="20">
        <f t="shared" si="25"/>
        <v>2.8012174746327188</v>
      </c>
      <c r="GD6" s="59">
        <f t="shared" si="26"/>
        <v>296.13455080796604</v>
      </c>
      <c r="GE6" s="59">
        <f ca="1">AVERAGE(OFFSET($GD$3,0,0,'Données projet'!$E$17+1,1))-AVERAGE(OFFSET($H$3,0,0,'Données projet'!$E$17+1,1))</f>
        <v>434.08297999735811</v>
      </c>
      <c r="GF6" s="59">
        <f t="shared" si="50"/>
        <v>371.04090283546122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4.2666666666666666</v>
      </c>
      <c r="GU6" s="12">
        <f>IF('Données projet'!$A$270&gt;35,GU5+GT6-HC5,IF(A6&lt;'Données projet'!$A$270,$GR$205^A6,IF(A6='Données projet'!$A$270,'Données projet'!$B$270,GU5+GT6-HC5)))</f>
        <v>2.2973967099940698</v>
      </c>
      <c r="GV6" s="17">
        <f>GU6*VLOOKUP('Données projet'!$B$18,Paramètres!$A$1:$I$89,3,0)*VLOOKUP('Données projet'!$B$18,Paramètres!$A$1:$I$89,5,0)</f>
        <v>1.314110918116608</v>
      </c>
      <c r="GW6" s="13">
        <f t="shared" si="51"/>
        <v>0.58664492894797993</v>
      </c>
      <c r="GX6" s="20">
        <f t="shared" si="28"/>
        <v>3.3104831003041575</v>
      </c>
      <c r="GY6" s="59">
        <f t="shared" si="29"/>
        <v>296.64381643363748</v>
      </c>
      <c r="GZ6" s="59">
        <f ca="1">AVERAGE(OFFSET($GY$3,0,0,'Données projet'!$E$18+1,1))-AVERAGE(OFFSET($H$3,0,0,'Données projet'!$E$18+1,1))</f>
        <v>362.57172983134313</v>
      </c>
      <c r="HA6" s="59">
        <f t="shared" si="52"/>
        <v>232.03250917542471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">
      <c r="A7" s="10">
        <f t="shared" si="31"/>
        <v>4</v>
      </c>
      <c r="B7" s="71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5">
        <f t="shared" si="1"/>
        <v>298.11530352234041</v>
      </c>
      <c r="I7" s="6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2.4666666666666668</v>
      </c>
      <c r="N7" s="13">
        <f>IF('Données projet'!$A$36&gt;35,N6+M7-V6,IF(A7&lt;'Données projet'!$A$36,$K$205^A7,IF(A7='Données projet'!$A$36,'Données projet'!$B$36,N6+M7-V6)))</f>
        <v>2.6193113595857573</v>
      </c>
      <c r="O7" s="13">
        <f>N7*VLOOKUP('Données projet'!$B$9,Paramètres!$A$1:$I$89,3,0)*VLOOKUP('Données projet'!$B$9,Paramètres!$A$1:$I$89,5,0)</f>
        <v>2.0839241176864287</v>
      </c>
      <c r="P7" s="13">
        <f t="shared" si="33"/>
        <v>0.88169040068036508</v>
      </c>
      <c r="Q7" s="20">
        <f t="shared" si="2"/>
        <v>5.1651119528221656</v>
      </c>
      <c r="R7" s="59">
        <f t="shared" si="0"/>
        <v>298.49844528615546</v>
      </c>
      <c r="S7" s="59">
        <f ca="1">AVERAGE(OFFSET($R$3,0,0,'Données projet'!$E$9+1,1))-AVERAGE(OFFSET($H$3,0,0,'Données projet'!$E$9+1,1))</f>
        <v>225.2323446080772</v>
      </c>
      <c r="T7" s="59">
        <f t="shared" si="34"/>
        <v>222.29030402759292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1.8666666666666667</v>
      </c>
      <c r="AI7" s="13">
        <f>IF('Données projet'!$A$62&gt;35,AI6+AH7-AQ6,IF(A7&lt;'Données projet'!$A$62,$AF$205^A7,IF(A7='Données projet'!$A$62,'Données projet'!$B$62,AI6+AH7-AQ6)))</f>
        <v>2.4316933569649977</v>
      </c>
      <c r="AJ7" s="13">
        <f>AI7*VLOOKUP('Données projet'!$B$10,Paramètres!$A$1:$I$89,3,0)*VLOOKUP('Données projet'!$B$10,Paramètres!$A$1:$I$89,5,0)</f>
        <v>1.2012565183407089</v>
      </c>
      <c r="AK7" s="13">
        <f t="shared" si="35"/>
        <v>0.54189883831553864</v>
      </c>
      <c r="AL7" s="20">
        <f t="shared" si="4"/>
        <v>3.0359955795096312</v>
      </c>
      <c r="AM7" s="59">
        <f t="shared" si="5"/>
        <v>296.36932891284295</v>
      </c>
      <c r="AN7" s="59">
        <f ca="1">AVERAGE(OFFSET($AM$3,0,0,'Données projet'!$E$10+1,1))-AVERAGE(OFFSET($H$3,0,0,'Données projet'!$E$10+1,1))</f>
        <v>360.05819346986135</v>
      </c>
      <c r="AO7" s="59">
        <f t="shared" si="36"/>
        <v>300.47468388351081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</v>
      </c>
      <c r="BD7" s="12">
        <f>IF('Données projet'!$A$88&gt;35,BD6+BC7-BL6,IF(A7&lt;'Données projet'!$A$88,$BA$205^A7,IF(A7='Données projet'!$A$88,'Données projet'!$B$88,BD6+BC7-BL6)))</f>
        <v>2.4768459798162152</v>
      </c>
      <c r="BE7" s="13">
        <f>BD7*VLOOKUP('Données projet'!$B$11,Paramètres!$A$1:$I$89,3,0)*VLOOKUP('Données projet'!$B$11,Paramètres!$A$1:$I$89,5,0)</f>
        <v>1.4167559004548751</v>
      </c>
      <c r="BF7" s="13">
        <f t="shared" si="37"/>
        <v>0.62695497570598302</v>
      </c>
      <c r="BG7" s="20">
        <f t="shared" si="7"/>
        <v>3.5594631093134943</v>
      </c>
      <c r="BH7" s="59">
        <f t="shared" si="8"/>
        <v>296.89279644264678</v>
      </c>
      <c r="BI7" s="59">
        <f ca="1">AVERAGE(OFFSET($BH$3,0,0,'Données projet'!$E$11+1,1))-AVERAGE(OFFSET($H$3,0,0,'Données projet'!$E$11+1,1))</f>
        <v>250.90038883668348</v>
      </c>
      <c r="BJ7" s="59">
        <f t="shared" si="38"/>
        <v>141.96132114475608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1.1000000000000001</v>
      </c>
      <c r="BY7" s="12">
        <f>IF('Données projet'!$A$114&gt;35,BY6+BX7-CG6,IF(A7&lt;'Données projet'!$A$114,$BV$205^A7,IF(A7='Données projet'!$A$114,'Données projet'!$B$114,BY6+BX7-CG6)))</f>
        <v>2.6094986352788743</v>
      </c>
      <c r="BZ7" s="13">
        <f>BY7*VLOOKUP('Données projet'!$B$12,Paramètres!$A$1:$I$89,3,0)*VLOOKUP('Données projet'!$B$12,Paramètres!$A$1:$I$89,5,0)</f>
        <v>2.0761171142278725</v>
      </c>
      <c r="CA7" s="13">
        <f t="shared" si="39"/>
        <v>0.87877116536856548</v>
      </c>
      <c r="CB7" s="20">
        <f t="shared" si="10"/>
        <v>5.14643042029713</v>
      </c>
      <c r="CC7" s="59">
        <f t="shared" si="11"/>
        <v>298.47976375363044</v>
      </c>
      <c r="CD7" s="59">
        <f ca="1">AVERAGE(OFFSET($CC$3,0,0,'Données projet'!$E$12+1,1))-AVERAGE(OFFSET($H$3,0,0,'Données projet'!$E$12+1,1))</f>
        <v>279.49721661620544</v>
      </c>
      <c r="CE7" s="59">
        <f t="shared" si="40"/>
        <v>275.18739333988754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2.8</v>
      </c>
      <c r="CT7" s="12">
        <f>IF('Données projet'!$A$140&gt;35,CT6+CS7-DB6,IF(A7&lt;'Données projet'!$A$140,$CQ$205^A7,IF(A7='Données projet'!$A$140,'Données projet'!$B$140,CT6+CS7-DB6)))</f>
        <v>2.7093585195238274</v>
      </c>
      <c r="CU7" s="17">
        <f>CT7*VLOOKUP('Données projet'!$B$13,Paramètres!$A$1:$I$89,3,0)*VLOOKUP('Données projet'!$B$13,Paramètres!$A$1:$I$89,5,0)</f>
        <v>1.3384231086447707</v>
      </c>
      <c r="CV7" s="13">
        <f t="shared" si="41"/>
        <v>0.5962247723111409</v>
      </c>
      <c r="CW7" s="20">
        <f t="shared" si="13"/>
        <v>3.3695117259982124</v>
      </c>
      <c r="CX7" s="59">
        <f t="shared" si="14"/>
        <v>296.70284505933154</v>
      </c>
      <c r="CY7" s="59">
        <f ca="1">AVERAGE(OFFSET($CX$3,0,0,'Données projet'!$E$13+1,1))-AVERAGE(OFFSET($H$3,0,0,'Données projet'!$E$13+1,1))</f>
        <v>396.27049617044378</v>
      </c>
      <c r="CZ7" s="59">
        <f t="shared" si="42"/>
        <v>335.2680289568774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3.0666666666666669</v>
      </c>
      <c r="DO7" s="12">
        <f>IF('Données projet'!$A$166&gt;35,DO6+DN7-DW6,IF(A7&lt;'Données projet'!$A$166,$DL$205^A7,IF(A7='Données projet'!$A$166,'Données projet'!$B$166,DO6+DN7-DW6)))</f>
        <v>2.7758889522808685</v>
      </c>
      <c r="DP7" s="17">
        <f>DO7*VLOOKUP('Données projet'!$B$14,Paramètres!$A$1:$I$89,3,0)*VLOOKUP('Données projet'!$B$14,Paramètres!$A$1:$I$89,5,0)</f>
        <v>1.5878084807046569</v>
      </c>
      <c r="DQ7" s="13">
        <f t="shared" si="43"/>
        <v>0.69338953259756575</v>
      </c>
      <c r="DR7" s="20">
        <f t="shared" si="16"/>
        <v>3.9730865398347048</v>
      </c>
      <c r="DS7" s="59">
        <f t="shared" si="17"/>
        <v>297.30641987316801</v>
      </c>
      <c r="DT7" s="59">
        <f ca="1">AVERAGE(OFFSET($DS$3,0,0,'Données projet'!$E$14+1,1))-AVERAGE(OFFSET($H$3,0,0,'Données projet'!$E$14+1,1))</f>
        <v>307.43900954374504</v>
      </c>
      <c r="DU7" s="59">
        <f t="shared" si="44"/>
        <v>185.25270859048999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8.5833333333333339</v>
      </c>
      <c r="EJ7" s="12">
        <f>IF('Données projet'!$A$192&gt;35,EJ6+EI7-ER6,IF(A7&lt;'Données projet'!$A$192,$EG$205^A7,IF(A7='Données projet'!$A$192,'Données projet'!$B$192,EJ6+EI7-ER6)))</f>
        <v>4.6875481476535983</v>
      </c>
      <c r="EK7" s="17">
        <f>EJ7*VLOOKUP('Données projet'!$B$15,Paramètres!$A$1:$I$89,3,0)*VLOOKUP('Données projet'!$B$15,Paramètres!$A$1:$I$89,5,0)</f>
        <v>2.9250300441358457</v>
      </c>
      <c r="EL7" s="13">
        <f t="shared" si="45"/>
        <v>1.1896653855660013</v>
      </c>
      <c r="EM7" s="20">
        <f t="shared" si="19"/>
        <v>7.1664278733973825</v>
      </c>
      <c r="EN7" s="59">
        <f t="shared" si="20"/>
        <v>300.49976120673068</v>
      </c>
      <c r="EO7" s="59">
        <f ca="1">AVERAGE(OFFSET($EN$3,0,0,'Données projet'!$E$15+1,1))-AVERAGE(OFFSET($H$3,0,0,'Données projet'!$E$15+1,1))</f>
        <v>269.77739619445515</v>
      </c>
      <c r="EP7" s="59">
        <f t="shared" si="46"/>
        <v>347.56964743629885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1.9</v>
      </c>
      <c r="FE7" s="12">
        <f>IF('Données projet'!$A$218&gt;35,FE6+FD7-FM6,IF(A7&lt;'Données projet'!$A$218,$FB$205^A7,IF(A7='Données projet'!$A$218,'Données projet'!$B$218,FE6+FD7-FM6)))</f>
        <v>3.247143191135669</v>
      </c>
      <c r="FF7" s="17">
        <f>FE7*VLOOKUP('Données projet'!$B$16,Paramètres!$A$1:$I$89,3,0)*VLOOKUP('Données projet'!$B$16,Paramètres!$A$1:$I$89,5,0)</f>
        <v>2.5834271228675387</v>
      </c>
      <c r="FG7" s="13">
        <f t="shared" si="47"/>
        <v>1.066028069701316</v>
      </c>
      <c r="FH7" s="20">
        <f t="shared" si="22"/>
        <v>6.3561344603907548</v>
      </c>
      <c r="FI7" s="59">
        <f t="shared" si="23"/>
        <v>299.68946779372408</v>
      </c>
      <c r="FJ7" s="59">
        <f ca="1">AVERAGE(OFFSET($FI$3,0,0,'Données projet'!$E$16+1,1))-AVERAGE(OFFSET($H$3,0,0,'Données projet'!$E$16+1,1))</f>
        <v>331.52724290297675</v>
      </c>
      <c r="FK7" s="59">
        <f t="shared" si="48"/>
        <v>322.79102610158054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3.7333333333333334</v>
      </c>
      <c r="FZ7" s="12">
        <f>IF('Données projet'!$A$244&gt;35,FZ6+FY7-GH6,IF(A7&lt;'Données projet'!$A$244,$FW$205^A7,IF(A7='Données projet'!$A$244,'Données projet'!$B$244,FZ6+FY7-GH6)))</f>
        <v>2.9253879885034593</v>
      </c>
      <c r="GA7" s="17">
        <f>FZ7*VLOOKUP('Données projet'!$B$17,Paramètres!$A$1:$I$89,3,0)*VLOOKUP('Données projet'!$B$17,Paramètres!$A$1:$I$89,5,0)</f>
        <v>1.4451416663207091</v>
      </c>
      <c r="GB7" s="13">
        <f t="shared" si="49"/>
        <v>0.63804148102366054</v>
      </c>
      <c r="GC7" s="20">
        <f t="shared" si="25"/>
        <v>3.6282106482914434</v>
      </c>
      <c r="GD7" s="59">
        <f t="shared" si="26"/>
        <v>296.96154398162474</v>
      </c>
      <c r="GE7" s="59">
        <f ca="1">AVERAGE(OFFSET($GD$3,0,0,'Données projet'!$E$17+1,1))-AVERAGE(OFFSET($H$3,0,0,'Données projet'!$E$17+1,1))</f>
        <v>434.08297999735811</v>
      </c>
      <c r="GF7" s="59">
        <f t="shared" si="50"/>
        <v>371.04090283546122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4.2666666666666666</v>
      </c>
      <c r="GU7" s="12">
        <f>IF('Données projet'!$A$270&gt;35,GU6+GT7-HC6,IF(A7&lt;'Données projet'!$A$270,$GR$205^A7,IF(A7='Données projet'!$A$270,'Données projet'!$B$270,GU6+GT7-HC6)))</f>
        <v>3.0314331330207951</v>
      </c>
      <c r="GV7" s="17">
        <f>GU7*VLOOKUP('Données projet'!$B$18,Paramètres!$A$1:$I$89,3,0)*VLOOKUP('Données projet'!$B$18,Paramètres!$A$1:$I$89,5,0)</f>
        <v>1.7339797520878948</v>
      </c>
      <c r="GW7" s="13">
        <f t="shared" si="51"/>
        <v>0.74949952609316284</v>
      </c>
      <c r="GX7" s="20">
        <f t="shared" si="28"/>
        <v>4.3253930761653416</v>
      </c>
      <c r="GY7" s="59">
        <f t="shared" si="29"/>
        <v>297.65872640949868</v>
      </c>
      <c r="GZ7" s="59">
        <f ca="1">AVERAGE(OFFSET($GY$3,0,0,'Données projet'!$E$18+1,1))-AVERAGE(OFFSET($H$3,0,0,'Données projet'!$E$18+1,1))</f>
        <v>362.57172983134313</v>
      </c>
      <c r="HA7" s="59">
        <f t="shared" si="52"/>
        <v>232.03250917542471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">
      <c r="A8" s="10">
        <f t="shared" si="31"/>
        <v>5</v>
      </c>
      <c r="B8" s="71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5">
        <f t="shared" si="1"/>
        <v>299.26493332067207</v>
      </c>
      <c r="I8" s="6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2.4666666666666668</v>
      </c>
      <c r="N8" s="13">
        <f>IF('Données projet'!$A$36&gt;35,N7+M8-V7,IF(A8&lt;'Données projet'!$A$36,$K$205^A8,IF(A8='Données projet'!$A$36,'Données projet'!$B$36,N7+M8-V7)))</f>
        <v>3.332221851645953</v>
      </c>
      <c r="O8" s="13">
        <f>N8*VLOOKUP('Données projet'!$B$9,Paramètres!$A$1:$I$89,3,0)*VLOOKUP('Données projet'!$B$9,Paramètres!$A$1:$I$89,5,0)</f>
        <v>2.6511157051695204</v>
      </c>
      <c r="P8" s="13">
        <f t="shared" si="33"/>
        <v>1.0906707059957799</v>
      </c>
      <c r="Q8" s="20">
        <f t="shared" si="2"/>
        <v>6.5169446661128978</v>
      </c>
      <c r="R8" s="59">
        <f t="shared" si="0"/>
        <v>299.85027799944623</v>
      </c>
      <c r="S8" s="59">
        <f ca="1">AVERAGE(OFFSET($R$3,0,0,'Données projet'!$E$9+1,1))-AVERAGE(OFFSET($H$3,0,0,'Données projet'!$E$9+1,1))</f>
        <v>225.2323446080772</v>
      </c>
      <c r="T8" s="59">
        <f t="shared" si="34"/>
        <v>222.29030402759292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1.8666666666666667</v>
      </c>
      <c r="AI8" s="13">
        <f>IF('Données projet'!$A$62&gt;35,AI7+AH8-AQ7,IF(A8&lt;'Données projet'!$A$62,$AF$205^A8,IF(A8='Données projet'!$A$62,'Données projet'!$B$62,AI7+AH8-AQ7)))</f>
        <v>3.0365889718756618</v>
      </c>
      <c r="AJ8" s="13">
        <f>AI8*VLOOKUP('Données projet'!$B$10,Paramètres!$A$1:$I$89,3,0)*VLOOKUP('Données projet'!$B$10,Paramètres!$A$1:$I$89,5,0)</f>
        <v>1.500074952106577</v>
      </c>
      <c r="AK8" s="13">
        <f t="shared" si="35"/>
        <v>0.65942510288192957</v>
      </c>
      <c r="AL8" s="20">
        <f t="shared" si="4"/>
        <v>3.7611292624383155</v>
      </c>
      <c r="AM8" s="59">
        <f t="shared" si="5"/>
        <v>297.09446259577163</v>
      </c>
      <c r="AN8" s="59">
        <f ca="1">AVERAGE(OFFSET($AM$3,0,0,'Données projet'!$E$10+1,1))-AVERAGE(OFFSET($H$3,0,0,'Données projet'!$E$10+1,1))</f>
        <v>360.05819346986135</v>
      </c>
      <c r="AO8" s="59">
        <f t="shared" si="36"/>
        <v>300.47468388351081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</v>
      </c>
      <c r="BD8" s="12">
        <f>IF('Données projet'!$A$88&gt;35,BD7+BC8-BL7,IF(A8&lt;'Données projet'!$A$88,$BA$205^A8,IF(A8='Données projet'!$A$88,'Données projet'!$B$88,BD7+BC8-BL7)))</f>
        <v>3.1072325059538595</v>
      </c>
      <c r="BE8" s="13">
        <f>BD8*VLOOKUP('Données projet'!$B$11,Paramètres!$A$1:$I$89,3,0)*VLOOKUP('Données projet'!$B$11,Paramètres!$A$1:$I$89,5,0)</f>
        <v>1.7773369934056076</v>
      </c>
      <c r="BF8" s="13">
        <f t="shared" si="37"/>
        <v>0.76603505270284011</v>
      </c>
      <c r="BG8" s="20">
        <f t="shared" si="7"/>
        <v>4.4297063136388788</v>
      </c>
      <c r="BH8" s="59">
        <f t="shared" si="8"/>
        <v>297.76303964697217</v>
      </c>
      <c r="BI8" s="59">
        <f ca="1">AVERAGE(OFFSET($BH$3,0,0,'Données projet'!$E$11+1,1))-AVERAGE(OFFSET($H$3,0,0,'Données projet'!$E$11+1,1))</f>
        <v>250.90038883668348</v>
      </c>
      <c r="BJ8" s="59">
        <f t="shared" si="38"/>
        <v>141.96132114475608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1.1000000000000001</v>
      </c>
      <c r="BY8" s="12">
        <f>IF('Données projet'!$A$114&gt;35,BY7+BX8-CG7,IF(A8&lt;'Données projet'!$A$114,$BV$205^A8,IF(A8='Données projet'!$A$114,'Données projet'!$B$114,BY7+BX8-CG7)))</f>
        <v>3.3166247903554016</v>
      </c>
      <c r="BZ8" s="13">
        <f>BY8*VLOOKUP('Données projet'!$B$12,Paramètres!$A$1:$I$89,3,0)*VLOOKUP('Données projet'!$B$12,Paramètres!$A$1:$I$89,5,0)</f>
        <v>2.6387066832067574</v>
      </c>
      <c r="CA8" s="13">
        <f t="shared" si="39"/>
        <v>1.0861586266766543</v>
      </c>
      <c r="CB8" s="20">
        <f t="shared" si="10"/>
        <v>6.4874737480469413</v>
      </c>
      <c r="CC8" s="59">
        <f t="shared" si="11"/>
        <v>299.82080708138028</v>
      </c>
      <c r="CD8" s="59">
        <f ca="1">AVERAGE(OFFSET($CC$3,0,0,'Données projet'!$E$12+1,1))-AVERAGE(OFFSET($H$3,0,0,'Données projet'!$E$12+1,1))</f>
        <v>279.49721661620544</v>
      </c>
      <c r="CE8" s="59">
        <f t="shared" si="40"/>
        <v>275.18739333988754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2.8</v>
      </c>
      <c r="CT8" s="12">
        <f>IF('Données projet'!$A$140&gt;35,CT7+CS8-DB7,IF(A8&lt;'Données projet'!$A$140,$CQ$205^A8,IF(A8='Données projet'!$A$140,'Données projet'!$B$140,CT7+CS8-DB7)))</f>
        <v>3.4760266448864483</v>
      </c>
      <c r="CU8" s="17">
        <f>CT8*VLOOKUP('Données projet'!$B$13,Paramètres!$A$1:$I$89,3,0)*VLOOKUP('Données projet'!$B$13,Paramètres!$A$1:$I$89,5,0)</f>
        <v>1.7171571625739055</v>
      </c>
      <c r="CV8" s="13">
        <f t="shared" si="41"/>
        <v>0.74307084420309244</v>
      </c>
      <c r="CW8" s="20">
        <f t="shared" si="13"/>
        <v>4.2848971118032706</v>
      </c>
      <c r="CX8" s="59">
        <f t="shared" si="14"/>
        <v>297.61823044513659</v>
      </c>
      <c r="CY8" s="59">
        <f ca="1">AVERAGE(OFFSET($CX$3,0,0,'Données projet'!$E$13+1,1))-AVERAGE(OFFSET($H$3,0,0,'Données projet'!$E$13+1,1))</f>
        <v>396.27049617044378</v>
      </c>
      <c r="CZ8" s="59">
        <f t="shared" si="42"/>
        <v>335.2680289568774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3.0666666666666669</v>
      </c>
      <c r="DO8" s="12">
        <f>IF('Données projet'!$A$166&gt;35,DO7+DN8-DW7,IF(A8&lt;'Données projet'!$A$166,$DL$205^A8,IF(A8='Données projet'!$A$166,'Données projet'!$B$166,DO7+DN8-DW7)))</f>
        <v>3.5830478710159461</v>
      </c>
      <c r="DP8" s="17">
        <f>DO8*VLOOKUP('Données projet'!$B$14,Paramètres!$A$1:$I$89,3,0)*VLOOKUP('Données projet'!$B$14,Paramètres!$A$1:$I$89,5,0)</f>
        <v>2.0495033822211211</v>
      </c>
      <c r="DQ8" s="13">
        <f t="shared" si="43"/>
        <v>0.86880998319746505</v>
      </c>
      <c r="DR8" s="20">
        <f t="shared" si="16"/>
        <v>5.0827291114373709</v>
      </c>
      <c r="DS8" s="59">
        <f t="shared" si="17"/>
        <v>298.41606244477066</v>
      </c>
      <c r="DT8" s="59">
        <f ca="1">AVERAGE(OFFSET($DS$3,0,0,'Données projet'!$E$14+1,1))-AVERAGE(OFFSET($H$3,0,0,'Données projet'!$E$14+1,1))</f>
        <v>307.43900954374504</v>
      </c>
      <c r="DU8" s="59">
        <f t="shared" si="44"/>
        <v>185.25270859048999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8.5833333333333339</v>
      </c>
      <c r="EJ8" s="12">
        <f>IF('Données projet'!$A$192&gt;35,EJ7+EI8-ER7,IF(A8&lt;'Données projet'!$A$192,$EG$205^A8,IF(A8='Données projet'!$A$192,'Données projet'!$B$192,EJ7+EI8-ER7)))</f>
        <v>6.89734861063911</v>
      </c>
      <c r="EK8" s="17">
        <f>EJ8*VLOOKUP('Données projet'!$B$15,Paramètres!$A$1:$I$89,3,0)*VLOOKUP('Données projet'!$B$15,Paramètres!$A$1:$I$89,5,0)</f>
        <v>4.3039455330388048</v>
      </c>
      <c r="EL8" s="13">
        <f t="shared" si="45"/>
        <v>1.6735424770035323</v>
      </c>
      <c r="EM8" s="20">
        <f t="shared" si="19"/>
        <v>10.410791617490402</v>
      </c>
      <c r="EN8" s="59">
        <f t="shared" si="20"/>
        <v>303.74412495082373</v>
      </c>
      <c r="EO8" s="59">
        <f ca="1">AVERAGE(OFFSET($EN$3,0,0,'Données projet'!$E$15+1,1))-AVERAGE(OFFSET($H$3,0,0,'Données projet'!$E$15+1,1))</f>
        <v>269.77739619445515</v>
      </c>
      <c r="EP8" s="59">
        <f t="shared" si="46"/>
        <v>347.56964743629885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1.9</v>
      </c>
      <c r="FE8" s="12">
        <f>IF('Données projet'!$A$218&gt;35,FE7+FD8-FM7,IF(A8&lt;'Données projet'!$A$218,$FB$205^A8,IF(A8='Données projet'!$A$218,'Données projet'!$B$218,FE7+FD8-FM7)))</f>
        <v>4.3588989435406749</v>
      </c>
      <c r="FF8" s="17">
        <f>FE8*VLOOKUP('Données projet'!$B$16,Paramètres!$A$1:$I$89,3,0)*VLOOKUP('Données projet'!$B$16,Paramètres!$A$1:$I$89,5,0)</f>
        <v>3.467939999480961</v>
      </c>
      <c r="FG8" s="13">
        <f t="shared" si="47"/>
        <v>1.382799801337496</v>
      </c>
      <c r="FH8" s="20">
        <f t="shared" si="22"/>
        <v>8.4483718197588118</v>
      </c>
      <c r="FI8" s="59">
        <f t="shared" si="23"/>
        <v>301.7817051530921</v>
      </c>
      <c r="FJ8" s="59">
        <f ca="1">AVERAGE(OFFSET($FI$3,0,0,'Données projet'!$E$16+1,1))-AVERAGE(OFFSET($H$3,0,0,'Données projet'!$E$16+1,1))</f>
        <v>331.52724290297675</v>
      </c>
      <c r="FK8" s="59">
        <f t="shared" si="48"/>
        <v>322.79102610158054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3.7333333333333334</v>
      </c>
      <c r="FZ8" s="12">
        <f>IF('Données projet'!$A$244&gt;35,FZ7+FY8-GH7,IF(A8&lt;'Données projet'!$A$244,$FW$205^A8,IF(A8='Données projet'!$A$244,'Données projet'!$B$244,FZ7+FY8-GH7)))</f>
        <v>3.8258623655447765</v>
      </c>
      <c r="GA8" s="17">
        <f>FZ8*VLOOKUP('Données projet'!$B$17,Paramètres!$A$1:$I$89,3,0)*VLOOKUP('Données projet'!$B$17,Paramètres!$A$1:$I$89,5,0)</f>
        <v>1.8899760085791197</v>
      </c>
      <c r="GB8" s="13">
        <f t="shared" si="49"/>
        <v>0.80877709597024838</v>
      </c>
      <c r="GC8" s="20">
        <f t="shared" si="25"/>
        <v>4.7003283237568159</v>
      </c>
      <c r="GD8" s="59">
        <f t="shared" si="26"/>
        <v>298.03366165709014</v>
      </c>
      <c r="GE8" s="59">
        <f ca="1">AVERAGE(OFFSET($GD$3,0,0,'Données projet'!$E$17+1,1))-AVERAGE(OFFSET($H$3,0,0,'Données projet'!$E$17+1,1))</f>
        <v>434.08297999735811</v>
      </c>
      <c r="GF8" s="59">
        <f t="shared" si="50"/>
        <v>371.04090283546122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4.2666666666666666</v>
      </c>
      <c r="GU8" s="12">
        <f>IF('Données projet'!$A$270&gt;35,GU7+GT8-HC7,IF(A8&lt;'Données projet'!$A$270,$GR$205^A8,IF(A8='Données projet'!$A$270,'Données projet'!$B$270,GU7+GT8-HC7)))</f>
        <v>3.9999999999999982</v>
      </c>
      <c r="GV8" s="17">
        <f>GU8*VLOOKUP('Données projet'!$B$18,Paramètres!$A$1:$I$89,3,0)*VLOOKUP('Données projet'!$B$18,Paramètres!$A$1:$I$89,5,0)</f>
        <v>2.2879999999999989</v>
      </c>
      <c r="GW8" s="13">
        <f t="shared" si="51"/>
        <v>0.95756310486012641</v>
      </c>
      <c r="GX8" s="20">
        <f t="shared" si="28"/>
        <v>5.65268907429805</v>
      </c>
      <c r="GY8" s="59">
        <f t="shared" si="29"/>
        <v>298.98602240763137</v>
      </c>
      <c r="GZ8" s="59">
        <f ca="1">AVERAGE(OFFSET($GY$3,0,0,'Données projet'!$E$18+1,1))-AVERAGE(OFFSET($H$3,0,0,'Données projet'!$E$18+1,1))</f>
        <v>362.57172983134313</v>
      </c>
      <c r="HA8" s="59">
        <f t="shared" si="52"/>
        <v>232.03250917542471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">
      <c r="A9" s="10">
        <f t="shared" si="31"/>
        <v>6</v>
      </c>
      <c r="B9" s="71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5">
        <f t="shared" si="1"/>
        <v>300.40733532985558</v>
      </c>
      <c r="I9" s="6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2.4666666666666668</v>
      </c>
      <c r="N9" s="13">
        <f>IF('Données projet'!$A$36&gt;35,N8+M9-V8,IF(A9&lt;'Données projet'!$A$36,$K$205^A9,IF(A9='Données projet'!$A$36,'Données projet'!$B$36,N8+M9-V8)))</f>
        <v>4.2391685997738069</v>
      </c>
      <c r="O9" s="13">
        <f>N9*VLOOKUP('Données projet'!$B$9,Paramètres!$A$1:$I$89,3,0)*VLOOKUP('Données projet'!$B$9,Paramètres!$A$1:$I$89,5,0)</f>
        <v>3.3726825379800407</v>
      </c>
      <c r="P9" s="13">
        <f t="shared" si="33"/>
        <v>1.3491840083541735</v>
      </c>
      <c r="Q9" s="20">
        <f t="shared" si="2"/>
        <v>8.2239175681987557</v>
      </c>
      <c r="R9" s="59">
        <f t="shared" si="0"/>
        <v>301.55725090153209</v>
      </c>
      <c r="S9" s="59">
        <f ca="1">AVERAGE(OFFSET($R$3,0,0,'Données projet'!$E$9+1,1))-AVERAGE(OFFSET($H$3,0,0,'Données projet'!$E$9+1,1))</f>
        <v>225.2323446080772</v>
      </c>
      <c r="T9" s="59">
        <f t="shared" si="34"/>
        <v>222.29030402759292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1.8666666666666667</v>
      </c>
      <c r="AI9" s="13">
        <f>IF('Données projet'!$A$62&gt;35,AI8+AH9-AQ8,IF(A9&lt;'Données projet'!$A$62,$AF$205^A9,IF(A9='Données projet'!$A$62,'Données projet'!$B$62,AI8+AH9-AQ8)))</f>
        <v>3.7919553292794621</v>
      </c>
      <c r="AJ9" s="13">
        <f>AI9*VLOOKUP('Données projet'!$B$10,Paramètres!$A$1:$I$89,3,0)*VLOOKUP('Données projet'!$B$10,Paramètres!$A$1:$I$89,5,0)</f>
        <v>1.8732259326640543</v>
      </c>
      <c r="AK9" s="13">
        <f t="shared" si="35"/>
        <v>0.80244029985840748</v>
      </c>
      <c r="AL9" s="20">
        <f t="shared" si="4"/>
        <v>4.6601186883099537</v>
      </c>
      <c r="AM9" s="59">
        <f t="shared" si="5"/>
        <v>297.99345202164329</v>
      </c>
      <c r="AN9" s="59">
        <f ca="1">AVERAGE(OFFSET($AM$3,0,0,'Données projet'!$E$10+1,1))-AVERAGE(OFFSET($H$3,0,0,'Données projet'!$E$10+1,1))</f>
        <v>360.05819346986135</v>
      </c>
      <c r="AO9" s="59">
        <f t="shared" si="36"/>
        <v>300.47468388351081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</v>
      </c>
      <c r="BD9" s="12">
        <f>IF('Données projet'!$A$88&gt;35,BD8+BC9-BL8,IF(A9&lt;'Données projet'!$A$88,$BA$205^A9,IF(A9='Données projet'!$A$88,'Données projet'!$B$88,BD8+BC9-BL8)))</f>
        <v>3.8980598409161895</v>
      </c>
      <c r="BE9" s="13">
        <f>BD9*VLOOKUP('Données projet'!$B$11,Paramètres!$A$1:$I$89,3,0)*VLOOKUP('Données projet'!$B$11,Paramètres!$A$1:$I$89,5,0)</f>
        <v>2.2296902290040603</v>
      </c>
      <c r="BF9" s="13">
        <f t="shared" si="37"/>
        <v>0.93596785209123734</v>
      </c>
      <c r="BG9" s="20">
        <f t="shared" si="7"/>
        <v>5.5135211579076433</v>
      </c>
      <c r="BH9" s="59">
        <f t="shared" si="8"/>
        <v>298.84685449124095</v>
      </c>
      <c r="BI9" s="59">
        <f ca="1">AVERAGE(OFFSET($BH$3,0,0,'Données projet'!$E$11+1,1))-AVERAGE(OFFSET($H$3,0,0,'Données projet'!$E$11+1,1))</f>
        <v>250.90038883668348</v>
      </c>
      <c r="BJ9" s="59">
        <f t="shared" si="38"/>
        <v>141.96132114475608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1.1000000000000001</v>
      </c>
      <c r="BY9" s="12">
        <f>IF('Données projet'!$A$114&gt;35,BY8+BX9-CG8,IF(A9&lt;'Données projet'!$A$114,$BV$205^A9,IF(A9='Données projet'!$A$114,'Données projet'!$B$114,BY8+BX9-CG8)))</f>
        <v>4.2153691330919028</v>
      </c>
      <c r="BZ9" s="13">
        <f>BY9*VLOOKUP('Données projet'!$B$12,Paramètres!$A$1:$I$89,3,0)*VLOOKUP('Données projet'!$B$12,Paramètres!$A$1:$I$89,5,0)</f>
        <v>3.353747682287918</v>
      </c>
      <c r="CA9" s="13">
        <f t="shared" si="39"/>
        <v>1.3424889309030987</v>
      </c>
      <c r="CB9" s="20">
        <f t="shared" si="10"/>
        <v>8.1792787679743544</v>
      </c>
      <c r="CC9" s="59">
        <f t="shared" si="11"/>
        <v>301.5126121013077</v>
      </c>
      <c r="CD9" s="59">
        <f ca="1">AVERAGE(OFFSET($CC$3,0,0,'Données projet'!$E$12+1,1))-AVERAGE(OFFSET($H$3,0,0,'Données projet'!$E$12+1,1))</f>
        <v>279.49721661620544</v>
      </c>
      <c r="CE9" s="59">
        <f t="shared" si="40"/>
        <v>275.18739333988754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2.8</v>
      </c>
      <c r="CT9" s="12">
        <f>IF('Données projet'!$A$140&gt;35,CT8+CS9-DB8,IF(A9&lt;'Données projet'!$A$140,$CQ$205^A9,IF(A9='Données projet'!$A$140,'Données projet'!$B$140,CT8+CS9-DB8)))</f>
        <v>4.4596391171162164</v>
      </c>
      <c r="CU9" s="17">
        <f>CT9*VLOOKUP('Données projet'!$B$13,Paramètres!$A$1:$I$89,3,0)*VLOOKUP('Données projet'!$B$13,Paramètres!$A$1:$I$89,5,0)</f>
        <v>2.2030617238554107</v>
      </c>
      <c r="CV9" s="13">
        <f t="shared" si="41"/>
        <v>0.92608409637926592</v>
      </c>
      <c r="CW9" s="20">
        <f t="shared" si="13"/>
        <v>5.4499289702420617</v>
      </c>
      <c r="CX9" s="59">
        <f t="shared" si="14"/>
        <v>298.78326230357538</v>
      </c>
      <c r="CY9" s="59">
        <f ca="1">AVERAGE(OFFSET($CX$3,0,0,'Données projet'!$E$13+1,1))-AVERAGE(OFFSET($H$3,0,0,'Données projet'!$E$13+1,1))</f>
        <v>396.27049617044378</v>
      </c>
      <c r="CZ9" s="59">
        <f t="shared" si="42"/>
        <v>335.2680289568774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3.0666666666666669</v>
      </c>
      <c r="DO9" s="12">
        <f>IF('Données projet'!$A$166&gt;35,DO8+DN9-DW8,IF(A9&lt;'Données projet'!$A$166,$DL$205^A9,IF(A9='Données projet'!$A$166,'Données projet'!$B$166,DO8+DN9-DW8)))</f>
        <v>4.6249083687022479</v>
      </c>
      <c r="DP9" s="17">
        <f>DO9*VLOOKUP('Données projet'!$B$14,Paramètres!$A$1:$I$89,3,0)*VLOOKUP('Données projet'!$B$14,Paramètres!$A$1:$I$89,5,0)</f>
        <v>2.6454475868976859</v>
      </c>
      <c r="DQ9" s="13">
        <f t="shared" si="43"/>
        <v>1.0886100112816002</v>
      </c>
      <c r="DR9" s="20">
        <f t="shared" si="16"/>
        <v>6.5034836501622566</v>
      </c>
      <c r="DS9" s="59">
        <f t="shared" si="17"/>
        <v>299.83681698349557</v>
      </c>
      <c r="DT9" s="59">
        <f ca="1">AVERAGE(OFFSET($DS$3,0,0,'Données projet'!$E$14+1,1))-AVERAGE(OFFSET($H$3,0,0,'Données projet'!$E$14+1,1))</f>
        <v>307.43900954374504</v>
      </c>
      <c r="DU9" s="59">
        <f t="shared" si="44"/>
        <v>185.25270859048999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8.5833333333333339</v>
      </c>
      <c r="EJ9" s="12">
        <f>IF('Données projet'!$A$192&gt;35,EJ8+EI9-ER8,IF(A9&lt;'Données projet'!$A$192,$EG$205^A9,IF(A9='Données projet'!$A$192,'Données projet'!$B$192,EJ8+EI9-ER8)))</f>
        <v>10.148891565092221</v>
      </c>
      <c r="EK9" s="17">
        <f>EJ9*VLOOKUP('Données projet'!$B$15,Paramètres!$A$1:$I$89,3,0)*VLOOKUP('Données projet'!$B$15,Paramètres!$A$1:$I$89,5,0)</f>
        <v>6.3329083366175452</v>
      </c>
      <c r="EL9" s="13">
        <f t="shared" si="45"/>
        <v>2.3542287237369877</v>
      </c>
      <c r="EM9" s="20">
        <f t="shared" si="19"/>
        <v>15.130097046784146</v>
      </c>
      <c r="EN9" s="59">
        <f t="shared" si="20"/>
        <v>308.46343038011747</v>
      </c>
      <c r="EO9" s="59">
        <f ca="1">AVERAGE(OFFSET($EN$3,0,0,'Données projet'!$E$15+1,1))-AVERAGE(OFFSET($H$3,0,0,'Données projet'!$E$15+1,1))</f>
        <v>269.77739619445515</v>
      </c>
      <c r="EP9" s="59">
        <f t="shared" si="46"/>
        <v>347.56964743629885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1.9</v>
      </c>
      <c r="FE9" s="12">
        <f>IF('Données projet'!$A$218&gt;35,FE8+FD9-FM8,IF(A9&lt;'Données projet'!$A$218,$FB$205^A9,IF(A9='Données projet'!$A$218,'Données projet'!$B$218,FE8+FD9-FM8)))</f>
        <v>5.8512972424092187</v>
      </c>
      <c r="FF9" s="17">
        <f>FE9*VLOOKUP('Données projet'!$B$16,Paramètres!$A$1:$I$89,3,0)*VLOOKUP('Données projet'!$B$16,Paramètres!$A$1:$I$89,5,0)</f>
        <v>4.6552920860607747</v>
      </c>
      <c r="FG9" s="13">
        <f t="shared" si="47"/>
        <v>1.7937006960002178</v>
      </c>
      <c r="FH9" s="20">
        <f t="shared" si="22"/>
        <v>11.231995762089561</v>
      </c>
      <c r="FI9" s="59">
        <f t="shared" si="23"/>
        <v>304.5653290954229</v>
      </c>
      <c r="FJ9" s="59">
        <f ca="1">AVERAGE(OFFSET($FI$3,0,0,'Données projet'!$E$16+1,1))-AVERAGE(OFFSET($H$3,0,0,'Données projet'!$E$16+1,1))</f>
        <v>331.52724290297675</v>
      </c>
      <c r="FK9" s="59">
        <f t="shared" si="48"/>
        <v>322.79102610158054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3.7333333333333334</v>
      </c>
      <c r="FZ9" s="12">
        <f>IF('Données projet'!$A$244&gt;35,FZ8+FY9-GH8,IF(A9&lt;'Données projet'!$A$244,$FW$205^A9,IF(A9='Données projet'!$A$244,'Données projet'!$B$244,FZ8+FY9-GH8)))</f>
        <v>5.0035150542816851</v>
      </c>
      <c r="GA9" s="17">
        <f>FZ9*VLOOKUP('Données projet'!$B$17,Paramètres!$A$1:$I$89,3,0)*VLOOKUP('Données projet'!$B$17,Paramètres!$A$1:$I$89,5,0)</f>
        <v>2.4717364368151524</v>
      </c>
      <c r="GB9" s="13">
        <f t="shared" si="49"/>
        <v>1.0252004147388838</v>
      </c>
      <c r="GC9" s="20">
        <f t="shared" si="25"/>
        <v>6.0904983497899456</v>
      </c>
      <c r="GD9" s="59">
        <f t="shared" si="26"/>
        <v>299.42383168312324</v>
      </c>
      <c r="GE9" s="59">
        <f ca="1">AVERAGE(OFFSET($GD$3,0,0,'Données projet'!$E$17+1,1))-AVERAGE(OFFSET($H$3,0,0,'Données projet'!$E$17+1,1))</f>
        <v>434.08297999735811</v>
      </c>
      <c r="GF9" s="59">
        <f t="shared" si="50"/>
        <v>371.04090283546122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4.2666666666666666</v>
      </c>
      <c r="GU9" s="12">
        <f>IF('Données projet'!$A$270&gt;35,GU8+GT9-HC8,IF(A9&lt;'Données projet'!$A$270,$GR$205^A9,IF(A9='Données projet'!$A$270,'Données projet'!$B$270,GU8+GT9-HC8)))</f>
        <v>5.2780316430915741</v>
      </c>
      <c r="GV9" s="17">
        <f>GU9*VLOOKUP('Données projet'!$B$18,Paramètres!$A$1:$I$89,3,0)*VLOOKUP('Données projet'!$B$18,Paramètres!$A$1:$I$89,5,0)</f>
        <v>3.0190340998483807</v>
      </c>
      <c r="GW9" s="13">
        <f t="shared" si="51"/>
        <v>1.2233858299670111</v>
      </c>
      <c r="GX9" s="20">
        <f t="shared" si="28"/>
        <v>7.3888813777618081</v>
      </c>
      <c r="GY9" s="59">
        <f t="shared" si="29"/>
        <v>300.72221471109515</v>
      </c>
      <c r="GZ9" s="59">
        <f ca="1">AVERAGE(OFFSET($GY$3,0,0,'Données projet'!$E$18+1,1))-AVERAGE(OFFSET($H$3,0,0,'Données projet'!$E$18+1,1))</f>
        <v>362.57172983134313</v>
      </c>
      <c r="HA9" s="59">
        <f t="shared" si="52"/>
        <v>232.03250917542471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">
      <c r="A10" s="10">
        <f t="shared" si="31"/>
        <v>7</v>
      </c>
      <c r="B10" s="71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5">
        <f t="shared" si="1"/>
        <v>301.54385515707349</v>
      </c>
      <c r="I10" s="6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2.4666666666666668</v>
      </c>
      <c r="N10" s="13">
        <f>IF('Données projet'!$A$36&gt;35,N9+M10-V9,IF(A10&lt;'Données projet'!$A$36,$K$205^A10,IF(A10='Données projet'!$A$36,'Données projet'!$B$36,N9+M10-V9)))</f>
        <v>5.3929633792034757</v>
      </c>
      <c r="O10" s="13">
        <f>N10*VLOOKUP('Données projet'!$B$9,Paramètres!$A$1:$I$89,3,0)*VLOOKUP('Données projet'!$B$9,Paramètres!$A$1:$I$89,5,0)</f>
        <v>4.2906416644942853</v>
      </c>
      <c r="P10" s="13">
        <f t="shared" si="33"/>
        <v>1.6689707336887791</v>
      </c>
      <c r="Q10" s="20">
        <f t="shared" si="2"/>
        <v>10.379658260168837</v>
      </c>
      <c r="R10" s="59">
        <f t="shared" si="0"/>
        <v>303.71299159350212</v>
      </c>
      <c r="S10" s="59">
        <f ca="1">AVERAGE(OFFSET($R$3,0,0,'Données projet'!$E$9+1,1))-AVERAGE(OFFSET($H$3,0,0,'Données projet'!$E$9+1,1))</f>
        <v>225.2323446080772</v>
      </c>
      <c r="T10" s="59">
        <f t="shared" si="34"/>
        <v>222.29030402759292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1.8666666666666667</v>
      </c>
      <c r="AI10" s="13">
        <f>IF('Données projet'!$A$62&gt;35,AI9+AH10-AQ9,IF(A10&lt;'Données projet'!$A$62,$AF$205^A10,IF(A10='Données projet'!$A$62,'Données projet'!$B$62,AI9+AH10-AQ9)))</f>
        <v>4.7352227622592062</v>
      </c>
      <c r="AJ10" s="13">
        <f>AI10*VLOOKUP('Données projet'!$B$10,Paramètres!$A$1:$I$89,3,0)*VLOOKUP('Données projet'!$B$10,Paramètres!$A$1:$I$89,5,0)</f>
        <v>2.3392000445560481</v>
      </c>
      <c r="AK10" s="13">
        <f t="shared" si="35"/>
        <v>0.97647243337071343</v>
      </c>
      <c r="AL10" s="20">
        <f t="shared" si="4"/>
        <v>5.7747962323891082</v>
      </c>
      <c r="AM10" s="59">
        <f t="shared" si="5"/>
        <v>299.10812956572244</v>
      </c>
      <c r="AN10" s="59">
        <f ca="1">AVERAGE(OFFSET($AM$3,0,0,'Données projet'!$E$10+1,1))-AVERAGE(OFFSET($H$3,0,0,'Données projet'!$E$10+1,1))</f>
        <v>360.05819346986135</v>
      </c>
      <c r="AO10" s="59">
        <f t="shared" si="36"/>
        <v>300.47468388351081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</v>
      </c>
      <c r="BD10" s="12">
        <f>IF('Données projet'!$A$88&gt;35,BD9+BC10-BL9,IF(A10&lt;'Données projet'!$A$88,$BA$205^A10,IF(A10='Données projet'!$A$88,'Données projet'!$B$88,BD9+BC10-BL9)))</f>
        <v>4.8901620635881651</v>
      </c>
      <c r="BE10" s="13">
        <f>BD10*VLOOKUP('Données projet'!$B$11,Paramètres!$A$1:$I$89,3,0)*VLOOKUP('Données projet'!$B$11,Paramètres!$A$1:$I$89,5,0)</f>
        <v>2.7971727003724305</v>
      </c>
      <c r="BF10" s="13">
        <f t="shared" si="37"/>
        <v>1.1435975639199842</v>
      </c>
      <c r="BG10" s="20">
        <f t="shared" si="7"/>
        <v>6.8635082103092886</v>
      </c>
      <c r="BH10" s="59">
        <f t="shared" si="8"/>
        <v>300.19684154364262</v>
      </c>
      <c r="BI10" s="59">
        <f ca="1">AVERAGE(OFFSET($BH$3,0,0,'Données projet'!$E$11+1,1))-AVERAGE(OFFSET($H$3,0,0,'Données projet'!$E$11+1,1))</f>
        <v>250.90038883668348</v>
      </c>
      <c r="BJ10" s="59">
        <f t="shared" si="38"/>
        <v>141.96132114475608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1.1000000000000001</v>
      </c>
      <c r="BY10" s="12">
        <f>IF('Données projet'!$A$114&gt;35,BY9+BX10-CG9,IF(A10&lt;'Données projet'!$A$114,$BV$205^A10,IF(A10='Données projet'!$A$114,'Données projet'!$B$114,BY9+BX10-CG9)))</f>
        <v>5.3576566694841175</v>
      </c>
      <c r="BZ10" s="13">
        <f>BY10*VLOOKUP('Données projet'!$B$12,Paramètres!$A$1:$I$89,3,0)*VLOOKUP('Données projet'!$B$12,Paramètres!$A$1:$I$89,5,0)</f>
        <v>4.2625516462415645</v>
      </c>
      <c r="CA10" s="13">
        <f t="shared" si="39"/>
        <v>1.6593124478620722</v>
      </c>
      <c r="CB10" s="20">
        <f t="shared" si="10"/>
        <v>10.313913297230501</v>
      </c>
      <c r="CC10" s="59">
        <f t="shared" si="11"/>
        <v>303.64724663056381</v>
      </c>
      <c r="CD10" s="59">
        <f ca="1">AVERAGE(OFFSET($CC$3,0,0,'Données projet'!$E$12+1,1))-AVERAGE(OFFSET($H$3,0,0,'Données projet'!$E$12+1,1))</f>
        <v>279.49721661620544</v>
      </c>
      <c r="CE10" s="59">
        <f t="shared" si="40"/>
        <v>275.18739333988754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2.8</v>
      </c>
      <c r="CT10" s="12">
        <f>IF('Données projet'!$A$140&gt;35,CT9+CS10-DB9,IF(A10&lt;'Données projet'!$A$140,$CQ$205^A10,IF(A10='Données projet'!$A$140,'Données projet'!$B$140,CT9+CS10-DB9)))</f>
        <v>5.7215847537218165</v>
      </c>
      <c r="CU10" s="17">
        <f>CT10*VLOOKUP('Données projet'!$B$13,Paramètres!$A$1:$I$89,3,0)*VLOOKUP('Données projet'!$B$13,Paramètres!$A$1:$I$89,5,0)</f>
        <v>2.8264628683385773</v>
      </c>
      <c r="CV10" s="13">
        <f t="shared" si="41"/>
        <v>1.1541722572716064</v>
      </c>
      <c r="CW10" s="20">
        <f t="shared" si="13"/>
        <v>6.9329395104377367</v>
      </c>
      <c r="CX10" s="59">
        <f t="shared" si="14"/>
        <v>300.26627284377105</v>
      </c>
      <c r="CY10" s="59">
        <f ca="1">AVERAGE(OFFSET($CX$3,0,0,'Données projet'!$E$13+1,1))-AVERAGE(OFFSET($H$3,0,0,'Données projet'!$E$13+1,1))</f>
        <v>396.27049617044378</v>
      </c>
      <c r="CZ10" s="59">
        <f t="shared" si="42"/>
        <v>335.2680289568774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3.0666666666666669</v>
      </c>
      <c r="DO10" s="12">
        <f>IF('Données projet'!$A$166&gt;35,DO9+DN10-DW9,IF(A10&lt;'Données projet'!$A$166,$DL$205^A10,IF(A10='Données projet'!$A$166,'Données projet'!$B$166,DO9+DN10-DW9)))</f>
        <v>5.9697157807794445</v>
      </c>
      <c r="DP10" s="17">
        <f>DO10*VLOOKUP('Données projet'!$B$14,Paramètres!$A$1:$I$89,3,0)*VLOOKUP('Données projet'!$B$14,Paramètres!$A$1:$I$89,5,0)</f>
        <v>3.4146774266058424</v>
      </c>
      <c r="DQ10" s="13">
        <f t="shared" si="43"/>
        <v>1.3640171954529439</v>
      </c>
      <c r="DR10" s="20">
        <f t="shared" si="16"/>
        <v>8.3228931334190523</v>
      </c>
      <c r="DS10" s="59">
        <f t="shared" si="17"/>
        <v>301.65622646675234</v>
      </c>
      <c r="DT10" s="59">
        <f ca="1">AVERAGE(OFFSET($DS$3,0,0,'Données projet'!$E$14+1,1))-AVERAGE(OFFSET($H$3,0,0,'Données projet'!$E$14+1,1))</f>
        <v>307.43900954374504</v>
      </c>
      <c r="DU10" s="59">
        <f t="shared" si="44"/>
        <v>185.25270859048999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8.5833333333333339</v>
      </c>
      <c r="EJ10" s="12">
        <f>IF('Données projet'!$A$192&gt;35,EJ9+EI10-ER9,IF(A10&lt;'Données projet'!$A$192,$EG$205^A10,IF(A10='Données projet'!$A$192,'Données projet'!$B$192,EJ9+EI10-ER9)))</f>
        <v>14.933274481896314</v>
      </c>
      <c r="EK10" s="17">
        <f>EJ10*VLOOKUP('Données projet'!$B$15,Paramètres!$A$1:$I$89,3,0)*VLOOKUP('Données projet'!$B$15,Paramètres!$A$1:$I$89,5,0)</f>
        <v>9.3183632767033</v>
      </c>
      <c r="EL10" s="13">
        <f t="shared" si="45"/>
        <v>3.3117730561532612</v>
      </c>
      <c r="EM10" s="20">
        <f t="shared" si="19"/>
        <v>21.997487446391844</v>
      </c>
      <c r="EN10" s="59">
        <f t="shared" si="20"/>
        <v>315.33082077972517</v>
      </c>
      <c r="EO10" s="59">
        <f ca="1">AVERAGE(OFFSET($EN$3,0,0,'Données projet'!$E$15+1,1))-AVERAGE(OFFSET($H$3,0,0,'Données projet'!$E$15+1,1))</f>
        <v>269.77739619445515</v>
      </c>
      <c r="EP10" s="59">
        <f t="shared" si="46"/>
        <v>347.56964743629885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1.9</v>
      </c>
      <c r="FE10" s="12">
        <f>IF('Données projet'!$A$218&gt;35,FE9+FD10-FM9,IF(A10&lt;'Données projet'!$A$218,$FB$205^A10,IF(A10='Données projet'!$A$218,'Données projet'!$B$218,FE9+FD10-FM9)))</f>
        <v>7.8546623499408135</v>
      </c>
      <c r="FF10" s="17">
        <f>FE10*VLOOKUP('Données projet'!$B$16,Paramètres!$A$1:$I$89,3,0)*VLOOKUP('Données projet'!$B$16,Paramètres!$A$1:$I$89,5,0)</f>
        <v>6.2491693656129108</v>
      </c>
      <c r="FG10" s="13">
        <f t="shared" si="47"/>
        <v>2.326701366112224</v>
      </c>
      <c r="FH10" s="20">
        <f t="shared" si="22"/>
        <v>14.936308191087944</v>
      </c>
      <c r="FI10" s="59">
        <f t="shared" si="23"/>
        <v>308.26964152442127</v>
      </c>
      <c r="FJ10" s="59">
        <f ca="1">AVERAGE(OFFSET($FI$3,0,0,'Données projet'!$E$16+1,1))-AVERAGE(OFFSET($H$3,0,0,'Données projet'!$E$16+1,1))</f>
        <v>331.52724290297675</v>
      </c>
      <c r="FK10" s="59">
        <f t="shared" si="48"/>
        <v>322.79102610158054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3.7333333333333334</v>
      </c>
      <c r="FZ10" s="12">
        <f>IF('Données projet'!$A$244&gt;35,FZ9+FY10-GH9,IF(A10&lt;'Données projet'!$A$244,$FW$205^A10,IF(A10='Données projet'!$A$244,'Données projet'!$B$244,FZ9+FY10-GH9)))</f>
        <v>6.5436653246825864</v>
      </c>
      <c r="GA10" s="17">
        <f>FZ10*VLOOKUP('Données projet'!$B$17,Paramètres!$A$1:$I$89,3,0)*VLOOKUP('Données projet'!$B$17,Paramètres!$A$1:$I$89,5,0)</f>
        <v>3.2325706703931978</v>
      </c>
      <c r="GB10" s="13">
        <f t="shared" si="49"/>
        <v>1.2995371600130508</v>
      </c>
      <c r="GC10" s="20">
        <f t="shared" si="25"/>
        <v>7.8934211379575494</v>
      </c>
      <c r="GD10" s="59">
        <f t="shared" si="26"/>
        <v>301.22675447129086</v>
      </c>
      <c r="GE10" s="59">
        <f ca="1">AVERAGE(OFFSET($GD$3,0,0,'Données projet'!$E$17+1,1))-AVERAGE(OFFSET($H$3,0,0,'Données projet'!$E$17+1,1))</f>
        <v>434.08297999735811</v>
      </c>
      <c r="GF10" s="59">
        <f t="shared" si="50"/>
        <v>371.04090283546122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4.2666666666666666</v>
      </c>
      <c r="GU10" s="12">
        <f>IF('Données projet'!$A$270&gt;35,GU9+GT10-HC9,IF(A10&lt;'Données projet'!$A$270,$GR$205^A10,IF(A10='Données projet'!$A$270,'Données projet'!$B$270,GU9+GT10-HC9)))</f>
        <v>6.9644045063689894</v>
      </c>
      <c r="GV10" s="17">
        <f>GU10*VLOOKUP('Données projet'!$B$18,Paramètres!$A$1:$I$89,3,0)*VLOOKUP('Données projet'!$B$18,Paramètres!$A$1:$I$89,5,0)</f>
        <v>3.9836393776430623</v>
      </c>
      <c r="GW10" s="13">
        <f t="shared" si="51"/>
        <v>1.5630018338923937</v>
      </c>
      <c r="GX10" s="20">
        <f t="shared" si="28"/>
        <v>9.6604001100909187</v>
      </c>
      <c r="GY10" s="59">
        <f t="shared" si="29"/>
        <v>302.99373344342422</v>
      </c>
      <c r="GZ10" s="59">
        <f ca="1">AVERAGE(OFFSET($GY$3,0,0,'Données projet'!$E$18+1,1))-AVERAGE(OFFSET($H$3,0,0,'Données projet'!$E$18+1,1))</f>
        <v>362.57172983134313</v>
      </c>
      <c r="HA10" s="59">
        <f t="shared" si="52"/>
        <v>232.03250917542471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">
      <c r="A11" s="10">
        <f t="shared" si="31"/>
        <v>8</v>
      </c>
      <c r="B11" s="71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5">
        <f t="shared" si="1"/>
        <v>302.675430070853</v>
      </c>
      <c r="I11" s="6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2.4666666666666668</v>
      </c>
      <c r="N11" s="13">
        <f>IF('Données projet'!$A$36&gt;35,N10+M11-V10,IF(A11&lt;'Données projet'!$A$36,$K$205^A11,IF(A11='Données projet'!$A$36,'Données projet'!$B$36,N10+M11-V10)))</f>
        <v>6.8607919984549888</v>
      </c>
      <c r="O11" s="13">
        <f>N11*VLOOKUP('Données projet'!$B$9,Paramètres!$A$1:$I$89,3,0)*VLOOKUP('Données projet'!$B$9,Paramètres!$A$1:$I$89,5,0)</f>
        <v>5.4584461139707896</v>
      </c>
      <c r="P11" s="13">
        <f t="shared" si="33"/>
        <v>2.0645540509389519</v>
      </c>
      <c r="Q11" s="20">
        <f t="shared" si="2"/>
        <v>13.102558620551131</v>
      </c>
      <c r="R11" s="59">
        <f t="shared" si="0"/>
        <v>306.43589195388444</v>
      </c>
      <c r="S11" s="59">
        <f ca="1">AVERAGE(OFFSET($R$3,0,0,'Données projet'!$E$9+1,1))-AVERAGE(OFFSET($H$3,0,0,'Données projet'!$E$9+1,1))</f>
        <v>225.2323446080772</v>
      </c>
      <c r="T11" s="59">
        <f t="shared" si="34"/>
        <v>222.29030402759292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1.8666666666666667</v>
      </c>
      <c r="AI11" s="13">
        <f>IF('Données projet'!$A$62&gt;35,AI10+AH11-AQ10,IF(A11&lt;'Données projet'!$A$62,$AF$205^A11,IF(A11='Données projet'!$A$62,'Données projet'!$B$62,AI10+AH11-AQ10)))</f>
        <v>5.9131325823076999</v>
      </c>
      <c r="AJ11" s="13">
        <f>AI11*VLOOKUP('Données projet'!$B$10,Paramètres!$A$1:$I$89,3,0)*VLOOKUP('Données projet'!$B$10,Paramètres!$A$1:$I$89,5,0)</f>
        <v>2.9210874956600037</v>
      </c>
      <c r="AK11" s="13">
        <f t="shared" si="35"/>
        <v>1.1882484133725206</v>
      </c>
      <c r="AL11" s="20">
        <f t="shared" si="4"/>
        <v>7.157093374898313</v>
      </c>
      <c r="AM11" s="59">
        <f t="shared" si="5"/>
        <v>300.49042670823161</v>
      </c>
      <c r="AN11" s="59">
        <f ca="1">AVERAGE(OFFSET($AM$3,0,0,'Données projet'!$E$10+1,1))-AVERAGE(OFFSET($H$3,0,0,'Données projet'!$E$10+1,1))</f>
        <v>360.05819346986135</v>
      </c>
      <c r="AO11" s="59">
        <f t="shared" si="36"/>
        <v>300.47468388351081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</v>
      </c>
      <c r="BD11" s="12">
        <f>IF('Données projet'!$A$88&gt;35,BD10+BC11-BL10,IF(A11&lt;'Données projet'!$A$88,$BA$205^A11,IF(A11='Données projet'!$A$88,'Données projet'!$B$88,BD10+BC11-BL10)))</f>
        <v>6.1347660077317476</v>
      </c>
      <c r="BE11" s="13">
        <f>BD11*VLOOKUP('Données projet'!$B$11,Paramètres!$A$1:$I$89,3,0)*VLOOKUP('Données projet'!$B$11,Paramètres!$A$1:$I$89,5,0)</f>
        <v>3.5090861564225602</v>
      </c>
      <c r="BF11" s="13">
        <f t="shared" si="37"/>
        <v>1.3972866538969952</v>
      </c>
      <c r="BG11" s="20">
        <f t="shared" si="7"/>
        <v>8.5452659779732247</v>
      </c>
      <c r="BH11" s="59">
        <f t="shared" si="8"/>
        <v>301.87859931130652</v>
      </c>
      <c r="BI11" s="59">
        <f ca="1">AVERAGE(OFFSET($BH$3,0,0,'Données projet'!$E$11+1,1))-AVERAGE(OFFSET($H$3,0,0,'Données projet'!$E$11+1,1))</f>
        <v>250.90038883668348</v>
      </c>
      <c r="BJ11" s="59">
        <f t="shared" si="38"/>
        <v>141.96132114475608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1.1000000000000001</v>
      </c>
      <c r="BY11" s="12">
        <f>IF('Données projet'!$A$114&gt;35,BY10+BX11-CG10,IF(A11&lt;'Données projet'!$A$114,$BV$205^A11,IF(A11='Données projet'!$A$114,'Données projet'!$B$114,BY10+BX11-CG10)))</f>
        <v>6.8094831275223076</v>
      </c>
      <c r="BZ11" s="13">
        <f>BY11*VLOOKUP('Données projet'!$B$12,Paramètres!$A$1:$I$89,3,0)*VLOOKUP('Données projet'!$B$12,Paramètres!$A$1:$I$89,5,0)</f>
        <v>5.4176247762567487</v>
      </c>
      <c r="CA11" s="13">
        <f t="shared" si="39"/>
        <v>2.0509054013412618</v>
      </c>
      <c r="CB11" s="20">
        <f t="shared" si="10"/>
        <v>13.007690059316532</v>
      </c>
      <c r="CC11" s="59">
        <f t="shared" si="11"/>
        <v>306.34102339264984</v>
      </c>
      <c r="CD11" s="59">
        <f ca="1">AVERAGE(OFFSET($CC$3,0,0,'Données projet'!$E$12+1,1))-AVERAGE(OFFSET($H$3,0,0,'Données projet'!$E$12+1,1))</f>
        <v>279.49721661620544</v>
      </c>
      <c r="CE11" s="59">
        <f t="shared" si="40"/>
        <v>275.18739333988754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2.8</v>
      </c>
      <c r="CT11" s="12">
        <f>IF('Données projet'!$A$140&gt;35,CT10+CS11-DB10,IF(A11&lt;'Données projet'!$A$140,$CQ$205^A11,IF(A11='Données projet'!$A$140,'Données projet'!$B$140,CT10+CS11-DB10)))</f>
        <v>7.3406235873163457</v>
      </c>
      <c r="CU11" s="17">
        <f>CT11*VLOOKUP('Données projet'!$B$13,Paramètres!$A$1:$I$89,3,0)*VLOOKUP('Données projet'!$B$13,Paramètres!$A$1:$I$89,5,0)</f>
        <v>3.6262680521342747</v>
      </c>
      <c r="CV11" s="13">
        <f t="shared" si="41"/>
        <v>1.4384369677264006</v>
      </c>
      <c r="CW11" s="20">
        <f t="shared" si="13"/>
        <v>8.8210279095906756</v>
      </c>
      <c r="CX11" s="59">
        <f t="shared" si="14"/>
        <v>302.15436124292398</v>
      </c>
      <c r="CY11" s="59">
        <f ca="1">AVERAGE(OFFSET($CX$3,0,0,'Données projet'!$E$13+1,1))-AVERAGE(OFFSET($H$3,0,0,'Données projet'!$E$13+1,1))</f>
        <v>396.27049617044378</v>
      </c>
      <c r="CZ11" s="59">
        <f t="shared" si="42"/>
        <v>335.2680289568774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3.0666666666666669</v>
      </c>
      <c r="DO11" s="12">
        <f>IF('Données projet'!$A$166&gt;35,DO10+DN11-DW10,IF(A11&lt;'Données projet'!$A$166,$DL$205^A11,IF(A11='Données projet'!$A$166,'Données projet'!$B$166,DO10+DN11-DW10)))</f>
        <v>7.7055594753949777</v>
      </c>
      <c r="DP11" s="17">
        <f>DO11*VLOOKUP('Données projet'!$B$14,Paramètres!$A$1:$I$89,3,0)*VLOOKUP('Données projet'!$B$14,Paramètres!$A$1:$I$89,5,0)</f>
        <v>4.4075800199259279</v>
      </c>
      <c r="DQ11" s="13">
        <f t="shared" si="43"/>
        <v>1.7090995767170396</v>
      </c>
      <c r="DR11" s="20">
        <f t="shared" si="16"/>
        <v>10.653216964153168</v>
      </c>
      <c r="DS11" s="59">
        <f t="shared" si="17"/>
        <v>303.98655029748647</v>
      </c>
      <c r="DT11" s="59">
        <f ca="1">AVERAGE(OFFSET($DS$3,0,0,'Données projet'!$E$14+1,1))-AVERAGE(OFFSET($H$3,0,0,'Données projet'!$E$14+1,1))</f>
        <v>307.43900954374504</v>
      </c>
      <c r="DU11" s="59">
        <f t="shared" si="44"/>
        <v>185.25270859048999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8.5833333333333339</v>
      </c>
      <c r="EJ11" s="12">
        <f>IF('Données projet'!$A$192&gt;35,EJ10+EI11-ER10,IF(A11&lt;'Données projet'!$A$192,$EG$205^A11,IF(A11='Données projet'!$A$192,'Données projet'!$B$192,EJ10+EI11-ER10)))</f>
        <v>21.973107636570681</v>
      </c>
      <c r="EK11" s="17">
        <f>EJ11*VLOOKUP('Données projet'!$B$15,Paramètres!$A$1:$I$89,3,0)*VLOOKUP('Données projet'!$B$15,Paramètres!$A$1:$I$89,5,0)</f>
        <v>13.711219165220106</v>
      </c>
      <c r="EL11" s="13">
        <f t="shared" si="45"/>
        <v>4.6587830081577177</v>
      </c>
      <c r="EM11" s="20">
        <f t="shared" si="19"/>
        <v>31.994420451966377</v>
      </c>
      <c r="EN11" s="59">
        <f t="shared" si="20"/>
        <v>325.32775378529971</v>
      </c>
      <c r="EO11" s="59">
        <f ca="1">AVERAGE(OFFSET($EN$3,0,0,'Données projet'!$E$15+1,1))-AVERAGE(OFFSET($H$3,0,0,'Données projet'!$E$15+1,1))</f>
        <v>269.77739619445515</v>
      </c>
      <c r="EP11" s="59">
        <f t="shared" si="46"/>
        <v>347.56964743629885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1.9</v>
      </c>
      <c r="FE11" s="12">
        <f>IF('Données projet'!$A$218&gt;35,FE10+FD11-FM10,IF(A11&lt;'Données projet'!$A$218,$FB$205^A11,IF(A11='Données projet'!$A$218,'Données projet'!$B$218,FE10+FD11-FM10)))</f>
        <v>10.543938903738736</v>
      </c>
      <c r="FF11" s="17">
        <f>FE11*VLOOKUP('Données projet'!$B$16,Paramètres!$A$1:$I$89,3,0)*VLOOKUP('Données projet'!$B$16,Paramètres!$A$1:$I$89,5,0)</f>
        <v>8.3887577918145393</v>
      </c>
      <c r="FG11" s="13">
        <f t="shared" si="47"/>
        <v>3.0180839306915423</v>
      </c>
      <c r="FH11" s="20">
        <f t="shared" si="22"/>
        <v>19.866916000031427</v>
      </c>
      <c r="FI11" s="59">
        <f t="shared" si="23"/>
        <v>313.20024933336475</v>
      </c>
      <c r="FJ11" s="59">
        <f ca="1">AVERAGE(OFFSET($FI$3,0,0,'Données projet'!$E$16+1,1))-AVERAGE(OFFSET($H$3,0,0,'Données projet'!$E$16+1,1))</f>
        <v>331.52724290297675</v>
      </c>
      <c r="FK11" s="59">
        <f t="shared" si="48"/>
        <v>322.79102610158054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3.7333333333333334</v>
      </c>
      <c r="FZ11" s="12">
        <f>IF('Données projet'!$A$244&gt;35,FZ10+FY11-GH10,IF(A11&lt;'Données projet'!$A$244,$FW$205^A11,IF(A11='Données projet'!$A$244,'Données projet'!$B$244,FZ10+FY11-GH10)))</f>
        <v>8.5578948832803157</v>
      </c>
      <c r="GA11" s="17">
        <f>FZ11*VLOOKUP('Données projet'!$B$17,Paramètres!$A$1:$I$89,3,0)*VLOOKUP('Données projet'!$B$17,Paramètres!$A$1:$I$89,5,0)</f>
        <v>4.2276000723404765</v>
      </c>
      <c r="GB11" s="13">
        <f t="shared" si="49"/>
        <v>1.6472845757528478</v>
      </c>
      <c r="GC11" s="20">
        <f t="shared" si="25"/>
        <v>10.232090762095874</v>
      </c>
      <c r="GD11" s="59">
        <f t="shared" si="26"/>
        <v>303.56542409542919</v>
      </c>
      <c r="GE11" s="59">
        <f ca="1">AVERAGE(OFFSET($GD$3,0,0,'Données projet'!$E$17+1,1))-AVERAGE(OFFSET($H$3,0,0,'Données projet'!$E$17+1,1))</f>
        <v>434.08297999735811</v>
      </c>
      <c r="GF11" s="59">
        <f t="shared" si="50"/>
        <v>371.04090283546122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4.2666666666666666</v>
      </c>
      <c r="GU11" s="12">
        <f>IF('Données projet'!$A$270&gt;35,GU10+GT11-HC10,IF(A11&lt;'Données projet'!$A$270,$GR$205^A11,IF(A11='Données projet'!$A$270,'Données projet'!$B$270,GU10+GT11-HC10)))</f>
        <v>9.1895868399762737</v>
      </c>
      <c r="GV11" s="17">
        <f>GU11*VLOOKUP('Données projet'!$B$18,Paramètres!$A$1:$I$89,3,0)*VLOOKUP('Données projet'!$B$18,Paramètres!$A$1:$I$89,5,0)</f>
        <v>5.2564436724664292</v>
      </c>
      <c r="GW11" s="13">
        <f t="shared" si="51"/>
        <v>1.9968963779945548</v>
      </c>
      <c r="GX11" s="20">
        <f t="shared" si="28"/>
        <v>12.632900587886214</v>
      </c>
      <c r="GY11" s="59">
        <f t="shared" si="29"/>
        <v>305.96623392121955</v>
      </c>
      <c r="GZ11" s="59">
        <f ca="1">AVERAGE(OFFSET($GY$3,0,0,'Données projet'!$E$18+1,1))-AVERAGE(OFFSET($H$3,0,0,'Données projet'!$E$18+1,1))</f>
        <v>362.57172983134313</v>
      </c>
      <c r="HA11" s="59">
        <f t="shared" si="52"/>
        <v>232.03250917542471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">
      <c r="A12" s="10">
        <f t="shared" si="31"/>
        <v>9</v>
      </c>
      <c r="B12" s="71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5">
        <f t="shared" si="1"/>
        <v>303.80274897548452</v>
      </c>
      <c r="I12" s="6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2.4666666666666668</v>
      </c>
      <c r="N12" s="13">
        <f>IF('Données projet'!$A$36&gt;35,N11+M12-V11,IF(A12&lt;'Données projet'!$A$36,$K$205^A12,IF(A12='Données projet'!$A$36,'Données projet'!$B$36,N11+M12-V11)))</f>
        <v>8.7281265486761299</v>
      </c>
      <c r="O12" s="13">
        <f>N12*VLOOKUP('Données projet'!$B$9,Paramètres!$A$1:$I$89,3,0)*VLOOKUP('Données projet'!$B$9,Paramètres!$A$1:$I$89,5,0)</f>
        <v>6.9440974821267289</v>
      </c>
      <c r="P12" s="13">
        <f t="shared" si="33"/>
        <v>2.5538994442566798</v>
      </c>
      <c r="Q12" s="20">
        <f t="shared" si="2"/>
        <v>16.542344646784436</v>
      </c>
      <c r="R12" s="59">
        <f t="shared" si="0"/>
        <v>309.87567798011776</v>
      </c>
      <c r="S12" s="59">
        <f ca="1">AVERAGE(OFFSET($R$3,0,0,'Données projet'!$E$9+1,1))-AVERAGE(OFFSET($H$3,0,0,'Données projet'!$E$9+1,1))</f>
        <v>225.2323446080772</v>
      </c>
      <c r="T12" s="59">
        <f t="shared" si="34"/>
        <v>222.29030402759292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1.8666666666666667</v>
      </c>
      <c r="AI12" s="13">
        <f>IF('Données projet'!$A$62&gt;35,AI11+AH12-AQ11,IF(A12&lt;'Données projet'!$A$62,$AF$205^A12,IF(A12='Données projet'!$A$62,'Données projet'!$B$62,AI11+AH12-AQ11)))</f>
        <v>7.3840532307432198</v>
      </c>
      <c r="AJ12" s="13">
        <f>AI12*VLOOKUP('Données projet'!$B$10,Paramètres!$A$1:$I$89,3,0)*VLOOKUP('Données projet'!$B$10,Paramètres!$A$1:$I$89,5,0)</f>
        <v>3.6477222959871507</v>
      </c>
      <c r="AK12" s="13">
        <f t="shared" si="35"/>
        <v>1.4459540726699431</v>
      </c>
      <c r="AL12" s="20">
        <f t="shared" si="4"/>
        <v>8.8714863420777714</v>
      </c>
      <c r="AM12" s="59">
        <f t="shared" si="5"/>
        <v>302.2048196754111</v>
      </c>
      <c r="AN12" s="59">
        <f ca="1">AVERAGE(OFFSET($AM$3,0,0,'Données projet'!$E$10+1,1))-AVERAGE(OFFSET($H$3,0,0,'Données projet'!$E$10+1,1))</f>
        <v>360.05819346986135</v>
      </c>
      <c r="AO12" s="59">
        <f t="shared" si="36"/>
        <v>300.47468388351081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</v>
      </c>
      <c r="BD12" s="12">
        <f>IF('Données projet'!$A$88&gt;35,BD11+BC12-BL11,IF(A12&lt;'Données projet'!$A$88,$BA$205^A12,IF(A12='Données projet'!$A$88,'Données projet'!$B$88,BD11+BC12-BL11)))</f>
        <v>7.6961363407260812</v>
      </c>
      <c r="BE12" s="13">
        <f>BD12*VLOOKUP('Données projet'!$B$11,Paramètres!$A$1:$I$89,3,0)*VLOOKUP('Données projet'!$B$11,Paramètres!$A$1:$I$89,5,0)</f>
        <v>4.4021899868953192</v>
      </c>
      <c r="BF12" s="13">
        <f t="shared" si="37"/>
        <v>1.7072526689076328</v>
      </c>
      <c r="BG12" s="20">
        <f t="shared" si="7"/>
        <v>10.640612625523474</v>
      </c>
      <c r="BH12" s="59">
        <f t="shared" si="8"/>
        <v>303.9739459588568</v>
      </c>
      <c r="BI12" s="59">
        <f ca="1">AVERAGE(OFFSET($BH$3,0,0,'Données projet'!$E$11+1,1))-AVERAGE(OFFSET($H$3,0,0,'Données projet'!$E$11+1,1))</f>
        <v>250.90038883668348</v>
      </c>
      <c r="BJ12" s="59">
        <f t="shared" si="38"/>
        <v>141.96132114475608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1.1000000000000001</v>
      </c>
      <c r="BY12" s="12">
        <f>IF('Données projet'!$A$114&gt;35,BY11+BX12-CG11,IF(A12&lt;'Données projet'!$A$114,$BV$205^A12,IF(A12='Données projet'!$A$114,'Données projet'!$B$114,BY11+BX12-CG11)))</f>
        <v>8.6547278641645029</v>
      </c>
      <c r="BZ12" s="13">
        <f>BY12*VLOOKUP('Données projet'!$B$12,Paramètres!$A$1:$I$89,3,0)*VLOOKUP('Données projet'!$B$12,Paramètres!$A$1:$I$89,5,0)</f>
        <v>6.8857014887292793</v>
      </c>
      <c r="CA12" s="13">
        <f t="shared" si="39"/>
        <v>2.5349131627802968</v>
      </c>
      <c r="CB12" s="20">
        <f t="shared" si="10"/>
        <v>16.407570518045844</v>
      </c>
      <c r="CC12" s="59">
        <f t="shared" si="11"/>
        <v>309.74090385137913</v>
      </c>
      <c r="CD12" s="59">
        <f ca="1">AVERAGE(OFFSET($CC$3,0,0,'Données projet'!$E$12+1,1))-AVERAGE(OFFSET($H$3,0,0,'Données projet'!$E$12+1,1))</f>
        <v>279.49721661620544</v>
      </c>
      <c r="CE12" s="59">
        <f t="shared" si="40"/>
        <v>275.18739333988754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2.8</v>
      </c>
      <c r="CT12" s="12">
        <f>IF('Données projet'!$A$140&gt;35,CT11+CS12-DB11,IF(A12&lt;'Données projet'!$A$140,$CQ$205^A12,IF(A12='Données projet'!$A$140,'Données projet'!$B$140,CT11+CS12-DB11)))</f>
        <v>9.4178024044149247</v>
      </c>
      <c r="CU12" s="17">
        <f>CT12*VLOOKUP('Données projet'!$B$13,Paramètres!$A$1:$I$89,3,0)*VLOOKUP('Données projet'!$B$13,Paramètres!$A$1:$I$89,5,0)</f>
        <v>4.6523943877809728</v>
      </c>
      <c r="CV12" s="13">
        <f t="shared" si="41"/>
        <v>1.7927141265838018</v>
      </c>
      <c r="CW12" s="20">
        <f t="shared" si="13"/>
        <v>11.225230662518648</v>
      </c>
      <c r="CX12" s="59">
        <f t="shared" si="14"/>
        <v>304.55856399585196</v>
      </c>
      <c r="CY12" s="59">
        <f ca="1">AVERAGE(OFFSET($CX$3,0,0,'Données projet'!$E$13+1,1))-AVERAGE(OFFSET($H$3,0,0,'Données projet'!$E$13+1,1))</f>
        <v>396.27049617044378</v>
      </c>
      <c r="CZ12" s="59">
        <f t="shared" si="42"/>
        <v>335.2680289568774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3.0666666666666669</v>
      </c>
      <c r="DO12" s="12">
        <f>IF('Données projet'!$A$166&gt;35,DO11+DN12-DW11,IF(A12&lt;'Données projet'!$A$166,$DL$205^A12,IF(A12='Données projet'!$A$166,'Données projet'!$B$166,DO11+DN12-DW11)))</f>
        <v>9.94614300064665</v>
      </c>
      <c r="DP12" s="17">
        <f>DO12*VLOOKUP('Données projet'!$B$14,Paramètres!$A$1:$I$89,3,0)*VLOOKUP('Données projet'!$B$14,Paramètres!$A$1:$I$89,5,0)</f>
        <v>5.6891937963698842</v>
      </c>
      <c r="DQ12" s="13">
        <f t="shared" si="43"/>
        <v>2.1414842663800817</v>
      </c>
      <c r="DR12" s="20">
        <f t="shared" si="16"/>
        <v>13.638430959289522</v>
      </c>
      <c r="DS12" s="59">
        <f t="shared" si="17"/>
        <v>306.97176429262282</v>
      </c>
      <c r="DT12" s="59">
        <f ca="1">AVERAGE(OFFSET($DS$3,0,0,'Données projet'!$E$14+1,1))-AVERAGE(OFFSET($H$3,0,0,'Données projet'!$E$14+1,1))</f>
        <v>307.43900954374504</v>
      </c>
      <c r="DU12" s="59">
        <f t="shared" si="44"/>
        <v>185.25270859048999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8.5833333333333339</v>
      </c>
      <c r="EJ12" s="12">
        <f>IF('Données projet'!$A$192&gt;35,EJ11+EI12-ER11,IF(A12&lt;'Données projet'!$A$192,$EG$205^A12,IF(A12='Données projet'!$A$192,'Données projet'!$B$192,EJ11+EI12-ER11)))</f>
        <v>32.331653703522484</v>
      </c>
      <c r="EK12" s="17">
        <f>EJ12*VLOOKUP('Données projet'!$B$15,Paramètres!$A$1:$I$89,3,0)*VLOOKUP('Données projet'!$B$15,Paramètres!$A$1:$I$89,5,0)</f>
        <v>20.174951910998029</v>
      </c>
      <c r="EL12" s="13">
        <f t="shared" si="45"/>
        <v>6.55366740084217</v>
      </c>
      <c r="EM12" s="20">
        <f t="shared" si="19"/>
        <v>46.552345301455006</v>
      </c>
      <c r="EN12" s="59">
        <f t="shared" si="20"/>
        <v>339.88567863478829</v>
      </c>
      <c r="EO12" s="59">
        <f ca="1">AVERAGE(OFFSET($EN$3,0,0,'Données projet'!$E$15+1,1))-AVERAGE(OFFSET($H$3,0,0,'Données projet'!$E$15+1,1))</f>
        <v>269.77739619445515</v>
      </c>
      <c r="EP12" s="59">
        <f t="shared" si="46"/>
        <v>347.56964743629885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1.9</v>
      </c>
      <c r="FE12" s="12">
        <f>IF('Données projet'!$A$218&gt;35,FE11+FD12-FM11,IF(A12&lt;'Données projet'!$A$218,$FB$205^A12,IF(A12='Données projet'!$A$218,'Données projet'!$B$218,FE11+FD12-FM11)))</f>
        <v>14.153969025366564</v>
      </c>
      <c r="FF12" s="17">
        <f>FE12*VLOOKUP('Données projet'!$B$16,Paramètres!$A$1:$I$89,3,0)*VLOOKUP('Données projet'!$B$16,Paramètres!$A$1:$I$89,5,0)</f>
        <v>11.260897756581638</v>
      </c>
      <c r="FG12" s="13">
        <f t="shared" si="47"/>
        <v>3.9149117911590028</v>
      </c>
      <c r="FH12" s="20">
        <f t="shared" si="22"/>
        <v>26.431201628981615</v>
      </c>
      <c r="FI12" s="59">
        <f t="shared" si="23"/>
        <v>319.76453496231494</v>
      </c>
      <c r="FJ12" s="59">
        <f ca="1">AVERAGE(OFFSET($FI$3,0,0,'Données projet'!$E$16+1,1))-AVERAGE(OFFSET($H$3,0,0,'Données projet'!$E$16+1,1))</f>
        <v>331.52724290297675</v>
      </c>
      <c r="FK12" s="59">
        <f t="shared" si="48"/>
        <v>322.79102610158054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3.7333333333333334</v>
      </c>
      <c r="FZ12" s="12">
        <f>IF('Données projet'!$A$244&gt;35,FZ11+FY12-GH11,IF(A12&lt;'Données projet'!$A$244,$FW$205^A12,IF(A12='Données projet'!$A$244,'Données projet'!$B$244,FZ11+FY12-GH11)))</f>
        <v>11.192131809832121</v>
      </c>
      <c r="GA12" s="17">
        <f>FZ12*VLOOKUP('Données projet'!$B$17,Paramètres!$A$1:$I$89,3,0)*VLOOKUP('Données projet'!$B$17,Paramètres!$A$1:$I$89,5,0)</f>
        <v>5.5289131140570689</v>
      </c>
      <c r="GB12" s="13">
        <f t="shared" si="49"/>
        <v>2.0880868643155912</v>
      </c>
      <c r="GC12" s="20">
        <f t="shared" si="25"/>
        <v>13.266274962332382</v>
      </c>
      <c r="GD12" s="59">
        <f t="shared" si="26"/>
        <v>306.59960829566569</v>
      </c>
      <c r="GE12" s="59">
        <f ca="1">AVERAGE(OFFSET($GD$3,0,0,'Données projet'!$E$17+1,1))-AVERAGE(OFFSET($H$3,0,0,'Données projet'!$E$17+1,1))</f>
        <v>434.08297999735811</v>
      </c>
      <c r="GF12" s="59">
        <f t="shared" si="50"/>
        <v>371.04090283546122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4.2666666666666666</v>
      </c>
      <c r="GU12" s="12">
        <f>IF('Données projet'!$A$270&gt;35,GU11+GT12-HC11,IF(A12&lt;'Données projet'!$A$270,$GR$205^A12,IF(A12='Données projet'!$A$270,'Données projet'!$B$270,GU11+GT12-HC11)))</f>
        <v>12.125732532083175</v>
      </c>
      <c r="GV12" s="17">
        <f>GU12*VLOOKUP('Données projet'!$B$18,Paramètres!$A$1:$I$89,3,0)*VLOOKUP('Données projet'!$B$18,Paramètres!$A$1:$I$89,5,0)</f>
        <v>6.9359190083515765</v>
      </c>
      <c r="GW12" s="13">
        <f t="shared" si="51"/>
        <v>2.5512415007967935</v>
      </c>
      <c r="GX12" s="20">
        <f t="shared" si="28"/>
        <v>16.523471220100078</v>
      </c>
      <c r="GY12" s="59">
        <f t="shared" si="29"/>
        <v>309.85680455343339</v>
      </c>
      <c r="GZ12" s="59">
        <f ca="1">AVERAGE(OFFSET($GY$3,0,0,'Données projet'!$E$18+1,1))-AVERAGE(OFFSET($H$3,0,0,'Données projet'!$E$18+1,1))</f>
        <v>362.57172983134313</v>
      </c>
      <c r="HA12" s="59">
        <f t="shared" si="52"/>
        <v>232.03250917542471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">
      <c r="A13" s="10">
        <f t="shared" si="31"/>
        <v>10</v>
      </c>
      <c r="B13" s="71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5">
        <f t="shared" si="1"/>
        <v>304.92633870438061</v>
      </c>
      <c r="I13" s="6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2.4666666666666668</v>
      </c>
      <c r="N13" s="13">
        <f>IF('Données projet'!$A$36&gt;35,N12+M13-V12,IF(A13&lt;'Données projet'!$A$36,$K$205^A13,IF(A13='Données projet'!$A$36,'Données projet'!$B$36,N12+M13-V12)))</f>
        <v>11.103702468586782</v>
      </c>
      <c r="O13" s="13">
        <f>N13*VLOOKUP('Données projet'!$B$9,Paramètres!$A$1:$I$89,3,0)*VLOOKUP('Données projet'!$B$9,Paramètres!$A$1:$I$89,5,0)</f>
        <v>8.8341056840076444</v>
      </c>
      <c r="P13" s="13">
        <f t="shared" si="33"/>
        <v>3.1592306185484516</v>
      </c>
      <c r="Q13" s="20">
        <f t="shared" si="2"/>
        <v>20.888394060285197</v>
      </c>
      <c r="R13" s="59">
        <f t="shared" si="0"/>
        <v>314.22172739361849</v>
      </c>
      <c r="S13" s="59">
        <f ca="1">AVERAGE(OFFSET($R$3,0,0,'Données projet'!$E$9+1,1))-AVERAGE(OFFSET($H$3,0,0,'Données projet'!$E$9+1,1))</f>
        <v>225.2323446080772</v>
      </c>
      <c r="T13" s="59">
        <f t="shared" si="34"/>
        <v>222.29030402759292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1.8666666666666667</v>
      </c>
      <c r="AI13" s="13">
        <f>IF('Données projet'!$A$62&gt;35,AI12+AH13-AQ12,IF(A13&lt;'Données projet'!$A$62,$AF$205^A13,IF(A13='Données projet'!$A$62,'Données projet'!$B$62,AI12+AH13-AQ12)))</f>
        <v>9.2208725841168899</v>
      </c>
      <c r="AJ13" s="13">
        <f>AI13*VLOOKUP('Données projet'!$B$10,Paramètres!$A$1:$I$89,3,0)*VLOOKUP('Données projet'!$B$10,Paramètres!$A$1:$I$89,5,0)</f>
        <v>4.555111056553744</v>
      </c>
      <c r="AK13" s="13">
        <f t="shared" si="35"/>
        <v>1.7595505760758181</v>
      </c>
      <c r="AL13" s="20">
        <f t="shared" si="4"/>
        <v>10.99803567682982</v>
      </c>
      <c r="AM13" s="59">
        <f t="shared" si="5"/>
        <v>304.33136901016314</v>
      </c>
      <c r="AN13" s="59">
        <f ca="1">AVERAGE(OFFSET($AM$3,0,0,'Données projet'!$E$10+1,1))-AVERAGE(OFFSET($H$3,0,0,'Données projet'!$E$10+1,1))</f>
        <v>360.05819346986135</v>
      </c>
      <c r="AO13" s="59">
        <f t="shared" si="36"/>
        <v>300.47468388351081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</v>
      </c>
      <c r="BD13" s="12">
        <f>IF('Données projet'!$A$88&gt;35,BD12+BC13-BL12,IF(A13&lt;'Données projet'!$A$88,$BA$205^A13,IF(A13='Données projet'!$A$88,'Données projet'!$B$88,BD12+BC13-BL12)))</f>
        <v>9.6548938460563001</v>
      </c>
      <c r="BE13" s="13">
        <f>BD13*VLOOKUP('Données projet'!$B$11,Paramètres!$A$1:$I$89,3,0)*VLOOKUP('Données projet'!$B$11,Paramètres!$A$1:$I$89,5,0)</f>
        <v>5.5225992799442034</v>
      </c>
      <c r="BF13" s="13">
        <f t="shared" si="37"/>
        <v>2.0859797575273347</v>
      </c>
      <c r="BG13" s="20">
        <f t="shared" si="7"/>
        <v>13.251608490262926</v>
      </c>
      <c r="BH13" s="59">
        <f t="shared" si="8"/>
        <v>306.58494182359624</v>
      </c>
      <c r="BI13" s="59">
        <f ca="1">AVERAGE(OFFSET($BH$3,0,0,'Données projet'!$E$11+1,1))-AVERAGE(OFFSET($H$3,0,0,'Données projet'!$E$11+1,1))</f>
        <v>250.90038883668348</v>
      </c>
      <c r="BJ13" s="59">
        <f t="shared" si="38"/>
        <v>141.96132114475608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11</v>
      </c>
      <c r="BW13" s="12">
        <f>VLOOKUP(A13,'Données projet'!$A$113:$I$133,9,0)</f>
        <v>1.1000000000000001</v>
      </c>
      <c r="BX13" s="12">
        <f t="array" ref="BX13">INDEX(BW:BW,MIN(IF(ISNUMBER(BW13:BW209),ROW(BW13:BW209),"")))</f>
        <v>1.1000000000000001</v>
      </c>
      <c r="BY13" s="12">
        <f>IF('Données projet'!$A$114&gt;35,BY12+BX13-CG12,IF(A13&lt;'Données projet'!$A$114,$BV$205^A13,IF(A13='Données projet'!$A$114,'Données projet'!$B$114,BY12+BX13-CG12)))</f>
        <v>11</v>
      </c>
      <c r="BZ13" s="13">
        <f>BY13*VLOOKUP('Données projet'!$B$12,Paramètres!$A$1:$I$89,3,0)*VLOOKUP('Données projet'!$B$12,Paramètres!$A$1:$I$89,5,0)</f>
        <v>8.7516000000000016</v>
      </c>
      <c r="CA13" s="13">
        <f t="shared" si="39"/>
        <v>3.1331453604025001</v>
      </c>
      <c r="CB13" s="20">
        <f t="shared" si="10"/>
        <v>20.699264836034356</v>
      </c>
      <c r="CC13" s="59">
        <f t="shared" si="11"/>
        <v>314.03259816936765</v>
      </c>
      <c r="CD13" s="59">
        <f ca="1">AVERAGE(OFFSET($CC$3,0,0,'Données projet'!$E$12+1,1))-AVERAGE(OFFSET($H$3,0,0,'Données projet'!$E$12+1,1))</f>
        <v>279.49721661620544</v>
      </c>
      <c r="CE13" s="59">
        <f t="shared" si="40"/>
        <v>275.18739333988754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2.8</v>
      </c>
      <c r="CT13" s="12">
        <f>IF('Données projet'!$A$140&gt;35,CT12+CS13-DB12,IF(A13&lt;'Données projet'!$A$140,$CQ$205^A13,IF(A13='Données projet'!$A$140,'Données projet'!$B$140,CT12+CS13-DB12)))</f>
        <v>12.08276123596054</v>
      </c>
      <c r="CU13" s="17">
        <f>CT13*VLOOKUP('Données projet'!$B$13,Paramètres!$A$1:$I$89,3,0)*VLOOKUP('Données projet'!$B$13,Paramètres!$A$1:$I$89,5,0)</f>
        <v>5.9688840505645064</v>
      </c>
      <c r="CV13" s="13">
        <f t="shared" si="41"/>
        <v>2.2342473196673369</v>
      </c>
      <c r="CW13" s="20">
        <f t="shared" si="13"/>
        <v>14.287120469820463</v>
      </c>
      <c r="CX13" s="59">
        <f t="shared" si="14"/>
        <v>307.62045380315379</v>
      </c>
      <c r="CY13" s="59">
        <f ca="1">AVERAGE(OFFSET($CX$3,0,0,'Données projet'!$E$13+1,1))-AVERAGE(OFFSET($H$3,0,0,'Données projet'!$E$13+1,1))</f>
        <v>396.27049617044378</v>
      </c>
      <c r="CZ13" s="59">
        <f t="shared" si="42"/>
        <v>335.2680289568774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3.0666666666666669</v>
      </c>
      <c r="DO13" s="12">
        <f>IF('Données projet'!$A$166&gt;35,DO12+DN13-DW12,IF(A13&lt;'Données projet'!$A$166,$DL$205^A13,IF(A13='Données projet'!$A$166,'Données projet'!$B$166,DO12+DN13-DW12)))</f>
        <v>12.838232045991901</v>
      </c>
      <c r="DP13" s="17">
        <f>DO13*VLOOKUP('Données projet'!$B$14,Paramètres!$A$1:$I$89,3,0)*VLOOKUP('Données projet'!$B$14,Paramètres!$A$1:$I$89,5,0)</f>
        <v>7.343468730307368</v>
      </c>
      <c r="DQ13" s="13">
        <f t="shared" si="43"/>
        <v>2.6832578543857961</v>
      </c>
      <c r="DR13" s="20">
        <f t="shared" si="16"/>
        <v>17.463215468340593</v>
      </c>
      <c r="DS13" s="59">
        <f t="shared" si="17"/>
        <v>310.79654880167391</v>
      </c>
      <c r="DT13" s="59">
        <f ca="1">AVERAGE(OFFSET($DS$3,0,0,'Données projet'!$E$14+1,1))-AVERAGE(OFFSET($H$3,0,0,'Données projet'!$E$14+1,1))</f>
        <v>307.43900954374504</v>
      </c>
      <c r="DU13" s="59">
        <f t="shared" si="44"/>
        <v>185.25270859048999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8.5833333333333339</v>
      </c>
      <c r="EJ13" s="12">
        <f>IF('Données projet'!$A$192&gt;35,EJ12+EI13-ER12,IF(A13&lt;'Données projet'!$A$192,$EG$205^A13,IF(A13='Données projet'!$A$192,'Données projet'!$B$192,EJ12+EI13-ER12)))</f>
        <v>47.573417856685268</v>
      </c>
      <c r="EK13" s="17">
        <f>EJ13*VLOOKUP('Données projet'!$B$15,Paramètres!$A$1:$I$89,3,0)*VLOOKUP('Données projet'!$B$15,Paramètres!$A$1:$I$89,5,0)</f>
        <v>29.685812742571606</v>
      </c>
      <c r="EL13" s="13">
        <f t="shared" si="45"/>
        <v>9.2192652728519882</v>
      </c>
      <c r="EM13" s="20">
        <f t="shared" si="19"/>
        <v>67.759677543529421</v>
      </c>
      <c r="EN13" s="59">
        <f t="shared" si="20"/>
        <v>361.09301087686276</v>
      </c>
      <c r="EO13" s="59">
        <f ca="1">AVERAGE(OFFSET($EN$3,0,0,'Données projet'!$E$15+1,1))-AVERAGE(OFFSET($H$3,0,0,'Données projet'!$E$15+1,1))</f>
        <v>269.77739619445515</v>
      </c>
      <c r="EP13" s="59">
        <f t="shared" si="46"/>
        <v>347.56964743629885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>
        <f>VLOOKUP(A13,'Données projet'!$A$217:$I$237,2,0)</f>
        <v>19</v>
      </c>
      <c r="FC13" s="12">
        <f>VLOOKUP(A13,'Données projet'!$A$217:$I$237,9,0)</f>
        <v>1.9</v>
      </c>
      <c r="FD13" s="12">
        <f t="array" ref="FD13">INDEX(FC:FC,MIN(IF(ISNUMBER(FC13:FC209),ROW(FC13:FC209),"")))</f>
        <v>1.9</v>
      </c>
      <c r="FE13" s="12">
        <f>IF('Données projet'!$A$218&gt;35,FE12+FD13-FM12,IF(A13&lt;'Données projet'!$A$218,$FB$205^A13,IF(A13='Données projet'!$A$218,'Données projet'!$B$218,FE12+FD13-FM12)))</f>
        <v>19</v>
      </c>
      <c r="FF13" s="17">
        <f>FE13*VLOOKUP('Données projet'!$B$16,Paramètres!$A$1:$I$89,3,0)*VLOOKUP('Données projet'!$B$16,Paramètres!$A$1:$I$89,5,0)</f>
        <v>15.116400000000001</v>
      </c>
      <c r="FG13" s="13">
        <f t="shared" si="47"/>
        <v>5.0782333044806913</v>
      </c>
      <c r="FH13" s="20">
        <f t="shared" si="22"/>
        <v>35.172319671970541</v>
      </c>
      <c r="FI13" s="59">
        <f t="shared" si="23"/>
        <v>328.50565300530388</v>
      </c>
      <c r="FJ13" s="59">
        <f ca="1">AVERAGE(OFFSET($FI$3,0,0,'Données projet'!$E$16+1,1))-AVERAGE(OFFSET($H$3,0,0,'Données projet'!$E$16+1,1))</f>
        <v>331.52724290297675</v>
      </c>
      <c r="FK13" s="59">
        <f t="shared" si="48"/>
        <v>322.79102610158054</v>
      </c>
      <c r="FL13" s="15">
        <f>IF(ISNA(VLOOKUP(A13,'Données projet'!$A$217:$I$237,3,0)),0,VLOOKUP(A13,'Données projet'!$A$217:$I$237,3,0))</f>
        <v>1</v>
      </c>
      <c r="FM13" s="15">
        <f>IF(ISNA(VLOOKUP(A13,'Données projet'!$A$217:$I$237,4,0)),0,VLOOKUP(A13,'Données projet'!$A$217:$I$237,4,0))</f>
        <v>7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3.7333333333333334</v>
      </c>
      <c r="FZ13" s="12">
        <f>IF('Données projet'!$A$244&gt;35,FZ12+FY13-GH12,IF(A13&lt;'Données projet'!$A$244,$FW$205^A13,IF(A13='Données projet'!$A$244,'Données projet'!$B$244,FZ12+FY13-GH12)))</f>
        <v>14.637222840091875</v>
      </c>
      <c r="GA13" s="17">
        <f>FZ13*VLOOKUP('Données projet'!$B$17,Paramètres!$A$1:$I$89,3,0)*VLOOKUP('Données projet'!$B$17,Paramètres!$A$1:$I$89,5,0)</f>
        <v>7.230788083005387</v>
      </c>
      <c r="GB13" s="13">
        <f t="shared" si="49"/>
        <v>2.6468448846700614</v>
      </c>
      <c r="GC13" s="20">
        <f t="shared" si="25"/>
        <v>17.203544085368073</v>
      </c>
      <c r="GD13" s="59">
        <f t="shared" si="26"/>
        <v>310.53687741870141</v>
      </c>
      <c r="GE13" s="59">
        <f ca="1">AVERAGE(OFFSET($GD$3,0,0,'Données projet'!$E$17+1,1))-AVERAGE(OFFSET($H$3,0,0,'Données projet'!$E$17+1,1))</f>
        <v>434.08297999735811</v>
      </c>
      <c r="GF13" s="59">
        <f t="shared" si="50"/>
        <v>371.04090283546122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4.2666666666666666</v>
      </c>
      <c r="GU13" s="12">
        <f>IF('Données projet'!$A$270&gt;35,GU12+GT13-HC12,IF(A13&lt;'Données projet'!$A$270,$GR$205^A13,IF(A13='Données projet'!$A$270,'Données projet'!$B$270,GU12+GT13-HC12)))</f>
        <v>15.999999999999986</v>
      </c>
      <c r="GV13" s="17">
        <f>GU13*VLOOKUP('Données projet'!$B$18,Paramètres!$A$1:$I$89,3,0)*VLOOKUP('Données projet'!$B$18,Paramètres!$A$1:$I$89,5,0)</f>
        <v>9.1519999999999921</v>
      </c>
      <c r="GW13" s="13">
        <f t="shared" si="51"/>
        <v>3.2594746863753503</v>
      </c>
      <c r="GX13" s="20">
        <f t="shared" si="28"/>
        <v>21.616651745437053</v>
      </c>
      <c r="GY13" s="59">
        <f t="shared" si="29"/>
        <v>314.9499850787704</v>
      </c>
      <c r="GZ13" s="59">
        <f ca="1">AVERAGE(OFFSET($GY$3,0,0,'Données projet'!$E$18+1,1))-AVERAGE(OFFSET($H$3,0,0,'Données projet'!$E$18+1,1))</f>
        <v>362.57172983134313</v>
      </c>
      <c r="HA13" s="59">
        <f t="shared" si="52"/>
        <v>232.03250917542471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">
      <c r="A14" s="10">
        <f t="shared" si="31"/>
        <v>11</v>
      </c>
      <c r="B14" s="71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5">
        <f t="shared" si="1"/>
        <v>306.04661462698317</v>
      </c>
      <c r="I14" s="6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2.4666666666666668</v>
      </c>
      <c r="N14" s="13">
        <f>IF('Données projet'!$A$36&gt;35,N13+M14-V13,IF(A14&lt;'Données projet'!$A$36,$K$205^A14,IF(A14='Données projet'!$A$36,'Données projet'!$B$36,N13+M14-V13)))</f>
        <v>14.125850240977657</v>
      </c>
      <c r="O14" s="13">
        <f>N14*VLOOKUP('Données projet'!$B$9,Paramètres!$A$1:$I$89,3,0)*VLOOKUP('Données projet'!$B$9,Paramètres!$A$1:$I$89,5,0)</f>
        <v>11.238526451721825</v>
      </c>
      <c r="P14" s="13">
        <f t="shared" si="33"/>
        <v>3.9080387928425129</v>
      </c>
      <c r="Q14" s="20">
        <f t="shared" si="2"/>
        <v>26.380267800949554</v>
      </c>
      <c r="R14" s="59">
        <f t="shared" si="0"/>
        <v>319.71360113428284</v>
      </c>
      <c r="S14" s="59">
        <f ca="1">AVERAGE(OFFSET($R$3,0,0,'Données projet'!$E$9+1,1))-AVERAGE(OFFSET($H$3,0,0,'Données projet'!$E$9+1,1))</f>
        <v>225.2323446080772</v>
      </c>
      <c r="T14" s="59">
        <f t="shared" si="34"/>
        <v>222.29030402759292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1.8666666666666667</v>
      </c>
      <c r="AI14" s="13">
        <f>IF('Données projet'!$A$62&gt;35,AI13+AH14-AQ13,IF(A14&lt;'Données projet'!$A$62,$AF$205^A14,IF(A14='Données projet'!$A$62,'Données projet'!$B$62,AI13+AH14-AQ13)))</f>
        <v>11.51460973473516</v>
      </c>
      <c r="AJ14" s="13">
        <f>AI14*VLOOKUP('Données projet'!$B$10,Paramètres!$A$1:$I$89,3,0)*VLOOKUP('Données projet'!$B$10,Paramètres!$A$1:$I$89,5,0)</f>
        <v>5.6882172089591689</v>
      </c>
      <c r="AK14" s="13">
        <f t="shared" si="35"/>
        <v>2.1411594519402462</v>
      </c>
      <c r="AL14" s="20">
        <f t="shared" si="4"/>
        <v>13.636164351066482</v>
      </c>
      <c r="AM14" s="59">
        <f t="shared" si="5"/>
        <v>306.96949768439981</v>
      </c>
      <c r="AN14" s="59">
        <f ca="1">AVERAGE(OFFSET($AM$3,0,0,'Données projet'!$E$10+1,1))-AVERAGE(OFFSET($H$3,0,0,'Données projet'!$E$10+1,1))</f>
        <v>360.05819346986135</v>
      </c>
      <c r="AO14" s="59">
        <f t="shared" si="36"/>
        <v>300.47468388351081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</v>
      </c>
      <c r="BD14" s="12">
        <f>IF('Données projet'!$A$88&gt;35,BD13+BC14-BL13,IF(A14&lt;'Données projet'!$A$88,$BA$205^A14,IF(A14='Données projet'!$A$88,'Données projet'!$B$88,BD13+BC14-BL13)))</f>
        <v>12.112178247848115</v>
      </c>
      <c r="BE14" s="13">
        <f>BD14*VLOOKUP('Données projet'!$B$11,Paramètres!$A$1:$I$89,3,0)*VLOOKUP('Données projet'!$B$11,Paramètres!$A$1:$I$89,5,0)</f>
        <v>6.9281659577691226</v>
      </c>
      <c r="BF14" s="13">
        <f t="shared" si="37"/>
        <v>2.5487214798720683</v>
      </c>
      <c r="BG14" s="20">
        <f t="shared" si="7"/>
        <v>16.505578953891739</v>
      </c>
      <c r="BH14" s="59">
        <f t="shared" si="8"/>
        <v>309.83891228722507</v>
      </c>
      <c r="BI14" s="59">
        <f ca="1">AVERAGE(OFFSET($BH$3,0,0,'Données projet'!$E$11+1,1))-AVERAGE(OFFSET($H$3,0,0,'Données projet'!$E$11+1,1))</f>
        <v>250.90038883668348</v>
      </c>
      <c r="BJ14" s="59">
        <f t="shared" si="38"/>
        <v>141.96132114475608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10.8</v>
      </c>
      <c r="BY14" s="12">
        <f>IF('Données projet'!$A$114&gt;35,BY13+BX14-CG13,IF(A14&lt;'Données projet'!$A$114,$BV$205^A14,IF(A14='Données projet'!$A$114,'Données projet'!$B$114,BY13+BX14-CG13)))</f>
        <v>21.8</v>
      </c>
      <c r="BZ14" s="13">
        <f>BY14*VLOOKUP('Données projet'!$B$12,Paramètres!$A$1:$I$89,3,0)*VLOOKUP('Données projet'!$B$12,Paramètres!$A$1:$I$89,5,0)</f>
        <v>17.344080000000002</v>
      </c>
      <c r="CA14" s="13">
        <f t="shared" si="39"/>
        <v>5.7341113912136308</v>
      </c>
      <c r="CB14" s="20">
        <f t="shared" si="10"/>
        <v>40.194516673030414</v>
      </c>
      <c r="CC14" s="59">
        <f t="shared" si="11"/>
        <v>333.52785000636374</v>
      </c>
      <c r="CD14" s="59">
        <f ca="1">AVERAGE(OFFSET($CC$3,0,0,'Données projet'!$E$12+1,1))-AVERAGE(OFFSET($H$3,0,0,'Données projet'!$E$12+1,1))</f>
        <v>279.49721661620544</v>
      </c>
      <c r="CE14" s="59">
        <f t="shared" si="40"/>
        <v>275.18739333988754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2.8</v>
      </c>
      <c r="CT14" s="12">
        <f>IF('Données projet'!$A$140&gt;35,CT13+CS14-DB13,IF(A14&lt;'Données projet'!$A$140,$CQ$205^A14,IF(A14='Données projet'!$A$140,'Données projet'!$B$140,CT13+CS14-DB13)))</f>
        <v>15.501824397673841</v>
      </c>
      <c r="CU14" s="17">
        <f>CT14*VLOOKUP('Données projet'!$B$13,Paramètres!$A$1:$I$89,3,0)*VLOOKUP('Données projet'!$B$13,Paramètres!$A$1:$I$89,5,0)</f>
        <v>7.6579012524508778</v>
      </c>
      <c r="CV14" s="13">
        <f t="shared" si="41"/>
        <v>2.7845271097144622</v>
      </c>
      <c r="CW14" s="20">
        <f t="shared" si="13"/>
        <v>18.187229397437967</v>
      </c>
      <c r="CX14" s="59">
        <f t="shared" si="14"/>
        <v>311.5205627307713</v>
      </c>
      <c r="CY14" s="59">
        <f ca="1">AVERAGE(OFFSET($CX$3,0,0,'Données projet'!$E$13+1,1))-AVERAGE(OFFSET($H$3,0,0,'Données projet'!$E$13+1,1))</f>
        <v>396.27049617044378</v>
      </c>
      <c r="CZ14" s="59">
        <f t="shared" si="42"/>
        <v>335.2680289568774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3.0666666666666669</v>
      </c>
      <c r="DO14" s="12">
        <f>IF('Données projet'!$A$166&gt;35,DO13+DN14-DW13,IF(A14&lt;'Données projet'!$A$166,$DL$205^A14,IF(A14='Données projet'!$A$166,'Données projet'!$B$166,DO13+DN14-DW13)))</f>
        <v>16.571268084122419</v>
      </c>
      <c r="DP14" s="17">
        <f>DO14*VLOOKUP('Données projet'!$B$14,Paramètres!$A$1:$I$89,3,0)*VLOOKUP('Données projet'!$B$14,Paramètres!$A$1:$I$89,5,0)</f>
        <v>9.478765344118024</v>
      </c>
      <c r="DQ14" s="13">
        <f t="shared" si="43"/>
        <v>3.3620946117402837</v>
      </c>
      <c r="DR14" s="20">
        <f t="shared" si="16"/>
        <v>22.364497756453218</v>
      </c>
      <c r="DS14" s="59">
        <f t="shared" si="17"/>
        <v>315.69783108978652</v>
      </c>
      <c r="DT14" s="59">
        <f ca="1">AVERAGE(OFFSET($DS$3,0,0,'Données projet'!$E$14+1,1))-AVERAGE(OFFSET($H$3,0,0,'Données projet'!$E$14+1,1))</f>
        <v>307.43900954374504</v>
      </c>
      <c r="DU14" s="59">
        <f t="shared" si="44"/>
        <v>185.25270859048999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8.5833333333333339</v>
      </c>
      <c r="EJ14" s="12">
        <f>IF('Données projet'!$A$192&gt;35,EJ13+EI14-ER13,IF(A14&lt;'Données projet'!$A$192,$EG$205^A14,IF(A14='Données projet'!$A$192,'Données projet'!$B$192,EJ13+EI14-ER13)))</f>
        <v>70.000443136015818</v>
      </c>
      <c r="EK14" s="17">
        <f>EJ14*VLOOKUP('Données projet'!$B$15,Paramètres!$A$1:$I$89,3,0)*VLOOKUP('Données projet'!$B$15,Paramètres!$A$1:$I$89,5,0)</f>
        <v>43.680276516873867</v>
      </c>
      <c r="EL14" s="13">
        <f t="shared" si="45"/>
        <v>12.969051825897136</v>
      </c>
      <c r="EM14" s="20">
        <f t="shared" si="19"/>
        <v>98.664246863659471</v>
      </c>
      <c r="EN14" s="59">
        <f t="shared" si="20"/>
        <v>391.99758019699277</v>
      </c>
      <c r="EO14" s="59">
        <f ca="1">AVERAGE(OFFSET($EN$3,0,0,'Données projet'!$E$15+1,1))-AVERAGE(OFFSET($H$3,0,0,'Données projet'!$E$15+1,1))</f>
        <v>269.77739619445515</v>
      </c>
      <c r="EP14" s="59">
        <f t="shared" si="46"/>
        <v>347.56964743629885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14.6</v>
      </c>
      <c r="FE14" s="12">
        <f>IF('Données projet'!$A$218&gt;35,FE13+FD14-FM13,IF(A14&lt;'Données projet'!$A$218,$FB$205^A14,IF(A14='Données projet'!$A$218,'Données projet'!$B$218,FE13+FD14-FM13)))</f>
        <v>26.6</v>
      </c>
      <c r="FF14" s="17">
        <f>FE14*VLOOKUP('Données projet'!$B$16,Paramètres!$A$1:$I$89,3,0)*VLOOKUP('Données projet'!$B$16,Paramètres!$A$1:$I$89,5,0)</f>
        <v>21.162960000000002</v>
      </c>
      <c r="FG14" s="13">
        <f t="shared" si="47"/>
        <v>6.8364616466980515</v>
      </c>
      <c r="FH14" s="20">
        <f t="shared" si="22"/>
        <v>48.765659367999113</v>
      </c>
      <c r="FI14" s="59">
        <f t="shared" si="23"/>
        <v>342.09899270133241</v>
      </c>
      <c r="FJ14" s="59">
        <f ca="1">AVERAGE(OFFSET($FI$3,0,0,'Données projet'!$E$16+1,1))-AVERAGE(OFFSET($H$3,0,0,'Données projet'!$E$16+1,1))</f>
        <v>331.52724290297675</v>
      </c>
      <c r="FK14" s="59">
        <f t="shared" si="48"/>
        <v>322.79102610158054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3.7333333333333334</v>
      </c>
      <c r="FZ14" s="12">
        <f>IF('Données projet'!$A$244&gt;35,FZ13+FY14-GH13,IF(A14&lt;'Données projet'!$A$244,$FW$205^A14,IF(A14='Données projet'!$A$244,'Données projet'!$B$244,FZ13+FY14-GH13)))</f>
        <v>19.142759941613029</v>
      </c>
      <c r="GA14" s="17">
        <f>FZ14*VLOOKUP('Données projet'!$B$17,Paramètres!$A$1:$I$89,3,0)*VLOOKUP('Données projet'!$B$17,Paramètres!$A$1:$I$89,5,0)</f>
        <v>9.4565234111568373</v>
      </c>
      <c r="GB14" s="13">
        <f t="shared" si="49"/>
        <v>3.3551227983996466</v>
      </c>
      <c r="GC14" s="20">
        <f t="shared" si="25"/>
        <v>22.313617148310872</v>
      </c>
      <c r="GD14" s="59">
        <f t="shared" si="26"/>
        <v>315.64695048164418</v>
      </c>
      <c r="GE14" s="59">
        <f ca="1">AVERAGE(OFFSET($GD$3,0,0,'Données projet'!$E$17+1,1))-AVERAGE(OFFSET($H$3,0,0,'Données projet'!$E$17+1,1))</f>
        <v>434.08297999735811</v>
      </c>
      <c r="GF14" s="59">
        <f t="shared" si="50"/>
        <v>371.04090283546122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4.2666666666666666</v>
      </c>
      <c r="GU14" s="12">
        <f>IF('Données projet'!$A$270&gt;35,GU13+GT14-HC13,IF(A14&lt;'Données projet'!$A$270,$GR$205^A14,IF(A14='Données projet'!$A$270,'Données projet'!$B$270,GU13+GT14-HC13)))</f>
        <v>21.112126572366289</v>
      </c>
      <c r="GV14" s="17">
        <f>GU14*VLOOKUP('Données projet'!$B$18,Paramètres!$A$1:$I$89,3,0)*VLOOKUP('Données projet'!$B$18,Paramètres!$A$1:$I$89,5,0)</f>
        <v>12.076136399393517</v>
      </c>
      <c r="GW14" s="13">
        <f t="shared" si="51"/>
        <v>4.1643157763793006</v>
      </c>
      <c r="GX14" s="20">
        <f t="shared" si="28"/>
        <v>28.285454206137654</v>
      </c>
      <c r="GY14" s="59">
        <f t="shared" si="29"/>
        <v>321.61878753947099</v>
      </c>
      <c r="GZ14" s="59">
        <f ca="1">AVERAGE(OFFSET($GY$3,0,0,'Données projet'!$E$18+1,1))-AVERAGE(OFFSET($H$3,0,0,'Données projet'!$E$18+1,1))</f>
        <v>362.57172983134313</v>
      </c>
      <c r="HA14" s="59">
        <f t="shared" si="52"/>
        <v>232.03250917542471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">
      <c r="A15" s="10">
        <f t="shared" si="31"/>
        <v>12</v>
      </c>
      <c r="B15" s="71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5">
        <f t="shared" si="1"/>
        <v>307.1639122593399</v>
      </c>
      <c r="I15" s="6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2.4666666666666668</v>
      </c>
      <c r="N15" s="13">
        <f>IF('Données projet'!$A$36&gt;35,N14+M15-V14,IF(A15&lt;'Données projet'!$A$36,$K$205^A15,IF(A15='Données projet'!$A$36,'Données projet'!$B$36,N14+M15-V14)))</f>
        <v>17.970550417308221</v>
      </c>
      <c r="O15" s="13">
        <f>N15*VLOOKUP('Données projet'!$B$9,Paramètres!$A$1:$I$89,3,0)*VLOOKUP('Données projet'!$B$9,Paramètres!$A$1:$I$89,5,0)</f>
        <v>14.297369912010421</v>
      </c>
      <c r="P15" s="13">
        <f t="shared" si="33"/>
        <v>4.8343312187127445</v>
      </c>
      <c r="Q15" s="20">
        <f t="shared" si="2"/>
        <v>33.321046136009507</v>
      </c>
      <c r="R15" s="59">
        <f t="shared" si="0"/>
        <v>326.65437946934281</v>
      </c>
      <c r="S15" s="59">
        <f ca="1">AVERAGE(OFFSET($R$3,0,0,'Données projet'!$E$9+1,1))-AVERAGE(OFFSET($H$3,0,0,'Données projet'!$E$9+1,1))</f>
        <v>225.2323446080772</v>
      </c>
      <c r="T15" s="59">
        <f t="shared" si="34"/>
        <v>222.29030402759292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1.8666666666666667</v>
      </c>
      <c r="AI15" s="13">
        <f>IF('Données projet'!$A$62&gt;35,AI14+AH15-AQ14,IF(A15&lt;'Données projet'!$A$62,$AF$205^A15,IF(A15='Données projet'!$A$62,'Données projet'!$B$62,AI14+AH15-AQ14)))</f>
        <v>14.378925219250917</v>
      </c>
      <c r="AJ15" s="13">
        <f>AI15*VLOOKUP('Données projet'!$B$10,Paramètres!$A$1:$I$89,3,0)*VLOOKUP('Données projet'!$B$10,Paramètres!$A$1:$I$89,5,0)</f>
        <v>7.1031890583099528</v>
      </c>
      <c r="AK15" s="13">
        <f t="shared" si="35"/>
        <v>2.6055311287826881</v>
      </c>
      <c r="AL15" s="20">
        <f t="shared" si="4"/>
        <v>16.909354325853016</v>
      </c>
      <c r="AM15" s="59">
        <f t="shared" si="5"/>
        <v>310.24268765918634</v>
      </c>
      <c r="AN15" s="59">
        <f ca="1">AVERAGE(OFFSET($AM$3,0,0,'Données projet'!$E$10+1,1))-AVERAGE(OFFSET($H$3,0,0,'Données projet'!$E$10+1,1))</f>
        <v>360.05819346986135</v>
      </c>
      <c r="AO15" s="59">
        <f t="shared" si="36"/>
        <v>300.47468388351081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</v>
      </c>
      <c r="BD15" s="12">
        <f>IF('Données projet'!$A$88&gt;35,BD14+BC15-BL14,IF(A15&lt;'Données projet'!$A$88,$BA$205^A15,IF(A15='Données projet'!$A$88,'Données projet'!$B$88,BD14+BC15-BL14)))</f>
        <v>15.194870523363551</v>
      </c>
      <c r="BE15" s="13">
        <f>BD15*VLOOKUP('Données projet'!$B$11,Paramètres!$A$1:$I$89,3,0)*VLOOKUP('Données projet'!$B$11,Paramètres!$A$1:$I$89,5,0)</f>
        <v>8.6914659393639528</v>
      </c>
      <c r="BF15" s="13">
        <f t="shared" si="37"/>
        <v>3.1141151578869724</v>
      </c>
      <c r="BG15" s="20">
        <f t="shared" si="7"/>
        <v>20.561387077712027</v>
      </c>
      <c r="BH15" s="59">
        <f t="shared" si="8"/>
        <v>313.89472041104534</v>
      </c>
      <c r="BI15" s="59">
        <f ca="1">AVERAGE(OFFSET($BH$3,0,0,'Données projet'!$E$11+1,1))-AVERAGE(OFFSET($H$3,0,0,'Données projet'!$E$11+1,1))</f>
        <v>250.90038883668348</v>
      </c>
      <c r="BJ15" s="59">
        <f t="shared" si="38"/>
        <v>141.96132114475608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10.8</v>
      </c>
      <c r="BY15" s="12">
        <f>IF('Données projet'!$A$114&gt;35,BY14+BX15-CG14,IF(A15&lt;'Données projet'!$A$114,$BV$205^A15,IF(A15='Données projet'!$A$114,'Données projet'!$B$114,BY14+BX15-CG14)))</f>
        <v>32.6</v>
      </c>
      <c r="BZ15" s="13">
        <f>BY15*VLOOKUP('Données projet'!$B$12,Paramètres!$A$1:$I$89,3,0)*VLOOKUP('Données projet'!$B$12,Paramètres!$A$1:$I$89,5,0)</f>
        <v>25.936560000000004</v>
      </c>
      <c r="CA15" s="13">
        <f t="shared" si="39"/>
        <v>8.1824816304360635</v>
      </c>
      <c r="CB15" s="20">
        <f t="shared" si="10"/>
        <v>59.423997506342801</v>
      </c>
      <c r="CC15" s="59">
        <f t="shared" si="11"/>
        <v>352.75733083967611</v>
      </c>
      <c r="CD15" s="59">
        <f ca="1">AVERAGE(OFFSET($CC$3,0,0,'Données projet'!$E$12+1,1))-AVERAGE(OFFSET($H$3,0,0,'Données projet'!$E$12+1,1))</f>
        <v>279.49721661620544</v>
      </c>
      <c r="CE15" s="59">
        <f t="shared" si="40"/>
        <v>275.18739333988754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2.8</v>
      </c>
      <c r="CT15" s="12">
        <f>IF('Données projet'!$A$140&gt;35,CT14+CS15-DB14,IF(A15&lt;'Données projet'!$A$140,$CQ$205^A15,IF(A15='Données projet'!$A$140,'Données projet'!$B$140,CT14+CS15-DB14)))</f>
        <v>19.888381054913101</v>
      </c>
      <c r="CU15" s="17">
        <f>CT15*VLOOKUP('Données projet'!$B$13,Paramètres!$A$1:$I$89,3,0)*VLOOKUP('Données projet'!$B$13,Paramètres!$A$1:$I$89,5,0)</f>
        <v>9.8248602411270713</v>
      </c>
      <c r="CV15" s="13">
        <f t="shared" si="41"/>
        <v>3.4703370376602853</v>
      </c>
      <c r="CW15" s="20">
        <f t="shared" si="13"/>
        <v>23.155801927221308</v>
      </c>
      <c r="CX15" s="59">
        <f t="shared" si="14"/>
        <v>316.48913526055463</v>
      </c>
      <c r="CY15" s="59">
        <f ca="1">AVERAGE(OFFSET($CX$3,0,0,'Données projet'!$E$13+1,1))-AVERAGE(OFFSET($H$3,0,0,'Données projet'!$E$13+1,1))</f>
        <v>396.27049617044378</v>
      </c>
      <c r="CZ15" s="59">
        <f t="shared" si="42"/>
        <v>335.2680289568774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3.0666666666666669</v>
      </c>
      <c r="DO15" s="12">
        <f>IF('Données projet'!$A$166&gt;35,DO14+DN15-DW14,IF(A15&lt;'Données projet'!$A$166,$DL$205^A15,IF(A15='Données projet'!$A$166,'Données projet'!$B$166,DO14+DN15-DW14)))</f>
        <v>21.389777418892084</v>
      </c>
      <c r="DP15" s="17">
        <f>DO15*VLOOKUP('Données projet'!$B$14,Paramètres!$A$1:$I$89,3,0)*VLOOKUP('Données projet'!$B$14,Paramètres!$A$1:$I$89,5,0)</f>
        <v>12.234952683606272</v>
      </c>
      <c r="DQ15" s="13">
        <f t="shared" si="43"/>
        <v>4.2126701165961888</v>
      </c>
      <c r="DR15" s="20">
        <f t="shared" si="16"/>
        <v>28.64627637701928</v>
      </c>
      <c r="DS15" s="59">
        <f t="shared" si="17"/>
        <v>321.97960971035258</v>
      </c>
      <c r="DT15" s="59">
        <f ca="1">AVERAGE(OFFSET($DS$3,0,0,'Données projet'!$E$14+1,1))-AVERAGE(OFFSET($H$3,0,0,'Données projet'!$E$14+1,1))</f>
        <v>307.43900954374504</v>
      </c>
      <c r="DU15" s="59">
        <f t="shared" si="44"/>
        <v>185.25270859048999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>
        <f>VLOOKUP(A15,'Données projet'!$A$191:$I$211,2,0)</f>
        <v>103</v>
      </c>
      <c r="EH15" s="12">
        <f>VLOOKUP(A15,'Données projet'!$A$191:$I$211,9,0)</f>
        <v>8.5833333333333339</v>
      </c>
      <c r="EI15" s="12">
        <f t="array" ref="EI15">INDEX(EH:EH,MIN(IF(ISNUMBER(EH15:EH211),ROW(EH15:EH211),"")))</f>
        <v>8.5833333333333339</v>
      </c>
      <c r="EJ15" s="12">
        <f>IF('Données projet'!$A$192&gt;35,EJ14+EI15-ER14,IF(A15&lt;'Données projet'!$A$192,$EG$205^A15,IF(A15='Données projet'!$A$192,'Données projet'!$B$192,EJ14+EI15-ER14)))</f>
        <v>103</v>
      </c>
      <c r="EK15" s="17">
        <f>EJ15*VLOOKUP('Données projet'!$B$15,Paramètres!$A$1:$I$89,3,0)*VLOOKUP('Données projet'!$B$15,Paramètres!$A$1:$I$89,5,0)</f>
        <v>64.272000000000006</v>
      </c>
      <c r="EL15" s="13">
        <f t="shared" si="45"/>
        <v>18.244003213368217</v>
      </c>
      <c r="EM15" s="20">
        <f t="shared" si="19"/>
        <v>143.71537226328297</v>
      </c>
      <c r="EN15" s="59">
        <f t="shared" si="20"/>
        <v>437.04870559661629</v>
      </c>
      <c r="EO15" s="59">
        <f ca="1">AVERAGE(OFFSET($EN$3,0,0,'Données projet'!$E$15+1,1))-AVERAGE(OFFSET($H$3,0,0,'Données projet'!$E$15+1,1))</f>
        <v>269.77739619445515</v>
      </c>
      <c r="EP15" s="59">
        <f t="shared" si="46"/>
        <v>347.56964743629885</v>
      </c>
      <c r="EQ15" s="15">
        <f>IF(ISNA(VLOOKUP(A15,'Données projet'!$A$191:$I$211,3,0)),0,VLOOKUP(A15,'Données projet'!$A$191:$I$211,3,0))</f>
        <v>1</v>
      </c>
      <c r="ER15" s="15">
        <f>IF(ISNA(VLOOKUP(A15,'Données projet'!$A$191:$I$211,4,0)),0,VLOOKUP(A15,'Données projet'!$A$191:$I$211,4,0))</f>
        <v>18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1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12.717233165817262</v>
      </c>
      <c r="EY15" s="22">
        <f t="shared" si="21"/>
        <v>12.717233165817262</v>
      </c>
      <c r="EZ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14.6</v>
      </c>
      <c r="FE15" s="12">
        <f>IF('Données projet'!$A$218&gt;35,FE14+FD15-FM14,IF(A15&lt;'Données projet'!$A$218,$FB$205^A15,IF(A15='Données projet'!$A$218,'Données projet'!$B$218,FE14+FD15-FM14)))</f>
        <v>41.2</v>
      </c>
      <c r="FF15" s="17">
        <f>FE15*VLOOKUP('Données projet'!$B$16,Paramètres!$A$1:$I$89,3,0)*VLOOKUP('Données projet'!$B$16,Paramètres!$A$1:$I$89,5,0)</f>
        <v>32.77872</v>
      </c>
      <c r="FG15" s="13">
        <f t="shared" si="47"/>
        <v>10.063038810723747</v>
      </c>
      <c r="FH15" s="20">
        <f t="shared" si="22"/>
        <v>74.616063262010528</v>
      </c>
      <c r="FI15" s="59">
        <f t="shared" si="23"/>
        <v>367.94939659534384</v>
      </c>
      <c r="FJ15" s="59">
        <f ca="1">AVERAGE(OFFSET($FI$3,0,0,'Données projet'!$E$16+1,1))-AVERAGE(OFFSET($H$3,0,0,'Données projet'!$E$16+1,1))</f>
        <v>331.52724290297675</v>
      </c>
      <c r="FK15" s="59">
        <f t="shared" si="48"/>
        <v>322.79102610158054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3.7333333333333334</v>
      </c>
      <c r="FZ15" s="12">
        <f>IF('Données projet'!$A$244&gt;35,FZ14+FY15-GH14,IF(A15&lt;'Données projet'!$A$244,$FW$205^A15,IF(A15='Données projet'!$A$244,'Données projet'!$B$244,FZ14+FY15-GH14)))</f>
        <v>25.035162898423447</v>
      </c>
      <c r="GA15" s="17">
        <f>FZ15*VLOOKUP('Données projet'!$B$17,Paramètres!$A$1:$I$89,3,0)*VLOOKUP('Données projet'!$B$17,Paramètres!$A$1:$I$89,5,0)</f>
        <v>12.367370471821184</v>
      </c>
      <c r="GB15" s="13">
        <f t="shared" si="49"/>
        <v>4.2529311247282564</v>
      </c>
      <c r="GC15" s="20">
        <f t="shared" si="25"/>
        <v>28.947025280656934</v>
      </c>
      <c r="GD15" s="59">
        <f t="shared" si="26"/>
        <v>322.28035861399024</v>
      </c>
      <c r="GE15" s="59">
        <f ca="1">AVERAGE(OFFSET($GD$3,0,0,'Données projet'!$E$17+1,1))-AVERAGE(OFFSET($H$3,0,0,'Données projet'!$E$17+1,1))</f>
        <v>434.08297999735811</v>
      </c>
      <c r="GF15" s="59">
        <f t="shared" si="50"/>
        <v>371.04090283546122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4.2666666666666666</v>
      </c>
      <c r="GU15" s="12">
        <f>IF('Données projet'!$A$270&gt;35,GU14+GT15-HC14,IF(A15&lt;'Données projet'!$A$270,$GR$205^A15,IF(A15='Données projet'!$A$270,'Données projet'!$B$270,GU14+GT15-HC14)))</f>
        <v>27.857618025475944</v>
      </c>
      <c r="GV15" s="17">
        <f>GU15*VLOOKUP('Données projet'!$B$18,Paramètres!$A$1:$I$89,3,0)*VLOOKUP('Données projet'!$B$18,Paramètres!$A$1:$I$89,5,0)</f>
        <v>15.93455751057224</v>
      </c>
      <c r="GW15" s="13">
        <f t="shared" si="51"/>
        <v>5.3203437835824756</v>
      </c>
      <c r="GX15" s="20">
        <f t="shared" si="28"/>
        <v>37.01895308731946</v>
      </c>
      <c r="GY15" s="59">
        <f t="shared" si="29"/>
        <v>330.35228642065277</v>
      </c>
      <c r="GZ15" s="59">
        <f ca="1">AVERAGE(OFFSET($GY$3,0,0,'Données projet'!$E$18+1,1))-AVERAGE(OFFSET($H$3,0,0,'Données projet'!$E$18+1,1))</f>
        <v>362.57172983134313</v>
      </c>
      <c r="HA15" s="59">
        <f t="shared" si="52"/>
        <v>232.03250917542471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">
      <c r="A16" s="10">
        <f t="shared" si="31"/>
        <v>13</v>
      </c>
      <c r="B16" s="71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5">
        <f t="shared" si="1"/>
        <v>308.27850800940064</v>
      </c>
      <c r="I16" s="6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2.4666666666666668</v>
      </c>
      <c r="N16" s="13">
        <f>IF('Données projet'!$A$36&gt;35,N15+M16-V15,IF(A16&lt;'Données projet'!$A$36,$K$205^A16,IF(A16='Données projet'!$A$36,'Données projet'!$B$36,N15+M16-V15)))</f>
        <v>22.86168101684942</v>
      </c>
      <c r="O16" s="13">
        <f>N16*VLOOKUP('Données projet'!$B$9,Paramètres!$A$1:$I$89,3,0)*VLOOKUP('Données projet'!$B$9,Paramètres!$A$1:$I$89,5,0)</f>
        <v>18.188753417005401</v>
      </c>
      <c r="P16" s="13">
        <f t="shared" si="33"/>
        <v>5.9801756254374139</v>
      </c>
      <c r="Q16" s="20">
        <f t="shared" si="2"/>
        <v>42.094218082254564</v>
      </c>
      <c r="R16" s="59">
        <f t="shared" si="0"/>
        <v>335.42755141558786</v>
      </c>
      <c r="S16" s="59">
        <f ca="1">AVERAGE(OFFSET($R$3,0,0,'Données projet'!$E$9+1,1))-AVERAGE(OFFSET($H$3,0,0,'Données projet'!$E$9+1,1))</f>
        <v>225.2323446080772</v>
      </c>
      <c r="T16" s="59">
        <f t="shared" si="34"/>
        <v>222.29030402759292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1.8666666666666667</v>
      </c>
      <c r="AI16" s="13">
        <f>IF('Données projet'!$A$62&gt;35,AI15+AH16-AQ15,IF(A16&lt;'Données projet'!$A$62,$AF$205^A16,IF(A16='Données projet'!$A$62,'Données projet'!$B$62,AI15+AH16-AQ15)))</f>
        <v>17.955753188674215</v>
      </c>
      <c r="AJ16" s="13">
        <f>AI16*VLOOKUP('Données projet'!$B$10,Paramètres!$A$1:$I$89,3,0)*VLOOKUP('Données projet'!$B$10,Paramètres!$A$1:$I$89,5,0)</f>
        <v>8.870142075205063</v>
      </c>
      <c r="AK16" s="13">
        <f t="shared" si="35"/>
        <v>3.1706150874956167</v>
      </c>
      <c r="AL16" s="20">
        <f t="shared" si="4"/>
        <v>20.970985391703682</v>
      </c>
      <c r="AM16" s="59">
        <f t="shared" si="5"/>
        <v>314.30431872503698</v>
      </c>
      <c r="AN16" s="59">
        <f ca="1">AVERAGE(OFFSET($AM$3,0,0,'Données projet'!$E$10+1,1))-AVERAGE(OFFSET($H$3,0,0,'Données projet'!$E$10+1,1))</f>
        <v>360.05819346986135</v>
      </c>
      <c r="AO16" s="59">
        <f t="shared" si="36"/>
        <v>300.47468388351081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</v>
      </c>
      <c r="BD16" s="12">
        <f>IF('Données projet'!$A$88&gt;35,BD15+BC16-BL15,IF(A16&lt;'Données projet'!$A$88,$BA$205^A16,IF(A16='Données projet'!$A$88,'Données projet'!$B$88,BD15+BC16-BL15)))</f>
        <v>19.062144355644872</v>
      </c>
      <c r="BE16" s="13">
        <f>BD16*VLOOKUP('Données projet'!$B$11,Paramètres!$A$1:$I$89,3,0)*VLOOKUP('Données projet'!$B$11,Paramètres!$A$1:$I$89,5,0)</f>
        <v>10.903546571428867</v>
      </c>
      <c r="BF16" s="13">
        <f t="shared" si="37"/>
        <v>3.804932509560901</v>
      </c>
      <c r="BG16" s="20">
        <f t="shared" si="7"/>
        <v>25.617267732723846</v>
      </c>
      <c r="BH16" s="59">
        <f t="shared" si="8"/>
        <v>318.95060106605717</v>
      </c>
      <c r="BI16" s="59">
        <f ca="1">AVERAGE(OFFSET($BH$3,0,0,'Données projet'!$E$11+1,1))-AVERAGE(OFFSET($H$3,0,0,'Données projet'!$E$11+1,1))</f>
        <v>250.90038883668348</v>
      </c>
      <c r="BJ16" s="59">
        <f t="shared" si="38"/>
        <v>141.96132114475608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10.8</v>
      </c>
      <c r="BY16" s="12">
        <f>IF('Données projet'!$A$114&gt;35,BY15+BX16-CG15,IF(A16&lt;'Données projet'!$A$114,$BV$205^A16,IF(A16='Données projet'!$A$114,'Données projet'!$B$114,BY15+BX16-CG15)))</f>
        <v>43.400000000000006</v>
      </c>
      <c r="BZ16" s="13">
        <f>BY16*VLOOKUP('Données projet'!$B$12,Paramètres!$A$1:$I$89,3,0)*VLOOKUP('Données projet'!$B$12,Paramètres!$A$1:$I$89,5,0)</f>
        <v>34.529040000000009</v>
      </c>
      <c r="CA16" s="13">
        <f t="shared" si="39"/>
        <v>10.536391336679102</v>
      </c>
      <c r="CB16" s="20">
        <f t="shared" si="10"/>
        <v>78.488959578049446</v>
      </c>
      <c r="CC16" s="59">
        <f t="shared" si="11"/>
        <v>371.82229291138276</v>
      </c>
      <c r="CD16" s="59">
        <f ca="1">AVERAGE(OFFSET($CC$3,0,0,'Données projet'!$E$12+1,1))-AVERAGE(OFFSET($H$3,0,0,'Données projet'!$E$12+1,1))</f>
        <v>279.49721661620544</v>
      </c>
      <c r="CE16" s="59">
        <f t="shared" si="40"/>
        <v>275.18739333988754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2.8</v>
      </c>
      <c r="CT16" s="12">
        <f>IF('Données projet'!$A$140&gt;35,CT15+CS16-DB15,IF(A16&lt;'Données projet'!$A$140,$CQ$205^A16,IF(A16='Données projet'!$A$140,'Données projet'!$B$140,CT15+CS16-DB15)))</f>
        <v>25.51620317959356</v>
      </c>
      <c r="CU16" s="17">
        <f>CT16*VLOOKUP('Données projet'!$B$13,Paramètres!$A$1:$I$89,3,0)*VLOOKUP('Données projet'!$B$13,Paramètres!$A$1:$I$89,5,0)</f>
        <v>12.60500437071922</v>
      </c>
      <c r="CV16" s="13">
        <f t="shared" si="41"/>
        <v>4.325057246862908</v>
      </c>
      <c r="CW16" s="20">
        <f t="shared" si="13"/>
        <v>29.486523983955536</v>
      </c>
      <c r="CX16" s="59">
        <f t="shared" si="14"/>
        <v>322.81985731728884</v>
      </c>
      <c r="CY16" s="59">
        <f ca="1">AVERAGE(OFFSET($CX$3,0,0,'Données projet'!$E$13+1,1))-AVERAGE(OFFSET($H$3,0,0,'Données projet'!$E$13+1,1))</f>
        <v>396.27049617044378</v>
      </c>
      <c r="CZ16" s="59">
        <f t="shared" si="42"/>
        <v>335.2680289568774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3.0666666666666669</v>
      </c>
      <c r="DO16" s="12">
        <f>IF('Données projet'!$A$166&gt;35,DO15+DN16-DW15,IF(A16&lt;'Données projet'!$A$166,$DL$205^A16,IF(A16='Données projet'!$A$166,'Données projet'!$B$166,DO15+DN16-DW15)))</f>
        <v>27.609388473300726</v>
      </c>
      <c r="DP16" s="17">
        <f>DO16*VLOOKUP('Données projet'!$B$14,Paramètres!$A$1:$I$89,3,0)*VLOOKUP('Données projet'!$B$14,Paramètres!$A$1:$I$89,5,0)</f>
        <v>15.792570206728016</v>
      </c>
      <c r="DQ16" s="13">
        <f t="shared" si="43"/>
        <v>5.2784325132589212</v>
      </c>
      <c r="DR16" s="20">
        <f t="shared" si="16"/>
        <v>36.69866307064391</v>
      </c>
      <c r="DS16" s="59">
        <f t="shared" si="17"/>
        <v>330.03199640397725</v>
      </c>
      <c r="DT16" s="59">
        <f ca="1">AVERAGE(OFFSET($DS$3,0,0,'Données projet'!$E$14+1,1))-AVERAGE(OFFSET($H$3,0,0,'Données projet'!$E$14+1,1))</f>
        <v>307.43900954374504</v>
      </c>
      <c r="DU16" s="59">
        <f t="shared" si="44"/>
        <v>185.25270859048999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23</v>
      </c>
      <c r="EJ16" s="12">
        <f>IF('Données projet'!$A$192&gt;35,EJ15+EI16-ER15,IF(A16&lt;'Données projet'!$A$192,$EG$205^A16,IF(A16='Données projet'!$A$192,'Données projet'!$B$192,EJ15+EI16-ER15)))</f>
        <v>108</v>
      </c>
      <c r="EK16" s="17">
        <f>EJ16*VLOOKUP('Données projet'!$B$15,Paramètres!$A$1:$I$89,3,0)*VLOOKUP('Données projet'!$B$15,Paramètres!$A$1:$I$89,5,0)</f>
        <v>67.391999999999996</v>
      </c>
      <c r="EL16" s="13">
        <f t="shared" si="45"/>
        <v>19.02437502991798</v>
      </c>
      <c r="EM16" s="20">
        <f t="shared" si="19"/>
        <v>150.5085198437738</v>
      </c>
      <c r="EN16" s="59">
        <f t="shared" si="20"/>
        <v>443.84185317710711</v>
      </c>
      <c r="EO16" s="59">
        <f ca="1">AVERAGE(OFFSET($EN$3,0,0,'Données projet'!$E$15+1,1))-AVERAGE(OFFSET($H$3,0,0,'Données projet'!$E$15+1,1))</f>
        <v>269.77739619445515</v>
      </c>
      <c r="EP16" s="59">
        <f t="shared" si="46"/>
        <v>347.56964743629885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8.9924418094798533</v>
      </c>
      <c r="EY16" s="22">
        <f t="shared" si="21"/>
        <v>8.9924418094798533</v>
      </c>
      <c r="EZ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14.6</v>
      </c>
      <c r="FE16" s="12">
        <f>IF('Données projet'!$A$218&gt;35,FE15+FD16-FM15,IF(A16&lt;'Données projet'!$A$218,$FB$205^A16,IF(A16='Données projet'!$A$218,'Données projet'!$B$218,FE15+FD16-FM15)))</f>
        <v>55.800000000000004</v>
      </c>
      <c r="FF16" s="17">
        <f>FE16*VLOOKUP('Données projet'!$B$16,Paramètres!$A$1:$I$89,3,0)*VLOOKUP('Données projet'!$B$16,Paramètres!$A$1:$I$89,5,0)</f>
        <v>44.394480000000001</v>
      </c>
      <c r="FG16" s="13">
        <f t="shared" si="47"/>
        <v>13.1562447968447</v>
      </c>
      <c r="FH16" s="20">
        <f t="shared" si="22"/>
        <v>100.2341790211712</v>
      </c>
      <c r="FI16" s="59">
        <f t="shared" si="23"/>
        <v>393.56751235450452</v>
      </c>
      <c r="FJ16" s="59">
        <f ca="1">AVERAGE(OFFSET($FI$3,0,0,'Données projet'!$E$16+1,1))-AVERAGE(OFFSET($H$3,0,0,'Données projet'!$E$16+1,1))</f>
        <v>331.52724290297675</v>
      </c>
      <c r="FK16" s="59">
        <f t="shared" si="48"/>
        <v>322.79102610158054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3.7333333333333334</v>
      </c>
      <c r="FZ16" s="12">
        <f>IF('Données projet'!$A$244&gt;35,FZ15+FY16-GH15,IF(A16&lt;'Données projet'!$A$244,$FW$205^A16,IF(A16='Données projet'!$A$244,'Données projet'!$B$244,FZ15+FY16-GH15)))</f>
        <v>32.741327962230365</v>
      </c>
      <c r="GA16" s="17">
        <f>FZ16*VLOOKUP('Données projet'!$B$17,Paramètres!$A$1:$I$89,3,0)*VLOOKUP('Données projet'!$B$17,Paramètres!$A$1:$I$89,5,0)</f>
        <v>16.174216013341802</v>
      </c>
      <c r="GB16" s="13">
        <f t="shared" si="49"/>
        <v>5.390986929095364</v>
      </c>
      <c r="GC16" s="20">
        <f t="shared" si="25"/>
        <v>37.559395124744732</v>
      </c>
      <c r="GD16" s="59">
        <f t="shared" si="26"/>
        <v>330.89272845807807</v>
      </c>
      <c r="GE16" s="59">
        <f ca="1">AVERAGE(OFFSET($GD$3,0,0,'Données projet'!$E$17+1,1))-AVERAGE(OFFSET($H$3,0,0,'Données projet'!$E$17+1,1))</f>
        <v>434.08297999735811</v>
      </c>
      <c r="GF16" s="59">
        <f t="shared" si="50"/>
        <v>371.04090283546122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4.2666666666666666</v>
      </c>
      <c r="GU16" s="12">
        <f>IF('Données projet'!$A$270&gt;35,GU15+GT16-HC15,IF(A16&lt;'Données projet'!$A$270,$GR$205^A16,IF(A16='Données projet'!$A$270,'Données projet'!$B$270,GU15+GT16-HC15)))</f>
        <v>36.758347359905081</v>
      </c>
      <c r="GV16" s="17">
        <f>GU16*VLOOKUP('Données projet'!$B$18,Paramètres!$A$1:$I$89,3,0)*VLOOKUP('Données projet'!$B$18,Paramètres!$A$1:$I$89,5,0)</f>
        <v>21.025774689865706</v>
      </c>
      <c r="GW16" s="13">
        <f t="shared" si="51"/>
        <v>6.7972890375080111</v>
      </c>
      <c r="GX16" s="20">
        <f t="shared" si="28"/>
        <v>48.458502658509225</v>
      </c>
      <c r="GY16" s="59">
        <f t="shared" si="29"/>
        <v>341.79183599184256</v>
      </c>
      <c r="GZ16" s="59">
        <f ca="1">AVERAGE(OFFSET($GY$3,0,0,'Données projet'!$E$18+1,1))-AVERAGE(OFFSET($H$3,0,0,'Données projet'!$E$18+1,1))</f>
        <v>362.57172983134313</v>
      </c>
      <c r="HA16" s="59">
        <f t="shared" si="52"/>
        <v>232.03250917542471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">
      <c r="A17" s="10">
        <f t="shared" si="31"/>
        <v>14</v>
      </c>
      <c r="B17" s="71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5">
        <f t="shared" si="1"/>
        <v>309.39063334516135</v>
      </c>
      <c r="I17" s="6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2.4666666666666668</v>
      </c>
      <c r="N17" s="13">
        <f>IF('Données projet'!$A$36&gt;35,N16+M17-V16,IF(A17&lt;'Données projet'!$A$36,$K$205^A17,IF(A17='Données projet'!$A$36,'Données projet'!$B$36,N16+M17-V16)))</f>
        <v>29.084054009429774</v>
      </c>
      <c r="O17" s="13">
        <f>N17*VLOOKUP('Données projet'!$B$9,Paramètres!$A$1:$I$89,3,0)*VLOOKUP('Données projet'!$B$9,Paramètres!$A$1:$I$89,5,0)</f>
        <v>23.13927336990233</v>
      </c>
      <c r="P17" s="13">
        <f t="shared" si="33"/>
        <v>7.3976107331343286</v>
      </c>
      <c r="Q17" s="20">
        <f t="shared" si="2"/>
        <v>53.185073146122171</v>
      </c>
      <c r="R17" s="59">
        <f t="shared" si="0"/>
        <v>346.51840647945551</v>
      </c>
      <c r="S17" s="59">
        <f ca="1">AVERAGE(OFFSET($R$3,0,0,'Données projet'!$E$9+1,1))-AVERAGE(OFFSET($H$3,0,0,'Données projet'!$E$9+1,1))</f>
        <v>225.2323446080772</v>
      </c>
      <c r="T17" s="59">
        <f t="shared" si="34"/>
        <v>222.29030402759292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1.8666666666666667</v>
      </c>
      <c r="AI17" s="13">
        <f>IF('Données projet'!$A$62&gt;35,AI16+AH17-AQ16,IF(A17&lt;'Données projet'!$A$62,$AF$205^A17,IF(A17='Données projet'!$A$62,'Données projet'!$B$62,AI16+AH17-AQ16)))</f>
        <v>22.42233460821771</v>
      </c>
      <c r="AJ17" s="13">
        <f>AI17*VLOOKUP('Données projet'!$B$10,Paramètres!$A$1:$I$89,3,0)*VLOOKUP('Données projet'!$B$10,Paramètres!$A$1:$I$89,5,0)</f>
        <v>11.07663329645955</v>
      </c>
      <c r="AK17" s="13">
        <f t="shared" si="35"/>
        <v>3.8582536673632193</v>
      </c>
      <c r="AL17" s="20">
        <f t="shared" si="4"/>
        <v>26.011594795324655</v>
      </c>
      <c r="AM17" s="59">
        <f t="shared" si="5"/>
        <v>319.34492812865795</v>
      </c>
      <c r="AN17" s="59">
        <f ca="1">AVERAGE(OFFSET($AM$3,0,0,'Données projet'!$E$10+1,1))-AVERAGE(OFFSET($H$3,0,0,'Données projet'!$E$10+1,1))</f>
        <v>360.05819346986135</v>
      </c>
      <c r="AO17" s="59">
        <f t="shared" si="36"/>
        <v>300.47468388351081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</v>
      </c>
      <c r="BD17" s="12">
        <f>IF('Données projet'!$A$88&gt;35,BD16+BC17-BL16,IF(A17&lt;'Données projet'!$A$88,$BA$205^A17,IF(A17='Données projet'!$A$88,'Données projet'!$B$88,BD16+BC17-BL16)))</f>
        <v>23.913685008156865</v>
      </c>
      <c r="BE17" s="13">
        <f>BD17*VLOOKUP('Données projet'!$B$11,Paramètres!$A$1:$I$89,3,0)*VLOOKUP('Données projet'!$B$11,Paramètres!$A$1:$I$89,5,0)</f>
        <v>13.678627824665726</v>
      </c>
      <c r="BF17" s="13">
        <f t="shared" si="37"/>
        <v>4.6489967995072057</v>
      </c>
      <c r="BG17" s="20">
        <f t="shared" si="7"/>
        <v>31.920612887101196</v>
      </c>
      <c r="BH17" s="59">
        <f t="shared" si="8"/>
        <v>325.2539462204345</v>
      </c>
      <c r="BI17" s="59">
        <f ca="1">AVERAGE(OFFSET($BH$3,0,0,'Données projet'!$E$11+1,1))-AVERAGE(OFFSET($H$3,0,0,'Données projet'!$E$11+1,1))</f>
        <v>250.90038883668348</v>
      </c>
      <c r="BJ17" s="59">
        <f t="shared" si="38"/>
        <v>141.96132114475608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10.8</v>
      </c>
      <c r="BY17" s="12">
        <f>IF('Données projet'!$A$114&gt;35,BY16+BX17-CG16,IF(A17&lt;'Données projet'!$A$114,$BV$205^A17,IF(A17='Données projet'!$A$114,'Données projet'!$B$114,BY16+BX17-CG16)))</f>
        <v>54.2</v>
      </c>
      <c r="BZ17" s="13">
        <f>BY17*VLOOKUP('Données projet'!$B$12,Paramètres!$A$1:$I$89,3,0)*VLOOKUP('Données projet'!$B$12,Paramètres!$A$1:$I$89,5,0)</f>
        <v>43.121520000000004</v>
      </c>
      <c r="CA17" s="13">
        <f t="shared" si="39"/>
        <v>12.822353245070515</v>
      </c>
      <c r="CB17" s="20">
        <f t="shared" si="10"/>
        <v>97.435579235164482</v>
      </c>
      <c r="CC17" s="59">
        <f t="shared" si="11"/>
        <v>390.7689125684978</v>
      </c>
      <c r="CD17" s="59">
        <f ca="1">AVERAGE(OFFSET($CC$3,0,0,'Données projet'!$E$12+1,1))-AVERAGE(OFFSET($H$3,0,0,'Données projet'!$E$12+1,1))</f>
        <v>279.49721661620544</v>
      </c>
      <c r="CE17" s="59">
        <f t="shared" si="40"/>
        <v>275.18739333988754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2.8</v>
      </c>
      <c r="CT17" s="12">
        <f>IF('Données projet'!$A$140&gt;35,CT16+CS17-DB16,IF(A17&lt;'Données projet'!$A$140,$CQ$205^A17,IF(A17='Données projet'!$A$140,'Données projet'!$B$140,CT16+CS17-DB16)))</f>
        <v>32.736532094021939</v>
      </c>
      <c r="CU17" s="17">
        <f>CT17*VLOOKUP('Données projet'!$B$13,Paramètres!$A$1:$I$89,3,0)*VLOOKUP('Données projet'!$B$13,Paramètres!$A$1:$I$89,5,0)</f>
        <v>16.171846854446841</v>
      </c>
      <c r="CV17" s="13">
        <f t="shared" si="41"/>
        <v>5.390289181033868</v>
      </c>
      <c r="CW17" s="20">
        <f t="shared" si="13"/>
        <v>37.554053595128899</v>
      </c>
      <c r="CX17" s="59">
        <f t="shared" si="14"/>
        <v>330.88738692846221</v>
      </c>
      <c r="CY17" s="59">
        <f ca="1">AVERAGE(OFFSET($CX$3,0,0,'Données projet'!$E$13+1,1))-AVERAGE(OFFSET($H$3,0,0,'Données projet'!$E$13+1,1))</f>
        <v>396.27049617044378</v>
      </c>
      <c r="CZ17" s="59">
        <f t="shared" si="42"/>
        <v>335.2680289568774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3.0666666666666669</v>
      </c>
      <c r="DO17" s="12">
        <f>IF('Données projet'!$A$166&gt;35,DO16+DN17-DW16,IF(A17&lt;'Données projet'!$A$166,$DL$205^A17,IF(A17='Données projet'!$A$166,'Données projet'!$B$166,DO16+DN17-DW16)))</f>
        <v>35.637506503287135</v>
      </c>
      <c r="DP17" s="17">
        <f>DO17*VLOOKUP('Données projet'!$B$14,Paramètres!$A$1:$I$89,3,0)*VLOOKUP('Données projet'!$B$14,Paramètres!$A$1:$I$89,5,0)</f>
        <v>20.384653719880241</v>
      </c>
      <c r="DQ17" s="13">
        <f t="shared" si="43"/>
        <v>6.6138218815816261</v>
      </c>
      <c r="DR17" s="20">
        <f t="shared" si="16"/>
        <v>47.022345005879409</v>
      </c>
      <c r="DS17" s="59">
        <f t="shared" si="17"/>
        <v>340.35567833921272</v>
      </c>
      <c r="DT17" s="59">
        <f ca="1">AVERAGE(OFFSET($DS$3,0,0,'Données projet'!$E$14+1,1))-AVERAGE(OFFSET($H$3,0,0,'Données projet'!$E$14+1,1))</f>
        <v>307.43900954374504</v>
      </c>
      <c r="DU17" s="59">
        <f t="shared" si="44"/>
        <v>185.25270859048999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23</v>
      </c>
      <c r="EJ17" s="12">
        <f>IF('Données projet'!$A$192&gt;35,EJ16+EI17-ER16,IF(A17&lt;'Données projet'!$A$192,$EG$205^A17,IF(A17='Données projet'!$A$192,'Données projet'!$B$192,EJ16+EI17-ER16)))</f>
        <v>131</v>
      </c>
      <c r="EK17" s="17">
        <f>EJ17*VLOOKUP('Données projet'!$B$15,Paramètres!$A$1:$I$89,3,0)*VLOOKUP('Données projet'!$B$15,Paramètres!$A$1:$I$89,5,0)</f>
        <v>81.744</v>
      </c>
      <c r="EL17" s="13">
        <f t="shared" si="45"/>
        <v>22.563064513367394</v>
      </c>
      <c r="EM17" s="20">
        <f t="shared" si="19"/>
        <v>181.66813736078151</v>
      </c>
      <c r="EN17" s="59">
        <f t="shared" si="20"/>
        <v>475.0014706941148</v>
      </c>
      <c r="EO17" s="59">
        <f ca="1">AVERAGE(OFFSET($EN$3,0,0,'Données projet'!$E$15+1,1))-AVERAGE(OFFSET($H$3,0,0,'Données projet'!$E$15+1,1))</f>
        <v>269.77739619445515</v>
      </c>
      <c r="EP17" s="59">
        <f t="shared" si="46"/>
        <v>347.56964743629885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6.358616582908633</v>
      </c>
      <c r="EY17" s="22">
        <f t="shared" si="21"/>
        <v>6.358616582908633</v>
      </c>
      <c r="EZ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14.6</v>
      </c>
      <c r="FE17" s="12">
        <f>IF('Données projet'!$A$218&gt;35,FE16+FD17-FM16,IF(A17&lt;'Données projet'!$A$218,$FB$205^A17,IF(A17='Données projet'!$A$218,'Données projet'!$B$218,FE16+FD17-FM16)))</f>
        <v>70.400000000000006</v>
      </c>
      <c r="FF17" s="17">
        <f>FE17*VLOOKUP('Données projet'!$B$16,Paramètres!$A$1:$I$89,3,0)*VLOOKUP('Données projet'!$B$16,Paramètres!$A$1:$I$89,5,0)</f>
        <v>56.01024000000001</v>
      </c>
      <c r="FG17" s="13">
        <f t="shared" si="47"/>
        <v>16.155528478402793</v>
      </c>
      <c r="FH17" s="20">
        <f t="shared" si="22"/>
        <v>125.68871343321821</v>
      </c>
      <c r="FI17" s="59">
        <f t="shared" si="23"/>
        <v>419.02204676655151</v>
      </c>
      <c r="FJ17" s="59">
        <f ca="1">AVERAGE(OFFSET($FI$3,0,0,'Données projet'!$E$16+1,1))-AVERAGE(OFFSET($H$3,0,0,'Données projet'!$E$16+1,1))</f>
        <v>331.52724290297675</v>
      </c>
      <c r="FK17" s="59">
        <f t="shared" si="48"/>
        <v>322.79102610158054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3.7333333333333334</v>
      </c>
      <c r="FZ17" s="12">
        <f>IF('Données projet'!$A$244&gt;35,FZ16+FY17-GH16,IF(A17&lt;'Données projet'!$A$244,$FW$205^A17,IF(A17='Données projet'!$A$244,'Données projet'!$B$244,FZ16+FY17-GH16)))</f>
        <v>42.819555881453262</v>
      </c>
      <c r="GA17" s="17">
        <f>FZ17*VLOOKUP('Données projet'!$B$17,Paramètres!$A$1:$I$89,3,0)*VLOOKUP('Données projet'!$B$17,Paramètres!$A$1:$I$89,5,0)</f>
        <v>21.152860605437912</v>
      </c>
      <c r="GB17" s="13">
        <f t="shared" si="49"/>
        <v>6.8335788230132817</v>
      </c>
      <c r="GC17" s="20">
        <f t="shared" si="25"/>
        <v>48.743048671219157</v>
      </c>
      <c r="GD17" s="59">
        <f t="shared" si="26"/>
        <v>342.07638200455244</v>
      </c>
      <c r="GE17" s="59">
        <f ca="1">AVERAGE(OFFSET($GD$3,0,0,'Données projet'!$E$17+1,1))-AVERAGE(OFFSET($H$3,0,0,'Données projet'!$E$17+1,1))</f>
        <v>434.08297999735811</v>
      </c>
      <c r="GF17" s="59">
        <f t="shared" si="50"/>
        <v>371.04090283546122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4.2666666666666666</v>
      </c>
      <c r="GU17" s="12">
        <f>IF('Données projet'!$A$270&gt;35,GU16+GT17-HC16,IF(A17&lt;'Données projet'!$A$270,$GR$205^A17,IF(A17='Données projet'!$A$270,'Données projet'!$B$270,GU16+GT17-HC16)))</f>
        <v>48.502930128332679</v>
      </c>
      <c r="GV17" s="17">
        <f>GU17*VLOOKUP('Données projet'!$B$18,Paramètres!$A$1:$I$89,3,0)*VLOOKUP('Données projet'!$B$18,Paramètres!$A$1:$I$89,5,0)</f>
        <v>27.743676033406292</v>
      </c>
      <c r="GW17" s="13">
        <f t="shared" si="51"/>
        <v>8.6842392407047679</v>
      </c>
      <c r="GX17" s="20">
        <f t="shared" si="28"/>
        <v>63.445285769076754</v>
      </c>
      <c r="GY17" s="59">
        <f t="shared" si="29"/>
        <v>356.77861910241006</v>
      </c>
      <c r="GZ17" s="59">
        <f ca="1">AVERAGE(OFFSET($GY$3,0,0,'Données projet'!$E$18+1,1))-AVERAGE(OFFSET($H$3,0,0,'Données projet'!$E$18+1,1))</f>
        <v>362.57172983134313</v>
      </c>
      <c r="HA17" s="59">
        <f t="shared" si="52"/>
        <v>232.03250917542471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">
      <c r="A18" s="10">
        <f t="shared" si="31"/>
        <v>15</v>
      </c>
      <c r="B18" s="71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5">
        <f t="shared" si="1"/>
        <v>310.50048479403728</v>
      </c>
      <c r="I18" s="6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37</v>
      </c>
      <c r="L18" s="12">
        <f>VLOOKUP(A18,'Données projet'!$A$35:$I$55,9,0)</f>
        <v>2.4666666666666668</v>
      </c>
      <c r="M18" s="12">
        <f t="array" ref="M18">INDEX(L:L,MIN(IF(ISNUMBER(L18:L214),ROW(L18:L214),"")))</f>
        <v>2.4666666666666668</v>
      </c>
      <c r="N18" s="13">
        <f>IF('Données projet'!$A$36&gt;35,N17+M18-V17,IF(A18&lt;'Données projet'!$A$36,$K$205^A18,IF(A18='Données projet'!$A$36,'Données projet'!$B$36,N17+M18-V17)))</f>
        <v>37</v>
      </c>
      <c r="O18" s="13">
        <f>N18*VLOOKUP('Données projet'!$B$9,Paramètres!$A$1:$I$89,3,0)*VLOOKUP('Données projet'!$B$9,Paramètres!$A$1:$I$89,5,0)</f>
        <v>29.437200000000004</v>
      </c>
      <c r="P18" s="13">
        <f t="shared" si="33"/>
        <v>9.1510096001539196</v>
      </c>
      <c r="Q18" s="20">
        <f t="shared" si="2"/>
        <v>67.207798386934755</v>
      </c>
      <c r="R18" s="59">
        <f t="shared" si="0"/>
        <v>360.54113172026808</v>
      </c>
      <c r="S18" s="59">
        <f ca="1">AVERAGE(OFFSET($R$3,0,0,'Données projet'!$E$9+1,1))-AVERAGE(OFFSET($H$3,0,0,'Données projet'!$E$9+1,1))</f>
        <v>225.2323446080772</v>
      </c>
      <c r="T18" s="59">
        <f t="shared" si="34"/>
        <v>222.29030402759292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15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28</v>
      </c>
      <c r="AG18" s="12">
        <f>VLOOKUP(A18,'Données projet'!$A$61:$I$81,9,0)</f>
        <v>1.8666666666666667</v>
      </c>
      <c r="AH18" s="12">
        <f t="array" ref="AH18">INDEX(AG:AG,MIN(IF(ISNUMBER(AG18:AG214),ROW(AG18:AG214),"")))</f>
        <v>1.8666666666666667</v>
      </c>
      <c r="AI18" s="13">
        <f>IF('Données projet'!$A$62&gt;35,AI17+AH18-AQ17,IF(A18&lt;'Données projet'!$A$62,$AF$205^A18,IF(A18='Données projet'!$A$62,'Données projet'!$B$62,AI17+AH18-AQ17)))</f>
        <v>28</v>
      </c>
      <c r="AJ18" s="13">
        <f>AI18*VLOOKUP('Données projet'!$B$10,Paramètres!$A$1:$I$89,3,0)*VLOOKUP('Données projet'!$B$10,Paramètres!$A$1:$I$89,5,0)</f>
        <v>13.832000000000001</v>
      </c>
      <c r="AK18" s="13">
        <f t="shared" si="35"/>
        <v>4.6950263437621773</v>
      </c>
      <c r="AL18" s="20">
        <f t="shared" si="4"/>
        <v>32.267904215385791</v>
      </c>
      <c r="AM18" s="59">
        <f t="shared" si="5"/>
        <v>325.6012375487191</v>
      </c>
      <c r="AN18" s="59">
        <f ca="1">AVERAGE(OFFSET($AM$3,0,0,'Données projet'!$E$10+1,1))-AVERAGE(OFFSET($H$3,0,0,'Données projet'!$E$10+1,1))</f>
        <v>360.05819346986135</v>
      </c>
      <c r="AO18" s="59">
        <f t="shared" si="36"/>
        <v>300.47468388351081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30</v>
      </c>
      <c r="BB18" s="12">
        <f>VLOOKUP(A18,'Données projet'!$A$87:$I$107,9,0)</f>
        <v>2</v>
      </c>
      <c r="BC18" s="12">
        <f t="array" ref="BC18">INDEX(BB:BB,MIN(IF(ISNUMBER(BB18:BB214),ROW(BB18:BB214),"")))</f>
        <v>2</v>
      </c>
      <c r="BD18" s="12">
        <f>IF('Données projet'!$A$88&gt;35,BD17+BC18-BL17,IF(A18&lt;'Données projet'!$A$88,$BA$205^A18,IF(A18='Données projet'!$A$88,'Données projet'!$B$88,BD17+BC18-BL17)))</f>
        <v>30</v>
      </c>
      <c r="BE18" s="13">
        <f>BD18*VLOOKUP('Données projet'!$B$11,Paramètres!$A$1:$I$89,3,0)*VLOOKUP('Données projet'!$B$11,Paramètres!$A$1:$I$89,5,0)</f>
        <v>17.16</v>
      </c>
      <c r="BF18" s="13">
        <f t="shared" si="37"/>
        <v>5.6803034449413845</v>
      </c>
      <c r="BG18" s="20">
        <f t="shared" si="7"/>
        <v>39.780195166606241</v>
      </c>
      <c r="BH18" s="59">
        <f t="shared" si="8"/>
        <v>333.11352849993955</v>
      </c>
      <c r="BI18" s="59">
        <f ca="1">AVERAGE(OFFSET($BH$3,0,0,'Données projet'!$E$11+1,1))-AVERAGE(OFFSET($H$3,0,0,'Données projet'!$E$11+1,1))</f>
        <v>250.90038883668348</v>
      </c>
      <c r="BJ18" s="59">
        <f t="shared" si="38"/>
        <v>141.96132114475608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65</v>
      </c>
      <c r="BW18" s="12">
        <f>VLOOKUP(A18,'Données projet'!$A$113:$I$133,9,0)</f>
        <v>10.8</v>
      </c>
      <c r="BX18" s="12">
        <f t="array" ref="BX18">INDEX(BW:BW,MIN(IF(ISNUMBER(BW18:BW214),ROW(BW18:BW214),"")))</f>
        <v>10.8</v>
      </c>
      <c r="BY18" s="12">
        <f>IF('Données projet'!$A$114&gt;35,BY17+BX18-CG17,IF(A18&lt;'Données projet'!$A$114,$BV$205^A18,IF(A18='Données projet'!$A$114,'Données projet'!$B$114,BY17+BX18-CG17)))</f>
        <v>65</v>
      </c>
      <c r="BZ18" s="13">
        <f>BY18*VLOOKUP('Données projet'!$B$12,Paramètres!$A$1:$I$89,3,0)*VLOOKUP('Données projet'!$B$12,Paramètres!$A$1:$I$89,5,0)</f>
        <v>51.713999999999999</v>
      </c>
      <c r="CA18" s="13">
        <f t="shared" si="39"/>
        <v>15.055535578337075</v>
      </c>
      <c r="CB18" s="20">
        <f t="shared" si="10"/>
        <v>116.29027446560372</v>
      </c>
      <c r="CC18" s="59">
        <f t="shared" si="11"/>
        <v>409.62360779893703</v>
      </c>
      <c r="CD18" s="59">
        <f ca="1">AVERAGE(OFFSET($CC$3,0,0,'Données projet'!$E$12+1,1))-AVERAGE(OFFSET($H$3,0,0,'Données projet'!$E$12+1,1))</f>
        <v>279.49721661620544</v>
      </c>
      <c r="CE18" s="59">
        <f t="shared" si="40"/>
        <v>275.18739333988754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42</v>
      </c>
      <c r="CR18" s="12">
        <f>VLOOKUP(A18,'Données projet'!$A$139:$I$159,9,0)</f>
        <v>2.8</v>
      </c>
      <c r="CS18" s="12">
        <f t="array" ref="CS18">INDEX(CR:CR,MIN(IF(ISNUMBER(CR18:CR214),ROW(CR18:CR214),"")))</f>
        <v>2.8</v>
      </c>
      <c r="CT18" s="12">
        <f>IF('Données projet'!$A$140&gt;35,CT17+CS18-DB17,IF(A18&lt;'Données projet'!$A$140,$CQ$205^A18,IF(A18='Données projet'!$A$140,'Données projet'!$B$140,CT17+CS18-DB17)))</f>
        <v>42</v>
      </c>
      <c r="CU18" s="17">
        <f>CT18*VLOOKUP('Données projet'!$B$13,Paramètres!$A$1:$I$89,3,0)*VLOOKUP('Données projet'!$B$13,Paramètres!$A$1:$I$89,5,0)</f>
        <v>20.748000000000001</v>
      </c>
      <c r="CV18" s="13">
        <f t="shared" si="41"/>
        <v>6.7178804341249814</v>
      </c>
      <c r="CW18" s="20">
        <f t="shared" si="13"/>
        <v>47.836408422767676</v>
      </c>
      <c r="CX18" s="59">
        <f t="shared" si="14"/>
        <v>341.16974175610096</v>
      </c>
      <c r="CY18" s="59">
        <f ca="1">AVERAGE(OFFSET($CX$3,0,0,'Données projet'!$E$13+1,1))-AVERAGE(OFFSET($H$3,0,0,'Données projet'!$E$13+1,1))</f>
        <v>396.27049617044378</v>
      </c>
      <c r="CZ18" s="59">
        <f t="shared" si="42"/>
        <v>335.2680289568774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>
        <f>VLOOKUP(A18,'Données projet'!$A$165:$I$185,2,0)</f>
        <v>46</v>
      </c>
      <c r="DM18" s="12">
        <f>VLOOKUP(A18,'Données projet'!$A$165:$I$185,9,0)</f>
        <v>3.0666666666666669</v>
      </c>
      <c r="DN18" s="12">
        <f t="array" ref="DN18">INDEX(DM:DM,MIN(IF(ISNUMBER(DM18:DM214),ROW(DM18:DM214),"")))</f>
        <v>3.0666666666666669</v>
      </c>
      <c r="DO18" s="12">
        <f>IF('Données projet'!$A$166&gt;35,DO17+DN18-DW17,IF(A18&lt;'Données projet'!$A$166,$DL$205^A18,IF(A18='Données projet'!$A$166,'Données projet'!$B$166,DO17+DN18-DW17)))</f>
        <v>46</v>
      </c>
      <c r="DP18" s="17">
        <f>DO18*VLOOKUP('Données projet'!$B$14,Paramètres!$A$1:$I$89,3,0)*VLOOKUP('Données projet'!$B$14,Paramètres!$A$1:$I$89,5,0)</f>
        <v>26.311999999999998</v>
      </c>
      <c r="DQ18" s="13">
        <f t="shared" si="43"/>
        <v>8.2870510840880431</v>
      </c>
      <c r="DR18" s="20">
        <f t="shared" si="16"/>
        <v>60.260013971453333</v>
      </c>
      <c r="DS18" s="59">
        <f t="shared" si="17"/>
        <v>353.59334730478668</v>
      </c>
      <c r="DT18" s="59">
        <f ca="1">AVERAGE(OFFSET($DS$3,0,0,'Données projet'!$E$14+1,1))-AVERAGE(OFFSET($H$3,0,0,'Données projet'!$E$14+1,1))</f>
        <v>307.43900954374504</v>
      </c>
      <c r="DU18" s="59">
        <f t="shared" si="44"/>
        <v>185.25270859048999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23</v>
      </c>
      <c r="EJ18" s="12">
        <f>IF('Données projet'!$A$192&gt;35,EJ17+EI18-ER17,IF(A18&lt;'Données projet'!$A$192,$EG$205^A18,IF(A18='Données projet'!$A$192,'Données projet'!$B$192,EJ17+EI18-ER17)))</f>
        <v>154</v>
      </c>
      <c r="EK18" s="17">
        <f>EJ18*VLOOKUP('Données projet'!$B$15,Paramètres!$A$1:$I$89,3,0)*VLOOKUP('Données projet'!$B$15,Paramètres!$A$1:$I$89,5,0)</f>
        <v>96.096000000000004</v>
      </c>
      <c r="EL18" s="13">
        <f t="shared" si="45"/>
        <v>26.029778784173352</v>
      </c>
      <c r="EM18" s="20">
        <f t="shared" si="19"/>
        <v>212.70239804910193</v>
      </c>
      <c r="EN18" s="59">
        <f t="shared" si="20"/>
        <v>506.03573138243524</v>
      </c>
      <c r="EO18" s="59">
        <f ca="1">AVERAGE(OFFSET($EN$3,0,0,'Données projet'!$E$15+1,1))-AVERAGE(OFFSET($H$3,0,0,'Données projet'!$E$15+1,1))</f>
        <v>269.77739619445515</v>
      </c>
      <c r="EP18" s="59">
        <f t="shared" si="46"/>
        <v>347.56964743629885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4.4962209047399275</v>
      </c>
      <c r="EY18" s="22">
        <f t="shared" si="21"/>
        <v>4.4962209047399275</v>
      </c>
      <c r="EZ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>
        <f>VLOOKUP(A18,'Données projet'!$A$217:$I$237,2,0)</f>
        <v>85</v>
      </c>
      <c r="FC18" s="12">
        <f>VLOOKUP(A18,'Données projet'!$A$217:$I$237,9,0)</f>
        <v>14.6</v>
      </c>
      <c r="FD18" s="12">
        <f t="array" ref="FD18">INDEX(FC:FC,MIN(IF(ISNUMBER(FC18:FC214),ROW(FC18:FC214),"")))</f>
        <v>14.6</v>
      </c>
      <c r="FE18" s="12">
        <f>IF('Données projet'!$A$218&gt;35,FE17+FD18-FM17,IF(A18&lt;'Données projet'!$A$218,$FB$205^A18,IF(A18='Données projet'!$A$218,'Données projet'!$B$218,FE17+FD18-FM17)))</f>
        <v>85</v>
      </c>
      <c r="FF18" s="17">
        <f>FE18*VLOOKUP('Données projet'!$B$16,Paramètres!$A$1:$I$89,3,0)*VLOOKUP('Données projet'!$B$16,Paramètres!$A$1:$I$89,5,0)</f>
        <v>67.626000000000005</v>
      </c>
      <c r="FG18" s="13">
        <f t="shared" si="47"/>
        <v>19.082731089464875</v>
      </c>
      <c r="FH18" s="20">
        <f t="shared" si="22"/>
        <v>151.01770664748466</v>
      </c>
      <c r="FI18" s="59">
        <f t="shared" si="23"/>
        <v>444.35103998081797</v>
      </c>
      <c r="FJ18" s="59">
        <f ca="1">AVERAGE(OFFSET($FI$3,0,0,'Données projet'!$E$16+1,1))-AVERAGE(OFFSET($H$3,0,0,'Données projet'!$E$16+1,1))</f>
        <v>331.52724290297675</v>
      </c>
      <c r="FK18" s="59">
        <f t="shared" si="48"/>
        <v>322.79102610158054</v>
      </c>
      <c r="FL18" s="15">
        <f>IF(ISNA(VLOOKUP(A18,'Données projet'!$A$217:$I$237,3,0)),0,VLOOKUP(A18,'Données projet'!$A$217:$I$237,3,0))</f>
        <v>2</v>
      </c>
      <c r="FM18" s="15">
        <f>IF(ISNA(VLOOKUP(A18,'Données projet'!$A$217:$I$237,4,0)),0,VLOOKUP(A18,'Données projet'!$A$217:$I$237,4,0))</f>
        <v>42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>
        <f>VLOOKUP(A18,'Données projet'!$A$243:$I$263,2,0)</f>
        <v>56</v>
      </c>
      <c r="FX18" s="12">
        <f>VLOOKUP(A18,'Données projet'!$A$243:$I$263,9,0)</f>
        <v>3.7333333333333334</v>
      </c>
      <c r="FY18" s="12">
        <f t="array" ref="FY18">INDEX(FX:FX,MIN(IF(ISNUMBER(FX18:FX214),ROW(FX18:FX214),"")))</f>
        <v>3.7333333333333334</v>
      </c>
      <c r="FZ18" s="12">
        <f>IF('Données projet'!$A$244&gt;35,FZ17+FY18-GH17,IF(A18&lt;'Données projet'!$A$244,$FW$205^A18,IF(A18='Données projet'!$A$244,'Données projet'!$B$244,FZ17+FY18-GH17)))</f>
        <v>56</v>
      </c>
      <c r="GA18" s="17">
        <f>FZ18*VLOOKUP('Données projet'!$B$17,Paramètres!$A$1:$I$89,3,0)*VLOOKUP('Données projet'!$B$17,Paramètres!$A$1:$I$89,5,0)</f>
        <v>27.664000000000001</v>
      </c>
      <c r="GB18" s="13">
        <f t="shared" si="49"/>
        <v>8.6621986186436075</v>
      </c>
      <c r="GC18" s="20">
        <f t="shared" si="25"/>
        <v>63.26812926080428</v>
      </c>
      <c r="GD18" s="59">
        <f t="shared" si="26"/>
        <v>356.60146259413762</v>
      </c>
      <c r="GE18" s="59">
        <f ca="1">AVERAGE(OFFSET($GD$3,0,0,'Données projet'!$E$17+1,1))-AVERAGE(OFFSET($H$3,0,0,'Données projet'!$E$17+1,1))</f>
        <v>434.08297999735811</v>
      </c>
      <c r="GF18" s="59">
        <f t="shared" si="50"/>
        <v>371.04090283546122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>
        <f>VLOOKUP(A18,'Données projet'!$A$269:$I$289,2,0)</f>
        <v>64</v>
      </c>
      <c r="GS18" s="12">
        <f>VLOOKUP(A18,'Données projet'!$A$269:$I$289,9,0)</f>
        <v>4.2666666666666666</v>
      </c>
      <c r="GT18" s="12">
        <f t="array" ref="GT18">INDEX(GS:GS,MIN(IF(ISNUMBER(GS18:GS214),ROW(GS18:GS214),"")))</f>
        <v>4.2666666666666666</v>
      </c>
      <c r="GU18" s="12">
        <f>IF('Données projet'!$A$270&gt;35,GU17+GT18-HC17,IF(A18&lt;'Données projet'!$A$270,$GR$205^A18,IF(A18='Données projet'!$A$270,'Données projet'!$B$270,GU17+GT18-HC17)))</f>
        <v>64</v>
      </c>
      <c r="GV18" s="17">
        <f>GU18*VLOOKUP('Données projet'!$B$18,Paramètres!$A$1:$I$89,3,0)*VLOOKUP('Données projet'!$B$18,Paramètres!$A$1:$I$89,5,0)</f>
        <v>36.608000000000004</v>
      </c>
      <c r="GW18" s="13">
        <f t="shared" si="51"/>
        <v>11.095013140333556</v>
      </c>
      <c r="GX18" s="20">
        <f t="shared" si="28"/>
        <v>83.082747886080952</v>
      </c>
      <c r="GY18" s="59">
        <f t="shared" si="29"/>
        <v>376.41608121941425</v>
      </c>
      <c r="GZ18" s="59">
        <f ca="1">AVERAGE(OFFSET($GY$3,0,0,'Données projet'!$E$18+1,1))-AVERAGE(OFFSET($H$3,0,0,'Données projet'!$E$18+1,1))</f>
        <v>362.57172983134313</v>
      </c>
      <c r="HA18" s="59">
        <f t="shared" si="52"/>
        <v>232.03250917542471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">
      <c r="A19" s="10">
        <f t="shared" si="31"/>
        <v>16</v>
      </c>
      <c r="B19" s="71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5">
        <f t="shared" si="1"/>
        <v>311.60823119732669</v>
      </c>
      <c r="I19" s="6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11.6</v>
      </c>
      <c r="N19" s="13">
        <f>IF('Données projet'!$A$36&gt;35,N18+M19-V18,IF(A19&lt;'Données projet'!$A$36,$K$205^A19,IF(A19='Données projet'!$A$36,'Données projet'!$B$36,N18+M19-V18)))</f>
        <v>33.6</v>
      </c>
      <c r="O19" s="13">
        <f>N19*VLOOKUP('Données projet'!$B$9,Paramètres!$A$1:$I$89,3,0)*VLOOKUP('Données projet'!$B$9,Paramètres!$A$1:$I$89,5,0)</f>
        <v>26.732160000000004</v>
      </c>
      <c r="P19" s="13">
        <f t="shared" si="33"/>
        <v>8.4038705306032053</v>
      </c>
      <c r="Q19" s="20">
        <f t="shared" si="2"/>
        <v>61.195253174133917</v>
      </c>
      <c r="R19" s="59">
        <f t="shared" si="0"/>
        <v>354.52858650746725</v>
      </c>
      <c r="S19" s="59">
        <f ca="1">AVERAGE(OFFSET($R$3,0,0,'Données projet'!$E$9+1,1))-AVERAGE(OFFSET($H$3,0,0,'Données projet'!$E$9+1,1))</f>
        <v>225.2323446080772</v>
      </c>
      <c r="T19" s="59">
        <f t="shared" si="34"/>
        <v>222.29030402759292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20</v>
      </c>
      <c r="AI19" s="13">
        <f>IF('Données projet'!$A$62&gt;35,AI18+AH19-AQ18,IF(A19&lt;'Données projet'!$A$62,$AF$205^A19,IF(A19='Données projet'!$A$62,'Données projet'!$B$62,AI18+AH19-AQ18)))</f>
        <v>48</v>
      </c>
      <c r="AJ19" s="13">
        <f>AI19*VLOOKUP('Données projet'!$B$10,Paramètres!$A$1:$I$89,3,0)*VLOOKUP('Données projet'!$B$10,Paramètres!$A$1:$I$89,5,0)</f>
        <v>23.712000000000003</v>
      </c>
      <c r="AK19" s="13">
        <f t="shared" si="35"/>
        <v>7.5591672478002456</v>
      </c>
      <c r="AL19" s="20">
        <f t="shared" si="4"/>
        <v>54.463949623252098</v>
      </c>
      <c r="AM19" s="59">
        <f t="shared" si="5"/>
        <v>347.79728295658543</v>
      </c>
      <c r="AN19" s="59">
        <f ca="1">AVERAGE(OFFSET($AM$3,0,0,'Données projet'!$E$10+1,1))-AVERAGE(OFFSET($H$3,0,0,'Données projet'!$E$10+1,1))</f>
        <v>360.05819346986135</v>
      </c>
      <c r="AO19" s="59">
        <f t="shared" si="36"/>
        <v>300.47468388351081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6.8</v>
      </c>
      <c r="BD19" s="12">
        <f>IF('Données projet'!$A$88&gt;35,BD18+BC19-BL18,IF(A19&lt;'Données projet'!$A$88,$BA$205^A19,IF(A19='Données projet'!$A$88,'Données projet'!$B$88,BD18+BC19-BL18)))</f>
        <v>36.799999999999997</v>
      </c>
      <c r="BE19" s="13">
        <f>BD19*VLOOKUP('Données projet'!$B$11,Paramètres!$A$1:$I$89,3,0)*VLOOKUP('Données projet'!$B$11,Paramètres!$A$1:$I$89,5,0)</f>
        <v>21.049600000000002</v>
      </c>
      <c r="BF19" s="13">
        <f t="shared" si="37"/>
        <v>6.8040943703483032</v>
      </c>
      <c r="BG19" s="20">
        <f t="shared" si="7"/>
        <v>48.511851028356631</v>
      </c>
      <c r="BH19" s="59">
        <f t="shared" si="8"/>
        <v>341.84518436168992</v>
      </c>
      <c r="BI19" s="59">
        <f ca="1">AVERAGE(OFFSET($BH$3,0,0,'Données projet'!$E$11+1,1))-AVERAGE(OFFSET($H$3,0,0,'Données projet'!$E$11+1,1))</f>
        <v>250.90038883668348</v>
      </c>
      <c r="BJ19" s="59">
        <f t="shared" si="38"/>
        <v>141.96132114475608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13.8</v>
      </c>
      <c r="BY19" s="12">
        <f>IF('Données projet'!$A$114&gt;35,BY18+BX19-CG18,IF(A19&lt;'Données projet'!$A$114,$BV$205^A19,IF(A19='Données projet'!$A$114,'Données projet'!$B$114,BY18+BX19-CG18)))</f>
        <v>46.8</v>
      </c>
      <c r="BZ19" s="13">
        <f>BY19*VLOOKUP('Données projet'!$B$12,Paramètres!$A$1:$I$89,3,0)*VLOOKUP('Données projet'!$B$12,Paramètres!$A$1:$I$89,5,0)</f>
        <v>37.234079999999999</v>
      </c>
      <c r="CA19" s="13">
        <f t="shared" si="39"/>
        <v>11.262510356679771</v>
      </c>
      <c r="CB19" s="20">
        <f t="shared" si="10"/>
        <v>84.464894871217254</v>
      </c>
      <c r="CC19" s="59">
        <f t="shared" si="11"/>
        <v>377.79822820455058</v>
      </c>
      <c r="CD19" s="59">
        <f ca="1">AVERAGE(OFFSET($CC$3,0,0,'Données projet'!$E$12+1,1))-AVERAGE(OFFSET($H$3,0,0,'Données projet'!$E$12+1,1))</f>
        <v>279.49721661620544</v>
      </c>
      <c r="CE19" s="59">
        <f t="shared" si="40"/>
        <v>275.18739333988754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22.8</v>
      </c>
      <c r="CT19" s="12">
        <f>IF('Données projet'!$A$140&gt;35,CT18+CS19-DB18,IF(A19&lt;'Données projet'!$A$140,$CQ$205^A19,IF(A19='Données projet'!$A$140,'Données projet'!$B$140,CT18+CS19-DB18)))</f>
        <v>64.8</v>
      </c>
      <c r="CU19" s="17">
        <f>CT19*VLOOKUP('Données projet'!$B$13,Paramètres!$A$1:$I$89,3,0)*VLOOKUP('Données projet'!$B$13,Paramètres!$A$1:$I$89,5,0)</f>
        <v>32.011200000000002</v>
      </c>
      <c r="CV19" s="13">
        <f t="shared" si="41"/>
        <v>9.8545516964045792</v>
      </c>
      <c r="CW19" s="20">
        <f t="shared" si="13"/>
        <v>72.916184204571309</v>
      </c>
      <c r="CX19" s="59">
        <f t="shared" si="14"/>
        <v>366.24951753790464</v>
      </c>
      <c r="CY19" s="59">
        <f ca="1">AVERAGE(OFFSET($CX$3,0,0,'Données projet'!$E$13+1,1))-AVERAGE(OFFSET($H$3,0,0,'Données projet'!$E$13+1,1))</f>
        <v>396.27049617044378</v>
      </c>
      <c r="CZ19" s="59">
        <f t="shared" si="42"/>
        <v>335.2680289568774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10</v>
      </c>
      <c r="DO19" s="12">
        <f>IF('Données projet'!$A$166&gt;35,DO18+DN19-DW18,IF(A19&lt;'Données projet'!$A$166,$DL$205^A19,IF(A19='Données projet'!$A$166,'Données projet'!$B$166,DO18+DN19-DW18)))</f>
        <v>56</v>
      </c>
      <c r="DP19" s="17">
        <f>DO19*VLOOKUP('Données projet'!$B$14,Paramètres!$A$1:$I$89,3,0)*VLOOKUP('Données projet'!$B$14,Paramètres!$A$1:$I$89,5,0)</f>
        <v>32.032000000000004</v>
      </c>
      <c r="DQ19" s="13">
        <f t="shared" si="43"/>
        <v>9.860209365455745</v>
      </c>
      <c r="DR19" s="20">
        <f t="shared" si="16"/>
        <v>72.962264644835429</v>
      </c>
      <c r="DS19" s="59">
        <f t="shared" si="17"/>
        <v>366.29559797816876</v>
      </c>
      <c r="DT19" s="59">
        <f ca="1">AVERAGE(OFFSET($DS$3,0,0,'Données projet'!$E$14+1,1))-AVERAGE(OFFSET($H$3,0,0,'Données projet'!$E$14+1,1))</f>
        <v>307.43900954374504</v>
      </c>
      <c r="DU19" s="59">
        <f t="shared" si="44"/>
        <v>185.25270859048999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23</v>
      </c>
      <c r="EJ19" s="12">
        <f>IF('Données projet'!$A$192&gt;35,EJ18+EI19-ER18,IF(A19&lt;'Données projet'!$A$192,$EG$205^A19,IF(A19='Données projet'!$A$192,'Données projet'!$B$192,EJ18+EI19-ER18)))</f>
        <v>177</v>
      </c>
      <c r="EK19" s="17">
        <f>EJ19*VLOOKUP('Données projet'!$B$15,Paramètres!$A$1:$I$89,3,0)*VLOOKUP('Données projet'!$B$15,Paramètres!$A$1:$I$89,5,0)</f>
        <v>110.44799999999999</v>
      </c>
      <c r="EL19" s="13">
        <f t="shared" si="45"/>
        <v>29.436511885319565</v>
      </c>
      <c r="EM19" s="20">
        <f t="shared" si="19"/>
        <v>243.63219153359822</v>
      </c>
      <c r="EN19" s="59">
        <f t="shared" si="20"/>
        <v>536.96552486693156</v>
      </c>
      <c r="EO19" s="59">
        <f ca="1">AVERAGE(OFFSET($EN$3,0,0,'Données projet'!$E$15+1,1))-AVERAGE(OFFSET($H$3,0,0,'Données projet'!$E$15+1,1))</f>
        <v>269.77739619445515</v>
      </c>
      <c r="EP19" s="59">
        <f t="shared" si="46"/>
        <v>347.56964743629885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3.1793082914543169</v>
      </c>
      <c r="EY19" s="22">
        <f t="shared" si="21"/>
        <v>3.1793082914543169</v>
      </c>
      <c r="EZ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16</v>
      </c>
      <c r="FE19" s="12">
        <f>IF('Données projet'!$A$218&gt;35,FE18+FD19-FM18,IF(A19&lt;'Données projet'!$A$218,$FB$205^A19,IF(A19='Données projet'!$A$218,'Données projet'!$B$218,FE18+FD19-FM18)))</f>
        <v>59</v>
      </c>
      <c r="FF19" s="17">
        <f>FE19*VLOOKUP('Données projet'!$B$16,Paramètres!$A$1:$I$89,3,0)*VLOOKUP('Données projet'!$B$16,Paramètres!$A$1:$I$89,5,0)</f>
        <v>46.940400000000004</v>
      </c>
      <c r="FG19" s="13">
        <f t="shared" si="47"/>
        <v>13.82072434588865</v>
      </c>
      <c r="FH19" s="20">
        <f t="shared" si="22"/>
        <v>105.82562490242275</v>
      </c>
      <c r="FI19" s="59">
        <f t="shared" si="23"/>
        <v>399.15895823575607</v>
      </c>
      <c r="FJ19" s="59">
        <f ca="1">AVERAGE(OFFSET($FI$3,0,0,'Données projet'!$E$16+1,1))-AVERAGE(OFFSET($H$3,0,0,'Données projet'!$E$16+1,1))</f>
        <v>331.52724290297675</v>
      </c>
      <c r="FK19" s="59">
        <f t="shared" si="48"/>
        <v>322.79102610158054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25.8</v>
      </c>
      <c r="FZ19" s="12">
        <f>IF('Données projet'!$A$244&gt;35,FZ18+FY19-GH18,IF(A19&lt;'Données projet'!$A$244,$FW$205^A19,IF(A19='Données projet'!$A$244,'Données projet'!$B$244,FZ18+FY19-GH18)))</f>
        <v>81.8</v>
      </c>
      <c r="GA19" s="17">
        <f>FZ19*VLOOKUP('Données projet'!$B$17,Paramètres!$A$1:$I$89,3,0)*VLOOKUP('Données projet'!$B$17,Paramètres!$A$1:$I$89,5,0)</f>
        <v>40.409199999999998</v>
      </c>
      <c r="GB19" s="13">
        <f t="shared" si="49"/>
        <v>12.107041081610836</v>
      </c>
      <c r="GC19" s="20">
        <f t="shared" si="25"/>
        <v>91.465786550472217</v>
      </c>
      <c r="GD19" s="59">
        <f t="shared" si="26"/>
        <v>384.79911988380553</v>
      </c>
      <c r="GE19" s="59">
        <f ca="1">AVERAGE(OFFSET($GD$3,0,0,'Données projet'!$E$17+1,1))-AVERAGE(OFFSET($H$3,0,0,'Données projet'!$E$17+1,1))</f>
        <v>434.08297999735811</v>
      </c>
      <c r="GF19" s="59">
        <f t="shared" si="50"/>
        <v>371.04090283546122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13</v>
      </c>
      <c r="GU19" s="12">
        <f>IF('Données projet'!$A$270&gt;35,GU18+GT19-HC18,IF(A19&lt;'Données projet'!$A$270,$GR$205^A19,IF(A19='Données projet'!$A$270,'Données projet'!$B$270,GU18+GT19-HC18)))</f>
        <v>77</v>
      </c>
      <c r="GV19" s="17">
        <f>GU19*VLOOKUP('Données projet'!$B$18,Paramètres!$A$1:$I$89,3,0)*VLOOKUP('Données projet'!$B$18,Paramètres!$A$1:$I$89,5,0)</f>
        <v>44.044000000000004</v>
      </c>
      <c r="GW19" s="13">
        <f t="shared" si="51"/>
        <v>13.064428027498789</v>
      </c>
      <c r="GX19" s="20">
        <f t="shared" si="28"/>
        <v>99.463845481227054</v>
      </c>
      <c r="GY19" s="59">
        <f t="shared" si="29"/>
        <v>392.79717881456037</v>
      </c>
      <c r="GZ19" s="59">
        <f ca="1">AVERAGE(OFFSET($GY$3,0,0,'Données projet'!$E$18+1,1))-AVERAGE(OFFSET($H$3,0,0,'Données projet'!$E$18+1,1))</f>
        <v>362.57172983134313</v>
      </c>
      <c r="HA19" s="59">
        <f t="shared" si="52"/>
        <v>232.03250917542471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">
      <c r="A20" s="10">
        <f t="shared" si="31"/>
        <v>17</v>
      </c>
      <c r="B20" s="71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5">
        <f t="shared" si="1"/>
        <v>312.7140190982978</v>
      </c>
      <c r="I20" s="6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11.6</v>
      </c>
      <c r="N20" s="13">
        <f>IF('Données projet'!$A$36&gt;35,N19+M20-V19,IF(A20&lt;'Données projet'!$A$36,$K$205^A20,IF(A20='Données projet'!$A$36,'Données projet'!$B$36,N19+M20-V19)))</f>
        <v>45.2</v>
      </c>
      <c r="O20" s="13">
        <f>N20*VLOOKUP('Données projet'!$B$9,Paramètres!$A$1:$I$89,3,0)*VLOOKUP('Données projet'!$B$9,Paramètres!$A$1:$I$89,5,0)</f>
        <v>35.961120000000008</v>
      </c>
      <c r="P20" s="13">
        <f t="shared" si="33"/>
        <v>10.921600552662685</v>
      </c>
      <c r="Q20" s="20">
        <f t="shared" si="2"/>
        <v>81.654071629220851</v>
      </c>
      <c r="R20" s="59">
        <f t="shared" si="0"/>
        <v>374.98740496255414</v>
      </c>
      <c r="S20" s="59">
        <f ca="1">AVERAGE(OFFSET($R$3,0,0,'Données projet'!$E$9+1,1))-AVERAGE(OFFSET($H$3,0,0,'Données projet'!$E$9+1,1))</f>
        <v>225.2323446080772</v>
      </c>
      <c r="T20" s="59">
        <f t="shared" si="34"/>
        <v>222.29030402759292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20</v>
      </c>
      <c r="AI20" s="13">
        <f>IF('Données projet'!$A$62&gt;35,AI19+AH20-AQ19,IF(A20&lt;'Données projet'!$A$62,$AF$205^A20,IF(A20='Données projet'!$A$62,'Données projet'!$B$62,AI19+AH20-AQ19)))</f>
        <v>68</v>
      </c>
      <c r="AJ20" s="13">
        <f>AI20*VLOOKUP('Données projet'!$B$10,Paramètres!$A$1:$I$89,3,0)*VLOOKUP('Données projet'!$B$10,Paramètres!$A$1:$I$89,5,0)</f>
        <v>33.591999999999999</v>
      </c>
      <c r="AK20" s="13">
        <f t="shared" si="35"/>
        <v>10.283337087665418</v>
      </c>
      <c r="AL20" s="20">
        <f t="shared" si="4"/>
        <v>76.416212094350598</v>
      </c>
      <c r="AM20" s="59">
        <f t="shared" si="5"/>
        <v>369.74954542768393</v>
      </c>
      <c r="AN20" s="59">
        <f ca="1">AVERAGE(OFFSET($AM$3,0,0,'Données projet'!$E$10+1,1))-AVERAGE(OFFSET($H$3,0,0,'Données projet'!$E$10+1,1))</f>
        <v>360.05819346986135</v>
      </c>
      <c r="AO20" s="59">
        <f t="shared" si="36"/>
        <v>300.47468388351081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6.8</v>
      </c>
      <c r="BD20" s="12">
        <f>IF('Données projet'!$A$88&gt;35,BD19+BC20-BL19,IF(A20&lt;'Données projet'!$A$88,$BA$205^A20,IF(A20='Données projet'!$A$88,'Données projet'!$B$88,BD19+BC20-BL19)))</f>
        <v>43.599999999999994</v>
      </c>
      <c r="BE20" s="13">
        <f>BD20*VLOOKUP('Données projet'!$B$11,Paramètres!$A$1:$I$89,3,0)*VLOOKUP('Données projet'!$B$11,Paramètres!$A$1:$I$89,5,0)</f>
        <v>24.939199999999996</v>
      </c>
      <c r="BF20" s="13">
        <f t="shared" si="37"/>
        <v>7.9038275830972253</v>
      </c>
      <c r="BG20" s="20">
        <f t="shared" si="7"/>
        <v>57.201606373894329</v>
      </c>
      <c r="BH20" s="59">
        <f t="shared" si="8"/>
        <v>350.53493970722764</v>
      </c>
      <c r="BI20" s="59">
        <f ca="1">AVERAGE(OFFSET($BH$3,0,0,'Données projet'!$E$11+1,1))-AVERAGE(OFFSET($H$3,0,0,'Données projet'!$E$11+1,1))</f>
        <v>250.90038883668348</v>
      </c>
      <c r="BJ20" s="59">
        <f t="shared" si="38"/>
        <v>141.96132114475608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13.8</v>
      </c>
      <c r="BY20" s="12">
        <f>IF('Données projet'!$A$114&gt;35,BY19+BX20-CG19,IF(A20&lt;'Données projet'!$A$114,$BV$205^A20,IF(A20='Données projet'!$A$114,'Données projet'!$B$114,BY19+BX20-CG19)))</f>
        <v>60.599999999999994</v>
      </c>
      <c r="BZ20" s="13">
        <f>BY20*VLOOKUP('Données projet'!$B$12,Paramètres!$A$1:$I$89,3,0)*VLOOKUP('Données projet'!$B$12,Paramètres!$A$1:$I$89,5,0)</f>
        <v>48.213360000000002</v>
      </c>
      <c r="CA20" s="13">
        <f t="shared" si="39"/>
        <v>14.151379520104694</v>
      </c>
      <c r="CB20" s="20">
        <f t="shared" si="10"/>
        <v>108.61858799751566</v>
      </c>
      <c r="CC20" s="59">
        <f t="shared" si="11"/>
        <v>401.95192133084896</v>
      </c>
      <c r="CD20" s="59">
        <f ca="1">AVERAGE(OFFSET($CC$3,0,0,'Données projet'!$E$12+1,1))-AVERAGE(OFFSET($H$3,0,0,'Données projet'!$E$12+1,1))</f>
        <v>279.49721661620544</v>
      </c>
      <c r="CE20" s="59">
        <f t="shared" si="40"/>
        <v>275.18739333988754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22.8</v>
      </c>
      <c r="CT20" s="12">
        <f>IF('Données projet'!$A$140&gt;35,CT19+CS20-DB19,IF(A20&lt;'Données projet'!$A$140,$CQ$205^A20,IF(A20='Données projet'!$A$140,'Données projet'!$B$140,CT19+CS20-DB19)))</f>
        <v>87.6</v>
      </c>
      <c r="CU20" s="17">
        <f>CT20*VLOOKUP('Données projet'!$B$13,Paramètres!$A$1:$I$89,3,0)*VLOOKUP('Données projet'!$B$13,Paramètres!$A$1:$I$89,5,0)</f>
        <v>43.2744</v>
      </c>
      <c r="CV20" s="13">
        <f t="shared" si="41"/>
        <v>12.862512953834399</v>
      </c>
      <c r="CW20" s="20">
        <f t="shared" si="13"/>
        <v>97.771790061261569</v>
      </c>
      <c r="CX20" s="59">
        <f t="shared" si="14"/>
        <v>391.1051233945949</v>
      </c>
      <c r="CY20" s="59">
        <f ca="1">AVERAGE(OFFSET($CX$3,0,0,'Données projet'!$E$13+1,1))-AVERAGE(OFFSET($H$3,0,0,'Données projet'!$E$13+1,1))</f>
        <v>396.27049617044378</v>
      </c>
      <c r="CZ20" s="59">
        <f t="shared" si="42"/>
        <v>335.2680289568774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10</v>
      </c>
      <c r="DO20" s="12">
        <f>IF('Données projet'!$A$166&gt;35,DO19+DN20-DW19,IF(A20&lt;'Données projet'!$A$166,$DL$205^A20,IF(A20='Données projet'!$A$166,'Données projet'!$B$166,DO19+DN20-DW19)))</f>
        <v>66</v>
      </c>
      <c r="DP20" s="17">
        <f>DO20*VLOOKUP('Données projet'!$B$14,Paramètres!$A$1:$I$89,3,0)*VLOOKUP('Données projet'!$B$14,Paramètres!$A$1:$I$89,5,0)</f>
        <v>37.752000000000002</v>
      </c>
      <c r="DQ20" s="13">
        <f t="shared" si="43"/>
        <v>11.400823371119653</v>
      </c>
      <c r="DR20" s="20">
        <f t="shared" si="16"/>
        <v>85.607834038033388</v>
      </c>
      <c r="DS20" s="59">
        <f t="shared" si="17"/>
        <v>378.9411673713667</v>
      </c>
      <c r="DT20" s="59">
        <f ca="1">AVERAGE(OFFSET($DS$3,0,0,'Données projet'!$E$14+1,1))-AVERAGE(OFFSET($H$3,0,0,'Données projet'!$E$14+1,1))</f>
        <v>307.43900954374504</v>
      </c>
      <c r="DU20" s="59">
        <f t="shared" si="44"/>
        <v>185.25270859048999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23</v>
      </c>
      <c r="EJ20" s="12">
        <f>IF('Données projet'!$A$192&gt;35,EJ19+EI20-ER19,IF(A20&lt;'Données projet'!$A$192,$EG$205^A20,IF(A20='Données projet'!$A$192,'Données projet'!$B$192,EJ19+EI20-ER19)))</f>
        <v>200</v>
      </c>
      <c r="EK20" s="17">
        <f>EJ20*VLOOKUP('Données projet'!$B$15,Paramètres!$A$1:$I$89,3,0)*VLOOKUP('Données projet'!$B$15,Paramètres!$A$1:$I$89,5,0)</f>
        <v>124.80000000000001</v>
      </c>
      <c r="EL20" s="13">
        <f t="shared" si="45"/>
        <v>32.791952217579265</v>
      </c>
      <c r="EM20" s="20">
        <f t="shared" si="19"/>
        <v>274.47265011228387</v>
      </c>
      <c r="EN20" s="59">
        <f t="shared" si="20"/>
        <v>567.80598344561713</v>
      </c>
      <c r="EO20" s="59">
        <f ca="1">AVERAGE(OFFSET($EN$3,0,0,'Données projet'!$E$15+1,1))-AVERAGE(OFFSET($H$3,0,0,'Données projet'!$E$15+1,1))</f>
        <v>269.77739619445515</v>
      </c>
      <c r="EP20" s="59">
        <f t="shared" si="46"/>
        <v>347.56964743629885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2.2481104523699642</v>
      </c>
      <c r="EY20" s="22">
        <f t="shared" si="21"/>
        <v>2.2481104523699642</v>
      </c>
      <c r="EZ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16</v>
      </c>
      <c r="FE20" s="12">
        <f>IF('Données projet'!$A$218&gt;35,FE19+FD20-FM19,IF(A20&lt;'Données projet'!$A$218,$FB$205^A20,IF(A20='Données projet'!$A$218,'Données projet'!$B$218,FE19+FD20-FM19)))</f>
        <v>75</v>
      </c>
      <c r="FF20" s="17">
        <f>FE20*VLOOKUP('Données projet'!$B$16,Paramètres!$A$1:$I$89,3,0)*VLOOKUP('Données projet'!$B$16,Paramètres!$A$1:$I$89,5,0)</f>
        <v>59.67</v>
      </c>
      <c r="FG20" s="13">
        <f t="shared" si="47"/>
        <v>17.084807896591332</v>
      </c>
      <c r="FH20" s="20">
        <f t="shared" si="22"/>
        <v>133.68129041989656</v>
      </c>
      <c r="FI20" s="59">
        <f t="shared" si="23"/>
        <v>427.0146237532299</v>
      </c>
      <c r="FJ20" s="59">
        <f ca="1">AVERAGE(OFFSET($FI$3,0,0,'Données projet'!$E$16+1,1))-AVERAGE(OFFSET($H$3,0,0,'Données projet'!$E$16+1,1))</f>
        <v>331.52724290297675</v>
      </c>
      <c r="FK20" s="59">
        <f t="shared" si="48"/>
        <v>322.79102610158054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25.8</v>
      </c>
      <c r="FZ20" s="12">
        <f>IF('Données projet'!$A$244&gt;35,FZ19+FY20-GH19,IF(A20&lt;'Données projet'!$A$244,$FW$205^A20,IF(A20='Données projet'!$A$244,'Données projet'!$B$244,FZ19+FY20-GH19)))</f>
        <v>107.6</v>
      </c>
      <c r="GA20" s="17">
        <f>FZ20*VLOOKUP('Données projet'!$B$17,Paramètres!$A$1:$I$89,3,0)*VLOOKUP('Données projet'!$B$17,Paramètres!$A$1:$I$89,5,0)</f>
        <v>53.154400000000003</v>
      </c>
      <c r="GB20" s="13">
        <f t="shared" si="49"/>
        <v>15.425474064108334</v>
      </c>
      <c r="GC20" s="20">
        <f t="shared" si="25"/>
        <v>119.44328066165535</v>
      </c>
      <c r="GD20" s="59">
        <f t="shared" si="26"/>
        <v>412.77661399498868</v>
      </c>
      <c r="GE20" s="59">
        <f ca="1">AVERAGE(OFFSET($GD$3,0,0,'Données projet'!$E$17+1,1))-AVERAGE(OFFSET($H$3,0,0,'Données projet'!$E$17+1,1))</f>
        <v>434.08297999735811</v>
      </c>
      <c r="GF20" s="59">
        <f t="shared" si="50"/>
        <v>371.04090283546122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13</v>
      </c>
      <c r="GU20" s="12">
        <f>IF('Données projet'!$A$270&gt;35,GU19+GT20-HC19,IF(A20&lt;'Données projet'!$A$270,$GR$205^A20,IF(A20='Données projet'!$A$270,'Données projet'!$B$270,GU19+GT20-HC19)))</f>
        <v>90</v>
      </c>
      <c r="GV20" s="17">
        <f>GU20*VLOOKUP('Données projet'!$B$18,Paramètres!$A$1:$I$89,3,0)*VLOOKUP('Données projet'!$B$18,Paramètres!$A$1:$I$89,5,0)</f>
        <v>51.480000000000004</v>
      </c>
      <c r="GW20" s="13">
        <f t="shared" si="51"/>
        <v>14.995324806875232</v>
      </c>
      <c r="GX20" s="20">
        <f t="shared" si="28"/>
        <v>115.77785737197435</v>
      </c>
      <c r="GY20" s="59">
        <f t="shared" si="29"/>
        <v>409.11119070530765</v>
      </c>
      <c r="GZ20" s="59">
        <f ca="1">AVERAGE(OFFSET($GY$3,0,0,'Données projet'!$E$18+1,1))-AVERAGE(OFFSET($H$3,0,0,'Données projet'!$E$18+1,1))</f>
        <v>362.57172983134313</v>
      </c>
      <c r="HA20" s="59">
        <f t="shared" si="52"/>
        <v>232.03250917542471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">
      <c r="A21" s="10">
        <f t="shared" si="31"/>
        <v>18</v>
      </c>
      <c r="B21" s="71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5">
        <f t="shared" si="1"/>
        <v>313.81797682591258</v>
      </c>
      <c r="I21" s="6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11.6</v>
      </c>
      <c r="N21" s="13">
        <f>IF('Données projet'!$A$36&gt;35,N20+M21-V20,IF(A21&lt;'Données projet'!$A$36,$K$205^A21,IF(A21='Données projet'!$A$36,'Données projet'!$B$36,N20+M21-V20)))</f>
        <v>56.800000000000004</v>
      </c>
      <c r="O21" s="13">
        <f>N21*VLOOKUP('Données projet'!$B$9,Paramètres!$A$1:$I$89,3,0)*VLOOKUP('Données projet'!$B$9,Paramètres!$A$1:$I$89,5,0)</f>
        <v>45.190080000000009</v>
      </c>
      <c r="P21" s="13">
        <f t="shared" si="33"/>
        <v>13.364359727915414</v>
      </c>
      <c r="Q21" s="20">
        <f t="shared" si="2"/>
        <v>101.98231585945268</v>
      </c>
      <c r="R21" s="59">
        <f t="shared" si="0"/>
        <v>395.315649192786</v>
      </c>
      <c r="S21" s="59">
        <f ca="1">AVERAGE(OFFSET($R$3,0,0,'Données projet'!$E$9+1,1))-AVERAGE(OFFSET($H$3,0,0,'Données projet'!$E$9+1,1))</f>
        <v>225.2323446080772</v>
      </c>
      <c r="T21" s="59">
        <f t="shared" si="34"/>
        <v>222.29030402759292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20</v>
      </c>
      <c r="AI21" s="13">
        <f>IF('Données projet'!$A$62&gt;35,AI20+AH21-AQ20,IF(A21&lt;'Données projet'!$A$62,$AF$205^A21,IF(A21='Données projet'!$A$62,'Données projet'!$B$62,AI20+AH21-AQ20)))</f>
        <v>88</v>
      </c>
      <c r="AJ21" s="13">
        <f>AI21*VLOOKUP('Données projet'!$B$10,Paramètres!$A$1:$I$89,3,0)*VLOOKUP('Données projet'!$B$10,Paramètres!$A$1:$I$89,5,0)</f>
        <v>43.472000000000001</v>
      </c>
      <c r="AK21" s="13">
        <f t="shared" si="35"/>
        <v>12.914395607689235</v>
      </c>
      <c r="AL21" s="20">
        <f t="shared" si="4"/>
        <v>98.206305683392088</v>
      </c>
      <c r="AM21" s="59">
        <f t="shared" si="5"/>
        <v>391.5396390167254</v>
      </c>
      <c r="AN21" s="59">
        <f ca="1">AVERAGE(OFFSET($AM$3,0,0,'Données projet'!$E$10+1,1))-AVERAGE(OFFSET($H$3,0,0,'Données projet'!$E$10+1,1))</f>
        <v>360.05819346986135</v>
      </c>
      <c r="AO21" s="59">
        <f t="shared" si="36"/>
        <v>300.47468388351081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6.8</v>
      </c>
      <c r="BD21" s="12">
        <f>IF('Données projet'!$A$88&gt;35,BD20+BC21-BL20,IF(A21&lt;'Données projet'!$A$88,$BA$205^A21,IF(A21='Données projet'!$A$88,'Données projet'!$B$88,BD20+BC21-BL20)))</f>
        <v>50.399999999999991</v>
      </c>
      <c r="BE21" s="13">
        <f>BD21*VLOOKUP('Données projet'!$B$11,Paramètres!$A$1:$I$89,3,0)*VLOOKUP('Données projet'!$B$11,Paramètres!$A$1:$I$89,5,0)</f>
        <v>28.828799999999994</v>
      </c>
      <c r="BF21" s="13">
        <f t="shared" si="37"/>
        <v>8.9836912534059454</v>
      </c>
      <c r="BG21" s="20">
        <f t="shared" si="7"/>
        <v>65.856755599682003</v>
      </c>
      <c r="BH21" s="59">
        <f t="shared" si="8"/>
        <v>359.19008893301532</v>
      </c>
      <c r="BI21" s="59">
        <f ca="1">AVERAGE(OFFSET($BH$3,0,0,'Données projet'!$E$11+1,1))-AVERAGE(OFFSET($H$3,0,0,'Données projet'!$E$11+1,1))</f>
        <v>250.90038883668348</v>
      </c>
      <c r="BJ21" s="59">
        <f t="shared" si="38"/>
        <v>141.96132114475608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13.8</v>
      </c>
      <c r="BY21" s="12">
        <f>IF('Données projet'!$A$114&gt;35,BY20+BX21-CG20,IF(A21&lt;'Données projet'!$A$114,$BV$205^A21,IF(A21='Données projet'!$A$114,'Données projet'!$B$114,BY20+BX21-CG20)))</f>
        <v>74.399999999999991</v>
      </c>
      <c r="BZ21" s="13">
        <f>BY21*VLOOKUP('Données projet'!$B$12,Paramètres!$A$1:$I$89,3,0)*VLOOKUP('Données projet'!$B$12,Paramètres!$A$1:$I$89,5,0)</f>
        <v>59.192639999999997</v>
      </c>
      <c r="CA21" s="13">
        <f t="shared" si="39"/>
        <v>16.963982408330725</v>
      </c>
      <c r="CB21" s="20">
        <f t="shared" si="10"/>
        <v>132.63945069450935</v>
      </c>
      <c r="CC21" s="59">
        <f t="shared" si="11"/>
        <v>425.97278402784264</v>
      </c>
      <c r="CD21" s="59">
        <f ca="1">AVERAGE(OFFSET($CC$3,0,0,'Données projet'!$E$12+1,1))-AVERAGE(OFFSET($H$3,0,0,'Données projet'!$E$12+1,1))</f>
        <v>279.49721661620544</v>
      </c>
      <c r="CE21" s="59">
        <f t="shared" si="40"/>
        <v>275.18739333988754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22.8</v>
      </c>
      <c r="CT21" s="12">
        <f>IF('Données projet'!$A$140&gt;35,CT20+CS21-DB20,IF(A21&lt;'Données projet'!$A$140,$CQ$205^A21,IF(A21='Données projet'!$A$140,'Données projet'!$B$140,CT20+CS21-DB20)))</f>
        <v>110.39999999999999</v>
      </c>
      <c r="CU21" s="17">
        <f>CT21*VLOOKUP('Données projet'!$B$13,Paramètres!$A$1:$I$89,3,0)*VLOOKUP('Données projet'!$B$13,Paramètres!$A$1:$I$89,5,0)</f>
        <v>54.537599999999998</v>
      </c>
      <c r="CV21" s="13">
        <f t="shared" si="41"/>
        <v>15.779624713844454</v>
      </c>
      <c r="CW21" s="20">
        <f t="shared" si="13"/>
        <v>122.46916637661241</v>
      </c>
      <c r="CX21" s="59">
        <f t="shared" si="14"/>
        <v>415.80249970994572</v>
      </c>
      <c r="CY21" s="59">
        <f ca="1">AVERAGE(OFFSET($CX$3,0,0,'Données projet'!$E$13+1,1))-AVERAGE(OFFSET($H$3,0,0,'Données projet'!$E$13+1,1))</f>
        <v>396.27049617044378</v>
      </c>
      <c r="CZ21" s="59">
        <f t="shared" si="42"/>
        <v>335.2680289568774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10</v>
      </c>
      <c r="DO21" s="12">
        <f>IF('Données projet'!$A$166&gt;35,DO20+DN21-DW20,IF(A21&lt;'Données projet'!$A$166,$DL$205^A21,IF(A21='Données projet'!$A$166,'Données projet'!$B$166,DO20+DN21-DW20)))</f>
        <v>76</v>
      </c>
      <c r="DP21" s="17">
        <f>DO21*VLOOKUP('Données projet'!$B$14,Paramètres!$A$1:$I$89,3,0)*VLOOKUP('Données projet'!$B$14,Paramètres!$A$1:$I$89,5,0)</f>
        <v>43.472000000000001</v>
      </c>
      <c r="DQ21" s="13">
        <f t="shared" si="43"/>
        <v>12.914395607689235</v>
      </c>
      <c r="DR21" s="20">
        <f t="shared" si="16"/>
        <v>98.206305683392088</v>
      </c>
      <c r="DS21" s="59">
        <f t="shared" si="17"/>
        <v>391.5396390167254</v>
      </c>
      <c r="DT21" s="59">
        <f ca="1">AVERAGE(OFFSET($DS$3,0,0,'Données projet'!$E$14+1,1))-AVERAGE(OFFSET($H$3,0,0,'Données projet'!$E$14+1,1))</f>
        <v>307.43900954374504</v>
      </c>
      <c r="DU21" s="59">
        <f t="shared" si="44"/>
        <v>185.25270859048999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>
        <f>VLOOKUP(A21,'Données projet'!$A$191:$I$211,2,0)</f>
        <v>223</v>
      </c>
      <c r="EH21" s="12">
        <f>VLOOKUP(A21,'Données projet'!$A$191:$I$211,9,0)</f>
        <v>23</v>
      </c>
      <c r="EI21" s="12">
        <f t="array" ref="EI21">INDEX(EH:EH,MIN(IF(ISNUMBER(EH21:EH217),ROW(EH21:EH217),"")))</f>
        <v>23</v>
      </c>
      <c r="EJ21" s="12">
        <f>IF('Données projet'!$A$192&gt;35,EJ20+EI21-ER20,IF(A21&lt;'Données projet'!$A$192,$EG$205^A21,IF(A21='Données projet'!$A$192,'Données projet'!$B$192,EJ20+EI21-ER20)))</f>
        <v>223</v>
      </c>
      <c r="EK21" s="17">
        <f>EJ21*VLOOKUP('Données projet'!$B$15,Paramètres!$A$1:$I$89,3,0)*VLOOKUP('Données projet'!$B$15,Paramètres!$A$1:$I$89,5,0)</f>
        <v>139.15199999999999</v>
      </c>
      <c r="EL21" s="13">
        <f t="shared" si="45"/>
        <v>36.102671964783006</v>
      </c>
      <c r="EM21" s="20">
        <f t="shared" si="19"/>
        <v>305.23522033866374</v>
      </c>
      <c r="EN21" s="59">
        <f t="shared" si="20"/>
        <v>598.56855367199705</v>
      </c>
      <c r="EO21" s="59">
        <f ca="1">AVERAGE(OFFSET($EN$3,0,0,'Données projet'!$E$15+1,1))-AVERAGE(OFFSET($H$3,0,0,'Données projet'!$E$15+1,1))</f>
        <v>269.77739619445515</v>
      </c>
      <c r="EP21" s="59">
        <f t="shared" si="46"/>
        <v>347.56964743629885</v>
      </c>
      <c r="EQ21" s="15">
        <f>IF(ISNA(VLOOKUP(A21,'Données projet'!$A$191:$I$211,3,0)),0,VLOOKUP(A21,'Données projet'!$A$191:$I$211,3,0))</f>
        <v>2</v>
      </c>
      <c r="ER21" s="15">
        <f>IF(ISNA(VLOOKUP(A21,'Données projet'!$A$191:$I$211,4,0)),0,VLOOKUP(A21,'Données projet'!$A$191:$I$211,4,0))</f>
        <v>84.3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0.6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41.704067321283624</v>
      </c>
      <c r="EX21" s="21">
        <f>EXP(-LN(2)/2)*EX20+(1-EXP(-LN(2)/2))/(LN(2)/2)*ER21*EU21*VLOOKUP('Données projet'!$B$15,Paramètres!$A$1:$I$89,3,0)*0.475*44/12</f>
        <v>1.5896541457271587</v>
      </c>
      <c r="EY21" s="22">
        <f t="shared" si="21"/>
        <v>43.293721467010783</v>
      </c>
      <c r="EZ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16</v>
      </c>
      <c r="FE21" s="12">
        <f>IF('Données projet'!$A$218&gt;35,FE20+FD21-FM20,IF(A21&lt;'Données projet'!$A$218,$FB$205^A21,IF(A21='Données projet'!$A$218,'Données projet'!$B$218,FE20+FD21-FM20)))</f>
        <v>91</v>
      </c>
      <c r="FF21" s="17">
        <f>FE21*VLOOKUP('Données projet'!$B$16,Paramètres!$A$1:$I$89,3,0)*VLOOKUP('Données projet'!$B$16,Paramètres!$A$1:$I$89,5,0)</f>
        <v>72.399600000000007</v>
      </c>
      <c r="FG21" s="13">
        <f t="shared" si="47"/>
        <v>20.268188832715463</v>
      </c>
      <c r="FH21" s="20">
        <f t="shared" si="22"/>
        <v>161.39639888364613</v>
      </c>
      <c r="FI21" s="59">
        <f t="shared" si="23"/>
        <v>454.72973221697941</v>
      </c>
      <c r="FJ21" s="59">
        <f ca="1">AVERAGE(OFFSET($FI$3,0,0,'Données projet'!$E$16+1,1))-AVERAGE(OFFSET($H$3,0,0,'Données projet'!$E$16+1,1))</f>
        <v>331.52724290297675</v>
      </c>
      <c r="FK21" s="59">
        <f t="shared" si="48"/>
        <v>322.79102610158054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25.8</v>
      </c>
      <c r="FZ21" s="12">
        <f>IF('Données projet'!$A$244&gt;35,FZ20+FY21-GH20,IF(A21&lt;'Données projet'!$A$244,$FW$205^A21,IF(A21='Données projet'!$A$244,'Données projet'!$B$244,FZ20+FY21-GH20)))</f>
        <v>133.4</v>
      </c>
      <c r="GA21" s="17">
        <f>FZ21*VLOOKUP('Données projet'!$B$17,Paramètres!$A$1:$I$89,3,0)*VLOOKUP('Données projet'!$B$17,Paramètres!$A$1:$I$89,5,0)</f>
        <v>65.899600000000007</v>
      </c>
      <c r="GB21" s="13">
        <f t="shared" si="49"/>
        <v>18.651634138580526</v>
      </c>
      <c r="GC21" s="20">
        <f t="shared" si="25"/>
        <v>147.26006612469442</v>
      </c>
      <c r="GD21" s="59">
        <f t="shared" si="26"/>
        <v>440.59339945802776</v>
      </c>
      <c r="GE21" s="59">
        <f ca="1">AVERAGE(OFFSET($GD$3,0,0,'Données projet'!$E$17+1,1))-AVERAGE(OFFSET($H$3,0,0,'Données projet'!$E$17+1,1))</f>
        <v>434.08297999735811</v>
      </c>
      <c r="GF21" s="59">
        <f t="shared" si="50"/>
        <v>371.04090283546122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13</v>
      </c>
      <c r="GU21" s="12">
        <f>IF('Données projet'!$A$270&gt;35,GU20+GT21-HC20,IF(A21&lt;'Données projet'!$A$270,$GR$205^A21,IF(A21='Données projet'!$A$270,'Données projet'!$B$270,GU20+GT21-HC20)))</f>
        <v>103</v>
      </c>
      <c r="GV21" s="17">
        <f>GU21*VLOOKUP('Données projet'!$B$18,Paramètres!$A$1:$I$89,3,0)*VLOOKUP('Données projet'!$B$18,Paramètres!$A$1:$I$89,5,0)</f>
        <v>58.916000000000004</v>
      </c>
      <c r="GW21" s="13">
        <f t="shared" si="51"/>
        <v>16.893909667499365</v>
      </c>
      <c r="GX21" s="20">
        <f t="shared" si="28"/>
        <v>132.03559267089474</v>
      </c>
      <c r="GY21" s="59">
        <f t="shared" si="29"/>
        <v>425.36892600422806</v>
      </c>
      <c r="GZ21" s="59">
        <f ca="1">AVERAGE(OFFSET($GY$3,0,0,'Données projet'!$E$18+1,1))-AVERAGE(OFFSET($H$3,0,0,'Données projet'!$E$18+1,1))</f>
        <v>362.57172983134313</v>
      </c>
      <c r="HA21" s="59">
        <f t="shared" si="52"/>
        <v>232.03250917542471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3">
      <c r="A22" s="10">
        <f t="shared" si="31"/>
        <v>19</v>
      </c>
      <c r="B22" s="71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5">
        <f t="shared" si="1"/>
        <v>314.92021764503886</v>
      </c>
      <c r="I22" s="6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11.6</v>
      </c>
      <c r="N22" s="13">
        <f>IF('Données projet'!$A$36&gt;35,N21+M22-V21,IF(A22&lt;'Données projet'!$A$36,$K$205^A22,IF(A22='Données projet'!$A$36,'Données projet'!$B$36,N21+M22-V21)))</f>
        <v>68.400000000000006</v>
      </c>
      <c r="O22" s="13">
        <f>N22*VLOOKUP('Données projet'!$B$9,Paramètres!$A$1:$I$89,3,0)*VLOOKUP('Données projet'!$B$9,Paramètres!$A$1:$I$89,5,0)</f>
        <v>54.419040000000003</v>
      </c>
      <c r="P22" s="13">
        <f t="shared" si="33"/>
        <v>15.749310274925152</v>
      </c>
      <c r="Q22" s="20">
        <f t="shared" si="2"/>
        <v>122.20987672882796</v>
      </c>
      <c r="R22" s="59">
        <f t="shared" si="0"/>
        <v>415.54321006216128</v>
      </c>
      <c r="S22" s="59">
        <f ca="1">AVERAGE(OFFSET($R$3,0,0,'Données projet'!$E$9+1,1))-AVERAGE(OFFSET($H$3,0,0,'Données projet'!$E$9+1,1))</f>
        <v>225.2323446080772</v>
      </c>
      <c r="T22" s="59">
        <f t="shared" si="34"/>
        <v>222.29030402759292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20</v>
      </c>
      <c r="AI22" s="13">
        <f>IF('Données projet'!$A$62&gt;35,AI21+AH22-AQ21,IF(A22&lt;'Données projet'!$A$62,$AF$205^A22,IF(A22='Données projet'!$A$62,'Données projet'!$B$62,AI21+AH22-AQ21)))</f>
        <v>108</v>
      </c>
      <c r="AJ22" s="13">
        <f>AI22*VLOOKUP('Données projet'!$B$10,Paramètres!$A$1:$I$89,3,0)*VLOOKUP('Données projet'!$B$10,Paramètres!$A$1:$I$89,5,0)</f>
        <v>53.352000000000004</v>
      </c>
      <c r="AK22" s="13">
        <f t="shared" si="35"/>
        <v>15.476132071622843</v>
      </c>
      <c r="AL22" s="20">
        <f t="shared" si="4"/>
        <v>119.87566335807645</v>
      </c>
      <c r="AM22" s="59">
        <f t="shared" si="5"/>
        <v>413.20899669140977</v>
      </c>
      <c r="AN22" s="59">
        <f ca="1">AVERAGE(OFFSET($AM$3,0,0,'Données projet'!$E$10+1,1))-AVERAGE(OFFSET($H$3,0,0,'Données projet'!$E$10+1,1))</f>
        <v>360.05819346986135</v>
      </c>
      <c r="AO22" s="59">
        <f t="shared" si="36"/>
        <v>300.47468388351081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6.8</v>
      </c>
      <c r="BD22" s="12">
        <f>IF('Données projet'!$A$88&gt;35,BD21+BC22-BL21,IF(A22&lt;'Données projet'!$A$88,$BA$205^A22,IF(A22='Données projet'!$A$88,'Données projet'!$B$88,BD21+BC22-BL21)))</f>
        <v>57.199999999999989</v>
      </c>
      <c r="BE22" s="13">
        <f>BD22*VLOOKUP('Données projet'!$B$11,Paramètres!$A$1:$I$89,3,0)*VLOOKUP('Données projet'!$B$11,Paramètres!$A$1:$I$89,5,0)</f>
        <v>32.718399999999995</v>
      </c>
      <c r="BF22" s="13">
        <f t="shared" si="37"/>
        <v>10.046674386106178</v>
      </c>
      <c r="BG22" s="20">
        <f t="shared" si="7"/>
        <v>74.482504555801583</v>
      </c>
      <c r="BH22" s="59">
        <f t="shared" si="8"/>
        <v>367.81583788913491</v>
      </c>
      <c r="BI22" s="59">
        <f ca="1">AVERAGE(OFFSET($BH$3,0,0,'Données projet'!$E$11+1,1))-AVERAGE(OFFSET($H$3,0,0,'Données projet'!$E$11+1,1))</f>
        <v>250.90038883668348</v>
      </c>
      <c r="BJ22" s="59">
        <f t="shared" si="38"/>
        <v>141.96132114475608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13.8</v>
      </c>
      <c r="BY22" s="12">
        <f>IF('Données projet'!$A$114&gt;35,BY21+BX22-CG21,IF(A22&lt;'Données projet'!$A$114,$BV$205^A22,IF(A22='Données projet'!$A$114,'Données projet'!$B$114,BY21+BX22-CG21)))</f>
        <v>88.199999999999989</v>
      </c>
      <c r="BZ22" s="13">
        <f>BY22*VLOOKUP('Données projet'!$B$12,Paramètres!$A$1:$I$89,3,0)*VLOOKUP('Données projet'!$B$12,Paramètres!$A$1:$I$89,5,0)</f>
        <v>70.171919999999986</v>
      </c>
      <c r="CA22" s="13">
        <f t="shared" si="39"/>
        <v>19.716145269554726</v>
      </c>
      <c r="CB22" s="20">
        <f t="shared" si="10"/>
        <v>156.55504701114111</v>
      </c>
      <c r="CC22" s="59">
        <f t="shared" si="11"/>
        <v>449.8883803444744</v>
      </c>
      <c r="CD22" s="59">
        <f ca="1">AVERAGE(OFFSET($CC$3,0,0,'Données projet'!$E$12+1,1))-AVERAGE(OFFSET($H$3,0,0,'Données projet'!$E$12+1,1))</f>
        <v>279.49721661620544</v>
      </c>
      <c r="CE22" s="59">
        <f t="shared" si="40"/>
        <v>275.18739333988754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22.8</v>
      </c>
      <c r="CT22" s="12">
        <f>IF('Données projet'!$A$140&gt;35,CT21+CS22-DB21,IF(A22&lt;'Données projet'!$A$140,$CQ$205^A22,IF(A22='Données projet'!$A$140,'Données projet'!$B$140,CT21+CS22-DB21)))</f>
        <v>133.19999999999999</v>
      </c>
      <c r="CU22" s="17">
        <f>CT22*VLOOKUP('Données projet'!$B$13,Paramètres!$A$1:$I$89,3,0)*VLOOKUP('Données projet'!$B$13,Paramètres!$A$1:$I$89,5,0)</f>
        <v>65.800799999999995</v>
      </c>
      <c r="CV22" s="13">
        <f t="shared" si="41"/>
        <v>18.626923459774289</v>
      </c>
      <c r="CW22" s="20">
        <f t="shared" si="13"/>
        <v>147.04495169244021</v>
      </c>
      <c r="CX22" s="59">
        <f t="shared" si="14"/>
        <v>440.37828502577349</v>
      </c>
      <c r="CY22" s="59">
        <f ca="1">AVERAGE(OFFSET($CX$3,0,0,'Données projet'!$E$13+1,1))-AVERAGE(OFFSET($H$3,0,0,'Données projet'!$E$13+1,1))</f>
        <v>396.27049617044378</v>
      </c>
      <c r="CZ22" s="59">
        <f t="shared" si="42"/>
        <v>335.2680289568774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10</v>
      </c>
      <c r="DO22" s="12">
        <f>IF('Données projet'!$A$166&gt;35,DO21+DN22-DW21,IF(A22&lt;'Données projet'!$A$166,$DL$205^A22,IF(A22='Données projet'!$A$166,'Données projet'!$B$166,DO21+DN22-DW21)))</f>
        <v>86</v>
      </c>
      <c r="DP22" s="17">
        <f>DO22*VLOOKUP('Données projet'!$B$14,Paramètres!$A$1:$I$89,3,0)*VLOOKUP('Données projet'!$B$14,Paramètres!$A$1:$I$89,5,0)</f>
        <v>49.192000000000007</v>
      </c>
      <c r="DQ22" s="13">
        <f t="shared" si="43"/>
        <v>14.404892693343825</v>
      </c>
      <c r="DR22" s="20">
        <f t="shared" si="16"/>
        <v>110.76458810757384</v>
      </c>
      <c r="DS22" s="59">
        <f t="shared" si="17"/>
        <v>404.09792144090716</v>
      </c>
      <c r="DT22" s="59">
        <f ca="1">AVERAGE(OFFSET($DS$3,0,0,'Données projet'!$E$14+1,1))-AVERAGE(OFFSET($H$3,0,0,'Données projet'!$E$14+1,1))</f>
        <v>307.43900954374504</v>
      </c>
      <c r="DU22" s="59">
        <f t="shared" si="44"/>
        <v>185.25270859048999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19.216666666666669</v>
      </c>
      <c r="EJ22" s="12">
        <f>IF('Données projet'!$A$192&gt;35,EJ21+EI22-ER21,IF(A22&lt;'Données projet'!$A$192,$EG$205^A22,IF(A22='Données projet'!$A$192,'Données projet'!$B$192,EJ21+EI22-ER21)))</f>
        <v>157.91666666666669</v>
      </c>
      <c r="EK22" s="17">
        <f>EJ22*VLOOKUP('Données projet'!$B$15,Paramètres!$A$1:$I$89,3,0)*VLOOKUP('Données projet'!$B$15,Paramètres!$A$1:$I$89,5,0)</f>
        <v>98.54000000000002</v>
      </c>
      <c r="EL22" s="13">
        <f t="shared" si="45"/>
        <v>26.613875509207226</v>
      </c>
      <c r="EM22" s="20">
        <f t="shared" si="19"/>
        <v>217.97633317853592</v>
      </c>
      <c r="EN22" s="59">
        <f t="shared" si="20"/>
        <v>511.30966651186924</v>
      </c>
      <c r="EO22" s="59">
        <f ca="1">AVERAGE(OFFSET($EN$3,0,0,'Données projet'!$E$15+1,1))-AVERAGE(OFFSET($H$3,0,0,'Données projet'!$E$15+1,1))</f>
        <v>269.77739619445515</v>
      </c>
      <c r="EP22" s="59">
        <f t="shared" si="46"/>
        <v>347.56964743629885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40.563667407261541</v>
      </c>
      <c r="EX22" s="21">
        <f>EXP(-LN(2)/2)*EX21+(1-EXP(-LN(2)/2))/(LN(2)/2)*ER22*EU22*VLOOKUP('Données projet'!$B$15,Paramètres!$A$1:$I$89,3,0)*0.475*44/12</f>
        <v>1.1240552261849821</v>
      </c>
      <c r="EY22" s="22">
        <f t="shared" si="21"/>
        <v>41.687722633446526</v>
      </c>
      <c r="EZ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16</v>
      </c>
      <c r="FE22" s="12">
        <f>IF('Données projet'!$A$218&gt;35,FE21+FD22-FM21,IF(A22&lt;'Données projet'!$A$218,$FB$205^A22,IF(A22='Données projet'!$A$218,'Données projet'!$B$218,FE21+FD22-FM21)))</f>
        <v>107</v>
      </c>
      <c r="FF22" s="17">
        <f>FE22*VLOOKUP('Données projet'!$B$16,Paramètres!$A$1:$I$89,3,0)*VLOOKUP('Données projet'!$B$16,Paramètres!$A$1:$I$89,5,0)</f>
        <v>85.129199999999997</v>
      </c>
      <c r="FG22" s="13">
        <f t="shared" si="47"/>
        <v>23.386728480923388</v>
      </c>
      <c r="FH22" s="20">
        <f t="shared" si="22"/>
        <v>188.99857543760822</v>
      </c>
      <c r="FI22" s="59">
        <f t="shared" si="23"/>
        <v>482.33190877094154</v>
      </c>
      <c r="FJ22" s="59">
        <f ca="1">AVERAGE(OFFSET($FI$3,0,0,'Données projet'!$E$16+1,1))-AVERAGE(OFFSET($H$3,0,0,'Données projet'!$E$16+1,1))</f>
        <v>331.52724290297675</v>
      </c>
      <c r="FK22" s="59">
        <f t="shared" si="48"/>
        <v>322.79102610158054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25.8</v>
      </c>
      <c r="FZ22" s="12">
        <f>IF('Données projet'!$A$244&gt;35,FZ21+FY22-GH21,IF(A22&lt;'Données projet'!$A$244,$FW$205^A22,IF(A22='Données projet'!$A$244,'Données projet'!$B$244,FZ21+FY22-GH21)))</f>
        <v>159.20000000000002</v>
      </c>
      <c r="GA22" s="17">
        <f>FZ22*VLOOKUP('Données projet'!$B$17,Paramètres!$A$1:$I$89,3,0)*VLOOKUP('Données projet'!$B$17,Paramètres!$A$1:$I$89,5,0)</f>
        <v>78.644800000000018</v>
      </c>
      <c r="GB22" s="13">
        <f t="shared" si="49"/>
        <v>21.80550192131771</v>
      </c>
      <c r="GC22" s="20">
        <f t="shared" si="25"/>
        <v>174.95094251296169</v>
      </c>
      <c r="GD22" s="59">
        <f t="shared" si="26"/>
        <v>468.28427584629503</v>
      </c>
      <c r="GE22" s="59">
        <f ca="1">AVERAGE(OFFSET($GD$3,0,0,'Données projet'!$E$17+1,1))-AVERAGE(OFFSET($H$3,0,0,'Données projet'!$E$17+1,1))</f>
        <v>434.08297999735811</v>
      </c>
      <c r="GF22" s="59">
        <f t="shared" si="50"/>
        <v>371.04090283546122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13</v>
      </c>
      <c r="GU22" s="12">
        <f>IF('Données projet'!$A$270&gt;35,GU21+GT22-HC21,IF(A22&lt;'Données projet'!$A$270,$GR$205^A22,IF(A22='Données projet'!$A$270,'Données projet'!$B$270,GU21+GT22-HC21)))</f>
        <v>116</v>
      </c>
      <c r="GV22" s="17">
        <f>GU22*VLOOKUP('Données projet'!$B$18,Paramètres!$A$1:$I$89,3,0)*VLOOKUP('Données projet'!$B$18,Paramètres!$A$1:$I$89,5,0)</f>
        <v>66.352000000000004</v>
      </c>
      <c r="GW22" s="13">
        <f t="shared" si="51"/>
        <v>18.764728069895565</v>
      </c>
      <c r="GX22" s="20">
        <f t="shared" si="28"/>
        <v>148.24496805506811</v>
      </c>
      <c r="GY22" s="59">
        <f t="shared" si="29"/>
        <v>441.57830138840143</v>
      </c>
      <c r="GZ22" s="59">
        <f ca="1">AVERAGE(OFFSET($GY$3,0,0,'Données projet'!$E$18+1,1))-AVERAGE(OFFSET($H$3,0,0,'Données projet'!$E$18+1,1))</f>
        <v>362.57172983134313</v>
      </c>
      <c r="HA22" s="59">
        <f t="shared" si="52"/>
        <v>232.03250917542471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3">
      <c r="A23" s="10">
        <f t="shared" si="31"/>
        <v>20</v>
      </c>
      <c r="B23" s="71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5">
        <f t="shared" si="1"/>
        <v>316.02084222454056</v>
      </c>
      <c r="I23" s="6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80</v>
      </c>
      <c r="L23" s="12">
        <f>VLOOKUP(A23,'Données projet'!$A$35:$I$55,9,0)</f>
        <v>11.6</v>
      </c>
      <c r="M23" s="12">
        <f t="array" ref="M23">INDEX(L:L,MIN(IF(ISNUMBER(L23:L219),ROW(L23:L219),"")))</f>
        <v>11.6</v>
      </c>
      <c r="N23" s="13">
        <f>IF('Données projet'!$A$36&gt;35,N22+M23-V22,IF(A23&lt;'Données projet'!$A$36,$K$205^A23,IF(A23='Données projet'!$A$36,'Données projet'!$B$36,N22+M23-V22)))</f>
        <v>80</v>
      </c>
      <c r="O23" s="13">
        <f>N23*VLOOKUP('Données projet'!$B$9,Paramètres!$A$1:$I$89,3,0)*VLOOKUP('Données projet'!$B$9,Paramètres!$A$1:$I$89,5,0)</f>
        <v>63.647999999999996</v>
      </c>
      <c r="P23" s="13">
        <f t="shared" si="33"/>
        <v>18.087405707268363</v>
      </c>
      <c r="Q23" s="20">
        <f t="shared" si="2"/>
        <v>142.35583160682572</v>
      </c>
      <c r="R23" s="59">
        <f t="shared" si="0"/>
        <v>435.689164940159</v>
      </c>
      <c r="S23" s="59">
        <f ca="1">AVERAGE(OFFSET($R$3,0,0,'Données projet'!$E$9+1,1))-AVERAGE(OFFSET($H$3,0,0,'Données projet'!$E$9+1,1))</f>
        <v>225.2323446080772</v>
      </c>
      <c r="T23" s="59">
        <f t="shared" si="34"/>
        <v>222.29030402759292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28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128</v>
      </c>
      <c r="AG23" s="12">
        <f>VLOOKUP(A23,'Données projet'!$A$61:$I$81,9,0)</f>
        <v>20</v>
      </c>
      <c r="AH23" s="12">
        <f t="array" ref="AH23">INDEX(AG:AG,MIN(IF(ISNUMBER(AG23:AG219),ROW(AG23:AG219),"")))</f>
        <v>20</v>
      </c>
      <c r="AI23" s="13">
        <f>IF('Données projet'!$A$62&gt;35,AI22+AH23-AQ22,IF(A23&lt;'Données projet'!$A$62,$AF$205^A23,IF(A23='Données projet'!$A$62,'Données projet'!$B$62,AI22+AH23-AQ22)))</f>
        <v>128</v>
      </c>
      <c r="AJ23" s="13">
        <f>AI23*VLOOKUP('Données projet'!$B$10,Paramètres!$A$1:$I$89,3,0)*VLOOKUP('Données projet'!$B$10,Paramètres!$A$1:$I$89,5,0)</f>
        <v>63.232000000000006</v>
      </c>
      <c r="AK23" s="13">
        <f t="shared" si="35"/>
        <v>17.98290815197117</v>
      </c>
      <c r="AL23" s="20">
        <f t="shared" si="4"/>
        <v>141.44929836468313</v>
      </c>
      <c r="AM23" s="59">
        <f t="shared" si="5"/>
        <v>434.78263169801642</v>
      </c>
      <c r="AN23" s="59">
        <f ca="1">AVERAGE(OFFSET($AM$3,0,0,'Données projet'!$E$10+1,1))-AVERAGE(OFFSET($H$3,0,0,'Données projet'!$E$10+1,1))</f>
        <v>360.05819346986135</v>
      </c>
      <c r="AO23" s="59">
        <f t="shared" si="36"/>
        <v>300.47468388351081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1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1.6779682649342222</v>
      </c>
      <c r="AX23" s="21">
        <f t="shared" si="6"/>
        <v>1.6779682649342222</v>
      </c>
      <c r="AY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64</v>
      </c>
      <c r="BB23" s="12">
        <f>VLOOKUP(A23,'Données projet'!$A$87:$I$107,9,0)</f>
        <v>6.8</v>
      </c>
      <c r="BC23" s="12">
        <f t="array" ref="BC23">INDEX(BB:BB,MIN(IF(ISNUMBER(BB23:BB219),ROW(BB23:BB219),"")))</f>
        <v>6.8</v>
      </c>
      <c r="BD23" s="12">
        <f>IF('Données projet'!$A$88&gt;35,BD22+BC23-BL22,IF(A23&lt;'Données projet'!$A$88,$BA$205^A23,IF(A23='Données projet'!$A$88,'Données projet'!$B$88,BD22+BC23-BL22)))</f>
        <v>63.999999999999986</v>
      </c>
      <c r="BE23" s="13">
        <f>BD23*VLOOKUP('Données projet'!$B$11,Paramètres!$A$1:$I$89,3,0)*VLOOKUP('Données projet'!$B$11,Paramètres!$A$1:$I$89,5,0)</f>
        <v>36.60799999999999</v>
      </c>
      <c r="BF23" s="13">
        <f t="shared" si="37"/>
        <v>11.095013140333551</v>
      </c>
      <c r="BG23" s="20">
        <f t="shared" si="7"/>
        <v>83.082747886080909</v>
      </c>
      <c r="BH23" s="59">
        <f t="shared" si="8"/>
        <v>376.4160812194142</v>
      </c>
      <c r="BI23" s="59">
        <f ca="1">AVERAGE(OFFSET($BH$3,0,0,'Données projet'!$E$11+1,1))-AVERAGE(OFFSET($H$3,0,0,'Données projet'!$E$11+1,1))</f>
        <v>250.90038883668348</v>
      </c>
      <c r="BJ23" s="59">
        <f t="shared" si="38"/>
        <v>141.96132114475608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102</v>
      </c>
      <c r="BW23" s="12">
        <f>VLOOKUP(A23,'Données projet'!$A$113:$I$133,9,0)</f>
        <v>13.8</v>
      </c>
      <c r="BX23" s="12">
        <f t="array" ref="BX23">INDEX(BW:BW,MIN(IF(ISNUMBER(BW23:BW219),ROW(BW23:BW219),"")))</f>
        <v>13.8</v>
      </c>
      <c r="BY23" s="12">
        <f>IF('Données projet'!$A$114&gt;35,BY22+BX23-CG22,IF(A23&lt;'Données projet'!$A$114,$BV$205^A23,IF(A23='Données projet'!$A$114,'Données projet'!$B$114,BY22+BX23-CG22)))</f>
        <v>101.99999999999999</v>
      </c>
      <c r="BZ23" s="13">
        <f>BY23*VLOOKUP('Données projet'!$B$12,Paramètres!$A$1:$I$89,3,0)*VLOOKUP('Données projet'!$B$12,Paramètres!$A$1:$I$89,5,0)</f>
        <v>81.151200000000003</v>
      </c>
      <c r="CA23" s="13">
        <f t="shared" si="39"/>
        <v>22.418424032002342</v>
      </c>
      <c r="CB23" s="20">
        <f t="shared" si="10"/>
        <v>180.38376185573739</v>
      </c>
      <c r="CC23" s="59">
        <f t="shared" si="11"/>
        <v>473.71709518907073</v>
      </c>
      <c r="CD23" s="59">
        <f ca="1">AVERAGE(OFFSET($CC$3,0,0,'Données projet'!$E$12+1,1))-AVERAGE(OFFSET($H$3,0,0,'Données projet'!$E$12+1,1))</f>
        <v>279.49721661620544</v>
      </c>
      <c r="CE23" s="59">
        <f t="shared" si="40"/>
        <v>275.18739333988754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35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156</v>
      </c>
      <c r="CR23" s="12">
        <f>VLOOKUP(A23,'Données projet'!$A$139:$I$159,9,0)</f>
        <v>22.8</v>
      </c>
      <c r="CS23" s="12">
        <f t="array" ref="CS23">INDEX(CR:CR,MIN(IF(ISNUMBER(CR23:CR219),ROW(CR23:CR219),"")))</f>
        <v>22.8</v>
      </c>
      <c r="CT23" s="12">
        <f>IF('Données projet'!$A$140&gt;35,CT22+CS23-DB22,IF(A23&lt;'Données projet'!$A$140,$CQ$205^A23,IF(A23='Données projet'!$A$140,'Données projet'!$B$140,CT22+CS23-DB22)))</f>
        <v>156</v>
      </c>
      <c r="CU23" s="17">
        <f>CT23*VLOOKUP('Données projet'!$B$13,Paramètres!$A$1:$I$89,3,0)*VLOOKUP('Données projet'!$B$13,Paramètres!$A$1:$I$89,5,0)</f>
        <v>77.064000000000007</v>
      </c>
      <c r="CV23" s="13">
        <f t="shared" si="41"/>
        <v>21.417762186678065</v>
      </c>
      <c r="CW23" s="20">
        <f t="shared" si="13"/>
        <v>171.52240247513097</v>
      </c>
      <c r="CX23" s="59">
        <f t="shared" si="14"/>
        <v>464.85573580846426</v>
      </c>
      <c r="CY23" s="59">
        <f ca="1">AVERAGE(OFFSET($CX$3,0,0,'Données projet'!$E$13+1,1))-AVERAGE(OFFSET($H$3,0,0,'Données projet'!$E$13+1,1))</f>
        <v>396.27049617044378</v>
      </c>
      <c r="CZ23" s="59">
        <f t="shared" si="42"/>
        <v>335.2680289568774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22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1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12.305100609517631</v>
      </c>
      <c r="DI23" s="22">
        <f t="shared" si="15"/>
        <v>12.305100609517631</v>
      </c>
      <c r="DJ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96</v>
      </c>
      <c r="DM23" s="12">
        <f>VLOOKUP(A23,'Données projet'!$A$165:$I$185,9,0)</f>
        <v>10</v>
      </c>
      <c r="DN23" s="12">
        <f t="array" ref="DN23">INDEX(DM:DM,MIN(IF(ISNUMBER(DM23:DM219),ROW(DM23:DM219),"")))</f>
        <v>10</v>
      </c>
      <c r="DO23" s="12">
        <f>IF('Données projet'!$A$166&gt;35,DO22+DN23-DW22,IF(A23&lt;'Données projet'!$A$166,$DL$205^A23,IF(A23='Données projet'!$A$166,'Données projet'!$B$166,DO22+DN23-DW22)))</f>
        <v>96</v>
      </c>
      <c r="DP23" s="17">
        <f>DO23*VLOOKUP('Données projet'!$B$14,Paramètres!$A$1:$I$89,3,0)*VLOOKUP('Données projet'!$B$14,Paramètres!$A$1:$I$89,5,0)</f>
        <v>54.912000000000006</v>
      </c>
      <c r="DQ23" s="13">
        <f t="shared" si="43"/>
        <v>15.875304254859749</v>
      </c>
      <c r="DR23" s="20">
        <f t="shared" si="16"/>
        <v>123.28788824388072</v>
      </c>
      <c r="DS23" s="59">
        <f t="shared" si="17"/>
        <v>416.62122157721404</v>
      </c>
      <c r="DT23" s="59">
        <f ca="1">AVERAGE(OFFSET($DS$3,0,0,'Données projet'!$E$14+1,1))-AVERAGE(OFFSET($H$3,0,0,'Données projet'!$E$14+1,1))</f>
        <v>307.43900954374504</v>
      </c>
      <c r="DU23" s="59">
        <f t="shared" si="44"/>
        <v>185.25270859048999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18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1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11.657463735332492</v>
      </c>
      <c r="ED23" s="22">
        <f t="shared" si="18"/>
        <v>11.657463735332492</v>
      </c>
      <c r="EE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19.216666666666669</v>
      </c>
      <c r="EJ23" s="12">
        <f>IF('Données projet'!$A$192&gt;35,EJ22+EI23-ER22,IF(A23&lt;'Données projet'!$A$192,$EG$205^A23,IF(A23='Données projet'!$A$192,'Données projet'!$B$192,EJ22+EI23-ER22)))</f>
        <v>177.13333333333335</v>
      </c>
      <c r="EK23" s="17">
        <f>EJ23*VLOOKUP('Données projet'!$B$15,Paramètres!$A$1:$I$89,3,0)*VLOOKUP('Données projet'!$B$15,Paramètres!$A$1:$I$89,5,0)</f>
        <v>110.5312</v>
      </c>
      <c r="EL23" s="13">
        <f t="shared" si="45"/>
        <v>29.456104323655921</v>
      </c>
      <c r="EM23" s="20">
        <f t="shared" si="19"/>
        <v>243.81122169703403</v>
      </c>
      <c r="EN23" s="59">
        <f t="shared" si="20"/>
        <v>537.14455503036731</v>
      </c>
      <c r="EO23" s="59">
        <f ca="1">AVERAGE(OFFSET($EN$3,0,0,'Données projet'!$E$15+1,1))-AVERAGE(OFFSET($H$3,0,0,'Données projet'!$E$15+1,1))</f>
        <v>269.77739619445515</v>
      </c>
      <c r="EP23" s="59">
        <f t="shared" si="46"/>
        <v>347.56964743629885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39.454451788859416</v>
      </c>
      <c r="EX23" s="21">
        <f>EXP(-LN(2)/2)*EX22+(1-EXP(-LN(2)/2))/(LN(2)/2)*ER23*EU23*VLOOKUP('Données projet'!$B$15,Paramètres!$A$1:$I$89,3,0)*0.475*44/12</f>
        <v>0.79482707286357934</v>
      </c>
      <c r="EY23" s="22">
        <f t="shared" si="21"/>
        <v>40.249278861722992</v>
      </c>
      <c r="EZ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123</v>
      </c>
      <c r="FC23" s="12">
        <f>VLOOKUP(A23,'Données projet'!$A$217:$I$237,9,0)</f>
        <v>16</v>
      </c>
      <c r="FD23" s="12">
        <f t="array" ref="FD23">INDEX(FC:FC,MIN(IF(ISNUMBER(FC23:FC219),ROW(FC23:FC219),"")))</f>
        <v>16</v>
      </c>
      <c r="FE23" s="12">
        <f>IF('Données projet'!$A$218&gt;35,FE22+FD23-FM22,IF(A23&lt;'Données projet'!$A$218,$FB$205^A23,IF(A23='Données projet'!$A$218,'Données projet'!$B$218,FE22+FD23-FM22)))</f>
        <v>123</v>
      </c>
      <c r="FF23" s="17">
        <f>FE23*VLOOKUP('Données projet'!$B$16,Paramètres!$A$1:$I$89,3,0)*VLOOKUP('Données projet'!$B$16,Paramètres!$A$1:$I$89,5,0)</f>
        <v>97.858800000000016</v>
      </c>
      <c r="FG23" s="13">
        <f t="shared" si="47"/>
        <v>26.45124536158788</v>
      </c>
      <c r="FH23" s="20">
        <f t="shared" si="22"/>
        <v>216.50666233809889</v>
      </c>
      <c r="FI23" s="59">
        <f t="shared" si="23"/>
        <v>509.83999567143223</v>
      </c>
      <c r="FJ23" s="59">
        <f ca="1">AVERAGE(OFFSET($FI$3,0,0,'Données projet'!$E$16+1,1))-AVERAGE(OFFSET($H$3,0,0,'Données projet'!$E$16+1,1))</f>
        <v>331.52724290297675</v>
      </c>
      <c r="FK23" s="59">
        <f t="shared" si="48"/>
        <v>322.79102610158054</v>
      </c>
      <c r="FL23" s="15">
        <f>IF(ISNA(VLOOKUP(A23,'Données projet'!$A$217:$I$237,3,0)),0,VLOOKUP(A23,'Données projet'!$A$217:$I$237,3,0))</f>
        <v>3</v>
      </c>
      <c r="FM23" s="15">
        <f>IF(ISNA(VLOOKUP(A23,'Données projet'!$A$217:$I$237,4,0)),0,VLOOKUP(A23,'Données projet'!$A$217:$I$237,4,0))</f>
        <v>42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>
        <f>VLOOKUP(A23,'Données projet'!$A$243:$I$263,2,0)</f>
        <v>185</v>
      </c>
      <c r="FX23" s="12">
        <f>VLOOKUP(A23,'Données projet'!$A$243:$I$263,9,0)</f>
        <v>25.8</v>
      </c>
      <c r="FY23" s="12">
        <f t="array" ref="FY23">INDEX(FX:FX,MIN(IF(ISNUMBER(FX23:FX219),ROW(FX23:FX219),"")))</f>
        <v>25.8</v>
      </c>
      <c r="FZ23" s="12">
        <f>IF('Données projet'!$A$244&gt;35,FZ22+FY23-GH22,IF(A23&lt;'Données projet'!$A$244,$FW$205^A23,IF(A23='Données projet'!$A$244,'Données projet'!$B$244,FZ22+FY23-GH22)))</f>
        <v>185.00000000000003</v>
      </c>
      <c r="GA23" s="17">
        <f>FZ23*VLOOKUP('Données projet'!$B$17,Paramètres!$A$1:$I$89,3,0)*VLOOKUP('Données projet'!$B$17,Paramètres!$A$1:$I$89,5,0)</f>
        <v>91.390000000000015</v>
      </c>
      <c r="GB23" s="13">
        <f t="shared" si="49"/>
        <v>24.900159909488206</v>
      </c>
      <c r="GC23" s="20">
        <f t="shared" si="25"/>
        <v>202.53869517569197</v>
      </c>
      <c r="GD23" s="59">
        <f t="shared" si="26"/>
        <v>495.87202850902531</v>
      </c>
      <c r="GE23" s="59">
        <f ca="1">AVERAGE(OFFSET($GD$3,0,0,'Données projet'!$E$17+1,1))-AVERAGE(OFFSET($H$3,0,0,'Données projet'!$E$17+1,1))</f>
        <v>434.08297999735811</v>
      </c>
      <c r="GF23" s="59">
        <f t="shared" si="50"/>
        <v>371.04090283546122</v>
      </c>
      <c r="GG23" s="15">
        <f>IF(ISNA(VLOOKUP(A23,'Données projet'!$A$243:$I$263,3,0)),0,VLOOKUP(A23,'Données projet'!$A$243:$I$263,3,0))</f>
        <v>1</v>
      </c>
      <c r="GH23" s="15">
        <f>IF(ISNA(VLOOKUP(A23,'Données projet'!$A$243:$I$263,4,0)),0,VLOOKUP(A23,'Données projet'!$A$243:$I$263,4,0))</f>
        <v>43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1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24.050878464057188</v>
      </c>
      <c r="GO23" s="21">
        <f t="shared" si="27"/>
        <v>24.050878464057188</v>
      </c>
      <c r="GP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>
        <f>VLOOKUP(A23,'Données projet'!$A$269:$I$289,2,0)</f>
        <v>129</v>
      </c>
      <c r="GS23" s="12">
        <f>VLOOKUP(A23,'Données projet'!$A$269:$I$289,9,0)</f>
        <v>13</v>
      </c>
      <c r="GT23" s="12">
        <f t="array" ref="GT23">INDEX(GS:GS,MIN(IF(ISNUMBER(GS23:GS219),ROW(GS23:GS219),"")))</f>
        <v>13</v>
      </c>
      <c r="GU23" s="12">
        <f>IF('Données projet'!$A$270&gt;35,GU22+GT23-HC22,IF(A23&lt;'Données projet'!$A$270,$GR$205^A23,IF(A23='Données projet'!$A$270,'Données projet'!$B$270,GU22+GT23-HC22)))</f>
        <v>129</v>
      </c>
      <c r="GV23" s="17">
        <f>GU23*VLOOKUP('Données projet'!$B$18,Paramètres!$A$1:$I$89,3,0)*VLOOKUP('Données projet'!$B$18,Paramètres!$A$1:$I$89,5,0)</f>
        <v>73.787999999999997</v>
      </c>
      <c r="GW23" s="13">
        <f t="shared" si="51"/>
        <v>20.611246816293939</v>
      </c>
      <c r="GX23" s="20">
        <f t="shared" si="28"/>
        <v>164.41202153837858</v>
      </c>
      <c r="GY23" s="59">
        <f t="shared" si="29"/>
        <v>457.74535487171192</v>
      </c>
      <c r="GZ23" s="59">
        <f ca="1">AVERAGE(OFFSET($GY$3,0,0,'Données projet'!$E$18+1,1))-AVERAGE(OFFSET($H$3,0,0,'Données projet'!$E$18+1,1))</f>
        <v>362.57172983134313</v>
      </c>
      <c r="HA23" s="59">
        <f t="shared" si="52"/>
        <v>232.03250917542471</v>
      </c>
      <c r="HB23" s="15">
        <f>IF(ISNA(VLOOKUP(A23,'Données projet'!$A$269:$I$289,3,0)),0,VLOOKUP(A23,'Données projet'!$A$269:$I$289,3,0))</f>
        <v>1</v>
      </c>
      <c r="HC23" s="15">
        <f>IF(ISNA(VLOOKUP(A23,'Données projet'!$A$269:$I$289,4,0)),0,VLOOKUP(A23,'Données projet'!$A$269:$I$289,4,0))</f>
        <v>37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1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23.962564344850122</v>
      </c>
      <c r="HJ23" s="22">
        <f t="shared" si="30"/>
        <v>23.962564344850122</v>
      </c>
    </row>
    <row r="24" spans="1:218" x14ac:dyDescent="0.3">
      <c r="A24" s="10">
        <f t="shared" si="31"/>
        <v>21</v>
      </c>
      <c r="B24" s="71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5">
        <f t="shared" si="1"/>
        <v>317.11994059772178</v>
      </c>
      <c r="I24" s="6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12.6</v>
      </c>
      <c r="N24" s="13">
        <f>IF('Données projet'!$A$36&gt;35,N23+M24-V23,IF(A24&lt;'Données projet'!$A$36,$K$205^A24,IF(A24='Données projet'!$A$36,'Données projet'!$B$36,N23+M24-V23)))</f>
        <v>64.599999999999994</v>
      </c>
      <c r="O24" s="13">
        <f>N24*VLOOKUP('Données projet'!$B$9,Paramètres!$A$1:$I$89,3,0)*VLOOKUP('Données projet'!$B$9,Paramètres!$A$1:$I$89,5,0)</f>
        <v>51.395759999999996</v>
      </c>
      <c r="P24" s="13">
        <f t="shared" si="33"/>
        <v>14.973641136922506</v>
      </c>
      <c r="Q24" s="20">
        <f t="shared" si="2"/>
        <v>115.59337364680668</v>
      </c>
      <c r="R24" s="59">
        <f t="shared" si="0"/>
        <v>408.92670698014001</v>
      </c>
      <c r="S24" s="59">
        <f ca="1">AVERAGE(OFFSET($R$3,0,0,'Données projet'!$E$9+1,1))-AVERAGE(OFFSET($H$3,0,0,'Données projet'!$E$9+1,1))</f>
        <v>225.2323446080772</v>
      </c>
      <c r="T24" s="59">
        <f t="shared" si="34"/>
        <v>222.29030402759292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24</v>
      </c>
      <c r="AI24" s="13">
        <f>IF('Données projet'!$A$62&gt;35,AI23+AH24-AQ23,IF(A24&lt;'Données projet'!$A$62,$AF$205^A24,IF(A24='Données projet'!$A$62,'Données projet'!$B$62,AI23+AH24-AQ23)))</f>
        <v>149</v>
      </c>
      <c r="AJ24" s="13">
        <f>AI24*VLOOKUP('Données projet'!$B$10,Paramètres!$A$1:$I$89,3,0)*VLOOKUP('Données projet'!$B$10,Paramètres!$A$1:$I$89,5,0)</f>
        <v>73.605999999999995</v>
      </c>
      <c r="AK24" s="13">
        <f t="shared" si="35"/>
        <v>20.566319754530966</v>
      </c>
      <c r="AL24" s="20">
        <f t="shared" si="4"/>
        <v>164.01679023914144</v>
      </c>
      <c r="AM24" s="59">
        <f t="shared" si="5"/>
        <v>457.35012357247479</v>
      </c>
      <c r="AN24" s="59">
        <f ca="1">AVERAGE(OFFSET($AM$3,0,0,'Données projet'!$E$10+1,1))-AVERAGE(OFFSET($H$3,0,0,'Données projet'!$E$10+1,1))</f>
        <v>360.05819346986135</v>
      </c>
      <c r="AO24" s="59">
        <f t="shared" si="36"/>
        <v>300.47468388351081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1.186502738750814</v>
      </c>
      <c r="AX24" s="21">
        <f t="shared" si="6"/>
        <v>1.186502738750814</v>
      </c>
      <c r="AY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9.6</v>
      </c>
      <c r="BD24" s="12">
        <f>IF('Données projet'!$A$88&gt;35,BD23+BC24-BL23,IF(A24&lt;'Données projet'!$A$88,$BA$205^A24,IF(A24='Données projet'!$A$88,'Données projet'!$B$88,BD23+BC24-BL23)))</f>
        <v>73.59999999999998</v>
      </c>
      <c r="BE24" s="13">
        <f>BD24*VLOOKUP('Données projet'!$B$11,Paramètres!$A$1:$I$89,3,0)*VLOOKUP('Données projet'!$B$11,Paramètres!$A$1:$I$89,5,0)</f>
        <v>42.099199999999996</v>
      </c>
      <c r="BF24" s="13">
        <f t="shared" si="37"/>
        <v>12.553372982508934</v>
      </c>
      <c r="BG24" s="20">
        <f t="shared" si="7"/>
        <v>95.186564611203039</v>
      </c>
      <c r="BH24" s="59">
        <f t="shared" si="8"/>
        <v>388.51989794453635</v>
      </c>
      <c r="BI24" s="59">
        <f ca="1">AVERAGE(OFFSET($BH$3,0,0,'Données projet'!$E$11+1,1))-AVERAGE(OFFSET($H$3,0,0,'Données projet'!$E$11+1,1))</f>
        <v>250.90038883668348</v>
      </c>
      <c r="BJ24" s="59">
        <f t="shared" si="38"/>
        <v>141.96132114475608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14.8</v>
      </c>
      <c r="BY24" s="12">
        <f>IF('Données projet'!$A$114&gt;35,BY23+BX24-CG23,IF(A24&lt;'Données projet'!$A$114,$BV$205^A24,IF(A24='Données projet'!$A$114,'Données projet'!$B$114,BY23+BX24-CG23)))</f>
        <v>81.799999999999983</v>
      </c>
      <c r="BZ24" s="13">
        <f>BY24*VLOOKUP('Données projet'!$B$12,Paramètres!$A$1:$I$89,3,0)*VLOOKUP('Données projet'!$B$12,Paramètres!$A$1:$I$89,5,0)</f>
        <v>65.080079999999981</v>
      </c>
      <c r="CA24" s="13">
        <f t="shared" si="39"/>
        <v>18.44653442602603</v>
      </c>
      <c r="CB24" s="20">
        <f t="shared" si="10"/>
        <v>145.47552012532864</v>
      </c>
      <c r="CC24" s="59">
        <f t="shared" si="11"/>
        <v>438.80885345866193</v>
      </c>
      <c r="CD24" s="59">
        <f ca="1">AVERAGE(OFFSET($CC$3,0,0,'Données projet'!$E$12+1,1))-AVERAGE(OFFSET($H$3,0,0,'Données projet'!$E$12+1,1))</f>
        <v>279.49721661620544</v>
      </c>
      <c r="CE24" s="59">
        <f t="shared" si="40"/>
        <v>275.18739333988754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27</v>
      </c>
      <c r="CT24" s="12">
        <f>IF('Données projet'!$A$140&gt;35,CT23+CS24-DB23,IF(A24&lt;'Données projet'!$A$140,$CQ$205^A24,IF(A24='Données projet'!$A$140,'Données projet'!$B$140,CT23+CS24-DB23)))</f>
        <v>161</v>
      </c>
      <c r="CU24" s="17">
        <f>CT24*VLOOKUP('Données projet'!$B$13,Paramètres!$A$1:$I$89,3,0)*VLOOKUP('Données projet'!$B$13,Paramètres!$A$1:$I$89,5,0)</f>
        <v>79.534000000000006</v>
      </c>
      <c r="CV24" s="13">
        <f t="shared" si="41"/>
        <v>22.023205994903069</v>
      </c>
      <c r="CW24" s="20">
        <f t="shared" si="13"/>
        <v>176.87880044112285</v>
      </c>
      <c r="CX24" s="59">
        <f t="shared" si="14"/>
        <v>470.21213377445616</v>
      </c>
      <c r="CY24" s="59">
        <f ca="1">AVERAGE(OFFSET($CX$3,0,0,'Données projet'!$E$13+1,1))-AVERAGE(OFFSET($H$3,0,0,'Données projet'!$E$13+1,1))</f>
        <v>396.27049617044378</v>
      </c>
      <c r="CZ24" s="59">
        <f t="shared" si="42"/>
        <v>335.2680289568774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8.7010200841726366</v>
      </c>
      <c r="DI24" s="22">
        <f t="shared" si="15"/>
        <v>8.7010200841726366</v>
      </c>
      <c r="DJ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12.8</v>
      </c>
      <c r="DO24" s="12">
        <f>IF('Données projet'!$A$166&gt;35,DO23+DN24-DW23,IF(A24&lt;'Données projet'!$A$166,$DL$205^A24,IF(A24='Données projet'!$A$166,'Données projet'!$B$166,DO23+DN24-DW23)))</f>
        <v>90.8</v>
      </c>
      <c r="DP24" s="17">
        <f>DO24*VLOOKUP('Données projet'!$B$14,Paramètres!$A$1:$I$89,3,0)*VLOOKUP('Données projet'!$B$14,Paramètres!$A$1:$I$89,5,0)</f>
        <v>51.937599999999996</v>
      </c>
      <c r="DQ24" s="13">
        <f t="shared" si="43"/>
        <v>15.113040691038833</v>
      </c>
      <c r="DR24" s="20">
        <f t="shared" si="16"/>
        <v>116.77986587022598</v>
      </c>
      <c r="DS24" s="59">
        <f t="shared" si="17"/>
        <v>410.1131992035593</v>
      </c>
      <c r="DT24" s="59">
        <f ca="1">AVERAGE(OFFSET($DS$3,0,0,'Données projet'!$E$14+1,1))-AVERAGE(OFFSET($H$3,0,0,'Données projet'!$E$14+1,1))</f>
        <v>307.43900954374504</v>
      </c>
      <c r="DU24" s="59">
        <f t="shared" si="44"/>
        <v>185.25270859048999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8.2430716586898658</v>
      </c>
      <c r="ED24" s="22">
        <f t="shared" si="18"/>
        <v>8.2430716586898658</v>
      </c>
      <c r="EE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19.216666666666669</v>
      </c>
      <c r="EJ24" s="12">
        <f>IF('Données projet'!$A$192&gt;35,EJ23+EI24-ER23,IF(A24&lt;'Données projet'!$A$192,$EG$205^A24,IF(A24='Données projet'!$A$192,'Données projet'!$B$192,EJ23+EI24-ER23)))</f>
        <v>196.35000000000002</v>
      </c>
      <c r="EK24" s="17">
        <f>EJ24*VLOOKUP('Données projet'!$B$15,Paramètres!$A$1:$I$89,3,0)*VLOOKUP('Données projet'!$B$15,Paramètres!$A$1:$I$89,5,0)</f>
        <v>122.5224</v>
      </c>
      <c r="EL24" s="13">
        <f t="shared" si="45"/>
        <v>32.26259352430629</v>
      </c>
      <c r="EM24" s="20">
        <f t="shared" si="19"/>
        <v>269.58386372150011</v>
      </c>
      <c r="EN24" s="59">
        <f t="shared" si="20"/>
        <v>562.91719705483342</v>
      </c>
      <c r="EO24" s="59">
        <f ca="1">AVERAGE(OFFSET($EN$3,0,0,'Données projet'!$E$15+1,1))-AVERAGE(OFFSET($H$3,0,0,'Données projet'!$E$15+1,1))</f>
        <v>269.77739619445515</v>
      </c>
      <c r="EP24" s="59">
        <f t="shared" si="46"/>
        <v>347.56964743629885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38.375567729873609</v>
      </c>
      <c r="EX24" s="21">
        <f>EXP(-LN(2)/2)*EX23+(1-EXP(-LN(2)/2))/(LN(2)/2)*ER24*EU24*VLOOKUP('Données projet'!$B$15,Paramètres!$A$1:$I$89,3,0)*0.475*44/12</f>
        <v>0.56202761309249105</v>
      </c>
      <c r="EY24" s="22">
        <f t="shared" si="21"/>
        <v>38.937595342966098</v>
      </c>
      <c r="EZ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16.8</v>
      </c>
      <c r="FE24" s="12">
        <f>IF('Données projet'!$A$218&gt;35,FE23+FD24-FM23,IF(A24&lt;'Données projet'!$A$218,$FB$205^A24,IF(A24='Données projet'!$A$218,'Données projet'!$B$218,FE23+FD24-FM23)))</f>
        <v>97.800000000000011</v>
      </c>
      <c r="FF24" s="17">
        <f>FE24*VLOOKUP('Données projet'!$B$16,Paramètres!$A$1:$I$89,3,0)*VLOOKUP('Données projet'!$B$16,Paramètres!$A$1:$I$89,5,0)</f>
        <v>77.809680000000014</v>
      </c>
      <c r="FG24" s="13">
        <f t="shared" si="47"/>
        <v>21.600777311280577</v>
      </c>
      <c r="FH24" s="20">
        <f t="shared" si="22"/>
        <v>173.13987981714703</v>
      </c>
      <c r="FI24" s="59">
        <f t="shared" si="23"/>
        <v>466.47321315048032</v>
      </c>
      <c r="FJ24" s="59">
        <f ca="1">AVERAGE(OFFSET($FI$3,0,0,'Données projet'!$E$16+1,1))-AVERAGE(OFFSET($H$3,0,0,'Données projet'!$E$16+1,1))</f>
        <v>331.52724290297675</v>
      </c>
      <c r="FK24" s="59">
        <f t="shared" si="48"/>
        <v>322.79102610158054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30.4</v>
      </c>
      <c r="FZ24" s="12">
        <f>IF('Données projet'!$A$244&gt;35,FZ23+FY24-GH23,IF(A24&lt;'Données projet'!$A$244,$FW$205^A24,IF(A24='Données projet'!$A$244,'Données projet'!$B$244,FZ23+FY24-GH23)))</f>
        <v>172.40000000000003</v>
      </c>
      <c r="GA24" s="17">
        <f>FZ24*VLOOKUP('Données projet'!$B$17,Paramètres!$A$1:$I$89,3,0)*VLOOKUP('Données projet'!$B$17,Paramètres!$A$1:$I$89,5,0)</f>
        <v>85.165600000000026</v>
      </c>
      <c r="GB24" s="13">
        <f t="shared" si="49"/>
        <v>23.395564104516954</v>
      </c>
      <c r="GC24" s="20">
        <f t="shared" si="25"/>
        <v>189.07736081536709</v>
      </c>
      <c r="GD24" s="59">
        <f t="shared" si="26"/>
        <v>482.41069414870037</v>
      </c>
      <c r="GE24" s="59">
        <f ca="1">AVERAGE(OFFSET($GD$3,0,0,'Données projet'!$E$17+1,1))-AVERAGE(OFFSET($H$3,0,0,'Données projet'!$E$17+1,1))</f>
        <v>434.08297999735811</v>
      </c>
      <c r="GF24" s="59">
        <f t="shared" si="50"/>
        <v>371.04090283546122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17.006539255428336</v>
      </c>
      <c r="GO24" s="21">
        <f t="shared" si="27"/>
        <v>17.006539255428336</v>
      </c>
      <c r="GP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16</v>
      </c>
      <c r="GU24" s="12">
        <f>IF('Données projet'!$A$270&gt;35,GU23+GT24-HC23,IF(A24&lt;'Données projet'!$A$270,$GR$205^A24,IF(A24='Données projet'!$A$270,'Données projet'!$B$270,GU23+GT24-HC23)))</f>
        <v>108</v>
      </c>
      <c r="GV24" s="17">
        <f>GU24*VLOOKUP('Données projet'!$B$18,Paramètres!$A$1:$I$89,3,0)*VLOOKUP('Données projet'!$B$18,Paramètres!$A$1:$I$89,5,0)</f>
        <v>61.776000000000003</v>
      </c>
      <c r="GW24" s="13">
        <f t="shared" si="51"/>
        <v>17.616532373802876</v>
      </c>
      <c r="GX24" s="20">
        <f t="shared" si="28"/>
        <v>138.27532721770669</v>
      </c>
      <c r="GY24" s="59">
        <f t="shared" si="29"/>
        <v>431.60866055103997</v>
      </c>
      <c r="GZ24" s="59">
        <f ca="1">AVERAGE(OFFSET($GY$3,0,0,'Données projet'!$E$18+1,1))-AVERAGE(OFFSET($H$3,0,0,'Données projet'!$E$18+1,1))</f>
        <v>362.57172983134313</v>
      </c>
      <c r="HA24" s="59">
        <f t="shared" si="52"/>
        <v>232.03250917542471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16.944091742862501</v>
      </c>
      <c r="HJ24" s="22">
        <f t="shared" si="30"/>
        <v>16.944091742862501</v>
      </c>
    </row>
    <row r="25" spans="1:218" x14ac:dyDescent="0.3">
      <c r="A25" s="10">
        <f t="shared" si="31"/>
        <v>22</v>
      </c>
      <c r="B25" s="71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5">
        <f t="shared" si="1"/>
        <v>318.21759373877319</v>
      </c>
      <c r="I25" s="6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12.6</v>
      </c>
      <c r="N25" s="13">
        <f>IF('Données projet'!$A$36&gt;35,N24+M25-V24,IF(A25&lt;'Données projet'!$A$36,$K$205^A25,IF(A25='Données projet'!$A$36,'Données projet'!$B$36,N24+M25-V24)))</f>
        <v>77.199999999999989</v>
      </c>
      <c r="O25" s="13">
        <f>N25*VLOOKUP('Données projet'!$B$9,Paramètres!$A$1:$I$89,3,0)*VLOOKUP('Données projet'!$B$9,Paramètres!$A$1:$I$89,5,0)</f>
        <v>61.42031999999999</v>
      </c>
      <c r="P25" s="13">
        <f t="shared" si="33"/>
        <v>17.526880037631354</v>
      </c>
      <c r="Q25" s="20">
        <f t="shared" si="2"/>
        <v>137.4997067322079</v>
      </c>
      <c r="R25" s="59">
        <f t="shared" si="0"/>
        <v>430.83304006554124</v>
      </c>
      <c r="S25" s="59">
        <f ca="1">AVERAGE(OFFSET($R$3,0,0,'Données projet'!$E$9+1,1))-AVERAGE(OFFSET($H$3,0,0,'Données projet'!$E$9+1,1))</f>
        <v>225.2323446080772</v>
      </c>
      <c r="T25" s="59">
        <f t="shared" si="34"/>
        <v>222.29030402759292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24</v>
      </c>
      <c r="AI25" s="13">
        <f>IF('Données projet'!$A$62&gt;35,AI24+AH25-AQ24,IF(A25&lt;'Données projet'!$A$62,$AF$205^A25,IF(A25='Données projet'!$A$62,'Données projet'!$B$62,AI24+AH25-AQ24)))</f>
        <v>173</v>
      </c>
      <c r="AJ25" s="13">
        <f>AI25*VLOOKUP('Données projet'!$B$10,Paramètres!$A$1:$I$89,3,0)*VLOOKUP('Données projet'!$B$10,Paramètres!$A$1:$I$89,5,0)</f>
        <v>85.462000000000003</v>
      </c>
      <c r="AK25" s="13">
        <f t="shared" si="35"/>
        <v>23.467494981425435</v>
      </c>
      <c r="AL25" s="20">
        <f t="shared" si="4"/>
        <v>189.71887042598266</v>
      </c>
      <c r="AM25" s="59">
        <f t="shared" si="5"/>
        <v>483.05220375931594</v>
      </c>
      <c r="AN25" s="59">
        <f ca="1">AVERAGE(OFFSET($AM$3,0,0,'Données projet'!$E$10+1,1))-AVERAGE(OFFSET($H$3,0,0,'Données projet'!$E$10+1,1))</f>
        <v>360.05819346986135</v>
      </c>
      <c r="AO25" s="59">
        <f t="shared" si="36"/>
        <v>300.47468388351081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0.83898413246711123</v>
      </c>
      <c r="AX25" s="21">
        <f t="shared" si="6"/>
        <v>0.83898413246711123</v>
      </c>
      <c r="AY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9.6</v>
      </c>
      <c r="BD25" s="12">
        <f>IF('Données projet'!$A$88&gt;35,BD24+BC25-BL24,IF(A25&lt;'Données projet'!$A$88,$BA$205^A25,IF(A25='Données projet'!$A$88,'Données projet'!$B$88,BD24+BC25-BL24)))</f>
        <v>83.199999999999974</v>
      </c>
      <c r="BE25" s="13">
        <f>BD25*VLOOKUP('Données projet'!$B$11,Paramètres!$A$1:$I$89,3,0)*VLOOKUP('Données projet'!$B$11,Paramètres!$A$1:$I$89,5,0)</f>
        <v>47.590399999999988</v>
      </c>
      <c r="BF25" s="13">
        <f t="shared" si="37"/>
        <v>13.98969244914092</v>
      </c>
      <c r="BG25" s="20">
        <f t="shared" si="7"/>
        <v>107.25199434892041</v>
      </c>
      <c r="BH25" s="59">
        <f t="shared" si="8"/>
        <v>400.58532768225371</v>
      </c>
      <c r="BI25" s="59">
        <f ca="1">AVERAGE(OFFSET($BH$3,0,0,'Données projet'!$E$11+1,1))-AVERAGE(OFFSET($H$3,0,0,'Données projet'!$E$11+1,1))</f>
        <v>250.90038883668348</v>
      </c>
      <c r="BJ25" s="59">
        <f t="shared" si="38"/>
        <v>141.96132114475608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14.8</v>
      </c>
      <c r="BY25" s="12">
        <f>IF('Données projet'!$A$114&gt;35,BY24+BX25-CG24,IF(A25&lt;'Données projet'!$A$114,$BV$205^A25,IF(A25='Données projet'!$A$114,'Données projet'!$B$114,BY24+BX25-CG24)))</f>
        <v>96.59999999999998</v>
      </c>
      <c r="BZ25" s="13">
        <f>BY25*VLOOKUP('Données projet'!$B$12,Paramètres!$A$1:$I$89,3,0)*VLOOKUP('Données projet'!$B$12,Paramètres!$A$1:$I$89,5,0)</f>
        <v>76.854959999999991</v>
      </c>
      <c r="CA25" s="13">
        <f t="shared" si="39"/>
        <v>21.366419773799993</v>
      </c>
      <c r="CB25" s="20">
        <f t="shared" si="10"/>
        <v>171.06890310603498</v>
      </c>
      <c r="CC25" s="59">
        <f t="shared" si="11"/>
        <v>464.40223643936827</v>
      </c>
      <c r="CD25" s="59">
        <f ca="1">AVERAGE(OFFSET($CC$3,0,0,'Données projet'!$E$12+1,1))-AVERAGE(OFFSET($H$3,0,0,'Données projet'!$E$12+1,1))</f>
        <v>279.49721661620544</v>
      </c>
      <c r="CE25" s="59">
        <f t="shared" si="40"/>
        <v>275.18739333988754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27</v>
      </c>
      <c r="CT25" s="12">
        <f>IF('Données projet'!$A$140&gt;35,CT24+CS25-DB24,IF(A25&lt;'Données projet'!$A$140,$CQ$205^A25,IF(A25='Données projet'!$A$140,'Données projet'!$B$140,CT24+CS25-DB24)))</f>
        <v>188</v>
      </c>
      <c r="CU25" s="17">
        <f>CT25*VLOOKUP('Données projet'!$B$13,Paramètres!$A$1:$I$89,3,0)*VLOOKUP('Données projet'!$B$13,Paramètres!$A$1:$I$89,5,0)</f>
        <v>92.872</v>
      </c>
      <c r="CV25" s="13">
        <f t="shared" si="41"/>
        <v>25.256610838382159</v>
      </c>
      <c r="CW25" s="20">
        <f t="shared" si="13"/>
        <v>205.74066387684891</v>
      </c>
      <c r="CX25" s="59">
        <f t="shared" si="14"/>
        <v>499.07399721018226</v>
      </c>
      <c r="CY25" s="59">
        <f ca="1">AVERAGE(OFFSET($CX$3,0,0,'Données projet'!$E$13+1,1))-AVERAGE(OFFSET($H$3,0,0,'Données projet'!$E$13+1,1))</f>
        <v>396.27049617044378</v>
      </c>
      <c r="CZ25" s="59">
        <f t="shared" si="42"/>
        <v>335.2680289568774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6.1525503047588161</v>
      </c>
      <c r="DI25" s="22">
        <f t="shared" si="15"/>
        <v>6.1525503047588161</v>
      </c>
      <c r="DJ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12.8</v>
      </c>
      <c r="DO25" s="12">
        <f>IF('Données projet'!$A$166&gt;35,DO24+DN25-DW24,IF(A25&lt;'Données projet'!$A$166,$DL$205^A25,IF(A25='Données projet'!$A$166,'Données projet'!$B$166,DO24+DN25-DW24)))</f>
        <v>103.6</v>
      </c>
      <c r="DP25" s="17">
        <f>DO25*VLOOKUP('Données projet'!$B$14,Paramètres!$A$1:$I$89,3,0)*VLOOKUP('Données projet'!$B$14,Paramètres!$A$1:$I$89,5,0)</f>
        <v>59.2592</v>
      </c>
      <c r="DQ25" s="13">
        <f t="shared" si="43"/>
        <v>16.980836319980909</v>
      </c>
      <c r="DR25" s="20">
        <f t="shared" si="16"/>
        <v>132.78472992396672</v>
      </c>
      <c r="DS25" s="59">
        <f t="shared" si="17"/>
        <v>426.11806325730004</v>
      </c>
      <c r="DT25" s="59">
        <f ca="1">AVERAGE(OFFSET($DS$3,0,0,'Données projet'!$E$14+1,1))-AVERAGE(OFFSET($H$3,0,0,'Données projet'!$E$14+1,1))</f>
        <v>307.43900954374504</v>
      </c>
      <c r="DU25" s="59">
        <f t="shared" si="44"/>
        <v>185.25270859048999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5.8287318676662467</v>
      </c>
      <c r="ED25" s="22">
        <f t="shared" si="18"/>
        <v>5.8287318676662467</v>
      </c>
      <c r="EE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19.216666666666669</v>
      </c>
      <c r="EJ25" s="12">
        <f>IF('Données projet'!$A$192&gt;35,EJ24+EI25-ER24,IF(A25&lt;'Données projet'!$A$192,$EG$205^A25,IF(A25='Données projet'!$A$192,'Données projet'!$B$192,EJ24+EI25-ER24)))</f>
        <v>215.56666666666669</v>
      </c>
      <c r="EK25" s="17">
        <f>EJ25*VLOOKUP('Données projet'!$B$15,Paramètres!$A$1:$I$89,3,0)*VLOOKUP('Données projet'!$B$15,Paramètres!$A$1:$I$89,5,0)</f>
        <v>134.51360000000003</v>
      </c>
      <c r="EL25" s="13">
        <f t="shared" si="45"/>
        <v>35.037238995886284</v>
      </c>
      <c r="EM25" s="20">
        <f t="shared" si="19"/>
        <v>295.30104458450194</v>
      </c>
      <c r="EN25" s="59">
        <f t="shared" si="20"/>
        <v>588.63437791783531</v>
      </c>
      <c r="EO25" s="59">
        <f ca="1">AVERAGE(OFFSET($EN$3,0,0,'Données projet'!$E$15+1,1))-AVERAGE(OFFSET($H$3,0,0,'Données projet'!$E$15+1,1))</f>
        <v>269.77739619445515</v>
      </c>
      <c r="EP25" s="59">
        <f t="shared" si="46"/>
        <v>347.56964743629885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37.326185812216814</v>
      </c>
      <c r="EX25" s="21">
        <f>EXP(-LN(2)/2)*EX24+(1-EXP(-LN(2)/2))/(LN(2)/2)*ER25*EU25*VLOOKUP('Données projet'!$B$15,Paramètres!$A$1:$I$89,3,0)*0.475*44/12</f>
        <v>0.39741353643178967</v>
      </c>
      <c r="EY25" s="22">
        <f t="shared" si="21"/>
        <v>37.723599348648605</v>
      </c>
      <c r="EZ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16.8</v>
      </c>
      <c r="FE25" s="12">
        <f>IF('Données projet'!$A$218&gt;35,FE24+FD25-FM24,IF(A25&lt;'Données projet'!$A$218,$FB$205^A25,IF(A25='Données projet'!$A$218,'Données projet'!$B$218,FE24+FD25-FM24)))</f>
        <v>114.60000000000001</v>
      </c>
      <c r="FF25" s="17">
        <f>FE25*VLOOKUP('Données projet'!$B$16,Paramètres!$A$1:$I$89,3,0)*VLOOKUP('Données projet'!$B$16,Paramètres!$A$1:$I$89,5,0)</f>
        <v>91.175760000000011</v>
      </c>
      <c r="FG25" s="13">
        <f t="shared" si="47"/>
        <v>24.848575433138123</v>
      </c>
      <c r="FH25" s="20">
        <f t="shared" si="22"/>
        <v>202.07571754604893</v>
      </c>
      <c r="FI25" s="59">
        <f t="shared" si="23"/>
        <v>495.40905087938222</v>
      </c>
      <c r="FJ25" s="59">
        <f ca="1">AVERAGE(OFFSET($FI$3,0,0,'Données projet'!$E$16+1,1))-AVERAGE(OFFSET($H$3,0,0,'Données projet'!$E$16+1,1))</f>
        <v>331.52724290297675</v>
      </c>
      <c r="FK25" s="59">
        <f t="shared" si="48"/>
        <v>322.79102610158054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30.4</v>
      </c>
      <c r="FZ25" s="12">
        <f>IF('Données projet'!$A$244&gt;35,FZ24+FY25-GH24,IF(A25&lt;'Données projet'!$A$244,$FW$205^A25,IF(A25='Données projet'!$A$244,'Données projet'!$B$244,FZ24+FY25-GH24)))</f>
        <v>202.80000000000004</v>
      </c>
      <c r="GA25" s="17">
        <f>FZ25*VLOOKUP('Données projet'!$B$17,Paramètres!$A$1:$I$89,3,0)*VLOOKUP('Données projet'!$B$17,Paramètres!$A$1:$I$89,5,0)</f>
        <v>100.18320000000003</v>
      </c>
      <c r="GB25" s="13">
        <f t="shared" si="49"/>
        <v>27.005637771733042</v>
      </c>
      <c r="GC25" s="20">
        <f t="shared" si="25"/>
        <v>221.52055911910176</v>
      </c>
      <c r="GD25" s="59">
        <f t="shared" si="26"/>
        <v>514.85389245243505</v>
      </c>
      <c r="GE25" s="59">
        <f ca="1">AVERAGE(OFFSET($GD$3,0,0,'Données projet'!$E$17+1,1))-AVERAGE(OFFSET($H$3,0,0,'Données projet'!$E$17+1,1))</f>
        <v>434.08297999735811</v>
      </c>
      <c r="GF25" s="59">
        <f t="shared" si="50"/>
        <v>371.04090283546122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12.025439232028596</v>
      </c>
      <c r="GO25" s="21">
        <f t="shared" si="27"/>
        <v>12.025439232028596</v>
      </c>
      <c r="GP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16</v>
      </c>
      <c r="GU25" s="12">
        <f>IF('Données projet'!$A$270&gt;35,GU24+GT25-HC24,IF(A25&lt;'Données projet'!$A$270,$GR$205^A25,IF(A25='Données projet'!$A$270,'Données projet'!$B$270,GU24+GT25-HC24)))</f>
        <v>124</v>
      </c>
      <c r="GV25" s="17">
        <f>GU25*VLOOKUP('Données projet'!$B$18,Paramètres!$A$1:$I$89,3,0)*VLOOKUP('Données projet'!$B$18,Paramètres!$A$1:$I$89,5,0)</f>
        <v>70.928000000000011</v>
      </c>
      <c r="GW25" s="13">
        <f t="shared" si="51"/>
        <v>19.903735738066302</v>
      </c>
      <c r="GX25" s="20">
        <f t="shared" si="28"/>
        <v>158.19860641046549</v>
      </c>
      <c r="GY25" s="59">
        <f t="shared" si="29"/>
        <v>451.53193974379883</v>
      </c>
      <c r="GZ25" s="59">
        <f ca="1">AVERAGE(OFFSET($GY$3,0,0,'Données projet'!$E$18+1,1))-AVERAGE(OFFSET($H$3,0,0,'Données projet'!$E$18+1,1))</f>
        <v>362.57172983134313</v>
      </c>
      <c r="HA25" s="59">
        <f t="shared" si="52"/>
        <v>232.03250917542471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11.981282172425061</v>
      </c>
      <c r="HJ25" s="22">
        <f t="shared" si="30"/>
        <v>11.981282172425061</v>
      </c>
    </row>
    <row r="26" spans="1:218" x14ac:dyDescent="0.3">
      <c r="A26" s="10">
        <f t="shared" si="31"/>
        <v>23</v>
      </c>
      <c r="B26" s="71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5">
        <f t="shared" si="1"/>
        <v>319.31387484448885</v>
      </c>
      <c r="I26" s="6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12.6</v>
      </c>
      <c r="N26" s="13">
        <f>IF('Données projet'!$A$36&gt;35,N25+M26-V25,IF(A26&lt;'Données projet'!$A$36,$K$205^A26,IF(A26='Données projet'!$A$36,'Données projet'!$B$36,N25+M26-V25)))</f>
        <v>89.799999999999983</v>
      </c>
      <c r="O26" s="13">
        <f>N26*VLOOKUP('Données projet'!$B$9,Paramètres!$A$1:$I$89,3,0)*VLOOKUP('Données projet'!$B$9,Paramètres!$A$1:$I$89,5,0)</f>
        <v>71.444879999999998</v>
      </c>
      <c r="P26" s="13">
        <f t="shared" si="33"/>
        <v>20.03184442542841</v>
      </c>
      <c r="Q26" s="20">
        <f t="shared" si="2"/>
        <v>159.32196170762117</v>
      </c>
      <c r="R26" s="59">
        <f t="shared" si="0"/>
        <v>452.65529504095446</v>
      </c>
      <c r="S26" s="59">
        <f ca="1">AVERAGE(OFFSET($R$3,0,0,'Données projet'!$E$9+1,1))-AVERAGE(OFFSET($H$3,0,0,'Données projet'!$E$9+1,1))</f>
        <v>225.2323446080772</v>
      </c>
      <c r="T26" s="59">
        <f t="shared" si="34"/>
        <v>222.29030402759292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24</v>
      </c>
      <c r="AI26" s="13">
        <f>IF('Données projet'!$A$62&gt;35,AI25+AH26-AQ25,IF(A26&lt;'Données projet'!$A$62,$AF$205^A26,IF(A26='Données projet'!$A$62,'Données projet'!$B$62,AI25+AH26-AQ25)))</f>
        <v>197</v>
      </c>
      <c r="AJ26" s="13">
        <f>AI26*VLOOKUP('Données projet'!$B$10,Paramètres!$A$1:$I$89,3,0)*VLOOKUP('Données projet'!$B$10,Paramètres!$A$1:$I$89,5,0)</f>
        <v>97.317999999999998</v>
      </c>
      <c r="AK26" s="13">
        <f t="shared" si="35"/>
        <v>26.32204058274829</v>
      </c>
      <c r="AL26" s="20">
        <f t="shared" si="4"/>
        <v>215.33973734828658</v>
      </c>
      <c r="AM26" s="59">
        <f t="shared" si="5"/>
        <v>508.67307068161989</v>
      </c>
      <c r="AN26" s="59">
        <f ca="1">AVERAGE(OFFSET($AM$3,0,0,'Données projet'!$E$10+1,1))-AVERAGE(OFFSET($H$3,0,0,'Données projet'!$E$10+1,1))</f>
        <v>360.05819346986135</v>
      </c>
      <c r="AO26" s="59">
        <f t="shared" si="36"/>
        <v>300.47468388351081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0.59325136937540701</v>
      </c>
      <c r="AX26" s="21">
        <f t="shared" si="6"/>
        <v>0.59325136937540701</v>
      </c>
      <c r="AY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9.6</v>
      </c>
      <c r="BD26" s="12">
        <f>IF('Données projet'!$A$88&gt;35,BD25+BC26-BL25,IF(A26&lt;'Données projet'!$A$88,$BA$205^A26,IF(A26='Données projet'!$A$88,'Données projet'!$B$88,BD25+BC26-BL25)))</f>
        <v>92.799999999999969</v>
      </c>
      <c r="BE26" s="13">
        <f>BD26*VLOOKUP('Données projet'!$B$11,Paramètres!$A$1:$I$89,3,0)*VLOOKUP('Données projet'!$B$11,Paramètres!$A$1:$I$89,5,0)</f>
        <v>53.081599999999987</v>
      </c>
      <c r="BF26" s="13">
        <f t="shared" si="37"/>
        <v>15.406805065633717</v>
      </c>
      <c r="BG26" s="20">
        <f t="shared" si="7"/>
        <v>119.2839721559787</v>
      </c>
      <c r="BH26" s="59">
        <f t="shared" si="8"/>
        <v>412.617305489312</v>
      </c>
      <c r="BI26" s="59">
        <f ca="1">AVERAGE(OFFSET($BH$3,0,0,'Données projet'!$E$11+1,1))-AVERAGE(OFFSET($H$3,0,0,'Données projet'!$E$11+1,1))</f>
        <v>250.90038883668348</v>
      </c>
      <c r="BJ26" s="59">
        <f t="shared" si="38"/>
        <v>141.96132114475608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14.8</v>
      </c>
      <c r="BY26" s="12">
        <f>IF('Données projet'!$A$114&gt;35,BY25+BX26-CG25,IF(A26&lt;'Données projet'!$A$114,$BV$205^A26,IF(A26='Données projet'!$A$114,'Données projet'!$B$114,BY25+BX26-CG25)))</f>
        <v>111.39999999999998</v>
      </c>
      <c r="BZ26" s="13">
        <f>BY26*VLOOKUP('Données projet'!$B$12,Paramètres!$A$1:$I$89,3,0)*VLOOKUP('Données projet'!$B$12,Paramètres!$A$1:$I$89,5,0)</f>
        <v>88.629839999999987</v>
      </c>
      <c r="CA26" s="13">
        <f t="shared" si="39"/>
        <v>24.23448093253452</v>
      </c>
      <c r="CB26" s="20">
        <f t="shared" si="10"/>
        <v>196.57202562416424</v>
      </c>
      <c r="CC26" s="59">
        <f t="shared" si="11"/>
        <v>489.90535895749758</v>
      </c>
      <c r="CD26" s="59">
        <f ca="1">AVERAGE(OFFSET($CC$3,0,0,'Données projet'!$E$12+1,1))-AVERAGE(OFFSET($H$3,0,0,'Données projet'!$E$12+1,1))</f>
        <v>279.49721661620544</v>
      </c>
      <c r="CE26" s="59">
        <f t="shared" si="40"/>
        <v>275.18739333988754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27</v>
      </c>
      <c r="CT26" s="12">
        <f>IF('Données projet'!$A$140&gt;35,CT25+CS26-DB25,IF(A26&lt;'Données projet'!$A$140,$CQ$205^A26,IF(A26='Données projet'!$A$140,'Données projet'!$B$140,CT25+CS26-DB25)))</f>
        <v>215</v>
      </c>
      <c r="CU26" s="17">
        <f>CT26*VLOOKUP('Données projet'!$B$13,Paramètres!$A$1:$I$89,3,0)*VLOOKUP('Données projet'!$B$13,Paramètres!$A$1:$I$89,5,0)</f>
        <v>106.21000000000001</v>
      </c>
      <c r="CV26" s="13">
        <f t="shared" si="41"/>
        <v>28.436217026228483</v>
      </c>
      <c r="CW26" s="20">
        <f t="shared" si="13"/>
        <v>234.50882798734798</v>
      </c>
      <c r="CX26" s="59">
        <f t="shared" si="14"/>
        <v>527.84216132068127</v>
      </c>
      <c r="CY26" s="59">
        <f ca="1">AVERAGE(OFFSET($CX$3,0,0,'Données projet'!$E$13+1,1))-AVERAGE(OFFSET($H$3,0,0,'Données projet'!$E$13+1,1))</f>
        <v>396.27049617044378</v>
      </c>
      <c r="CZ26" s="59">
        <f t="shared" si="42"/>
        <v>335.2680289568774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4.3505100420863192</v>
      </c>
      <c r="DI26" s="22">
        <f t="shared" si="15"/>
        <v>4.3505100420863192</v>
      </c>
      <c r="DJ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12.8</v>
      </c>
      <c r="DO26" s="12">
        <f>IF('Données projet'!$A$166&gt;35,DO25+DN26-DW25,IF(A26&lt;'Données projet'!$A$166,$DL$205^A26,IF(A26='Données projet'!$A$166,'Données projet'!$B$166,DO25+DN26-DW25)))</f>
        <v>116.39999999999999</v>
      </c>
      <c r="DP26" s="17">
        <f>DO26*VLOOKUP('Données projet'!$B$14,Paramètres!$A$1:$I$89,3,0)*VLOOKUP('Données projet'!$B$14,Paramètres!$A$1:$I$89,5,0)</f>
        <v>66.580799999999996</v>
      </c>
      <c r="DQ26" s="13">
        <f t="shared" si="43"/>
        <v>18.821890795575435</v>
      </c>
      <c r="DR26" s="20">
        <f t="shared" si="16"/>
        <v>148.74301980229387</v>
      </c>
      <c r="DS26" s="59">
        <f t="shared" si="17"/>
        <v>442.07635313562719</v>
      </c>
      <c r="DT26" s="59">
        <f ca="1">AVERAGE(OFFSET($DS$3,0,0,'Données projet'!$E$14+1,1))-AVERAGE(OFFSET($H$3,0,0,'Données projet'!$E$14+1,1))</f>
        <v>307.43900954374504</v>
      </c>
      <c r="DU26" s="59">
        <f t="shared" si="44"/>
        <v>185.25270859048999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4.1215358293449338</v>
      </c>
      <c r="ED26" s="22">
        <f t="shared" si="18"/>
        <v>4.1215358293449338</v>
      </c>
      <c r="EE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19.216666666666669</v>
      </c>
      <c r="EJ26" s="12">
        <f>IF('Données projet'!$A$192&gt;35,EJ25+EI26-ER25,IF(A26&lt;'Données projet'!$A$192,$EG$205^A26,IF(A26='Données projet'!$A$192,'Données projet'!$B$192,EJ25+EI26-ER25)))</f>
        <v>234.78333333333336</v>
      </c>
      <c r="EK26" s="17">
        <f>EJ26*VLOOKUP('Données projet'!$B$15,Paramètres!$A$1:$I$89,3,0)*VLOOKUP('Données projet'!$B$15,Paramètres!$A$1:$I$89,5,0)</f>
        <v>146.50480000000002</v>
      </c>
      <c r="EL26" s="13">
        <f t="shared" si="45"/>
        <v>37.783202245862846</v>
      </c>
      <c r="EM26" s="20">
        <f t="shared" si="19"/>
        <v>320.9682705782111</v>
      </c>
      <c r="EN26" s="59">
        <f t="shared" si="20"/>
        <v>614.30160391154436</v>
      </c>
      <c r="EO26" s="59">
        <f ca="1">AVERAGE(OFFSET($EN$3,0,0,'Données projet'!$E$15+1,1))-AVERAGE(OFFSET($H$3,0,0,'Données projet'!$E$15+1,1))</f>
        <v>269.77739619445515</v>
      </c>
      <c r="EP26" s="59">
        <f t="shared" si="46"/>
        <v>347.56964743629885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36.305499298282946</v>
      </c>
      <c r="EX26" s="21">
        <f>EXP(-LN(2)/2)*EX25+(1-EXP(-LN(2)/2))/(LN(2)/2)*ER26*EU26*VLOOKUP('Données projet'!$B$15,Paramètres!$A$1:$I$89,3,0)*0.475*44/12</f>
        <v>0.28101380654624553</v>
      </c>
      <c r="EY26" s="22">
        <f t="shared" si="21"/>
        <v>36.586513104829194</v>
      </c>
      <c r="EZ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16.8</v>
      </c>
      <c r="FE26" s="12">
        <f>IF('Données projet'!$A$218&gt;35,FE25+FD26-FM25,IF(A26&lt;'Données projet'!$A$218,$FB$205^A26,IF(A26='Données projet'!$A$218,'Données projet'!$B$218,FE25+FD26-FM25)))</f>
        <v>131.4</v>
      </c>
      <c r="FF26" s="17">
        <f>FE26*VLOOKUP('Données projet'!$B$16,Paramètres!$A$1:$I$89,3,0)*VLOOKUP('Données projet'!$B$16,Paramètres!$A$1:$I$89,5,0)</f>
        <v>104.54184000000002</v>
      </c>
      <c r="FG26" s="13">
        <f t="shared" si="47"/>
        <v>28.041215323191079</v>
      </c>
      <c r="FH26" s="20">
        <f t="shared" si="22"/>
        <v>230.91548802122449</v>
      </c>
      <c r="FI26" s="59">
        <f t="shared" si="23"/>
        <v>524.24882135455778</v>
      </c>
      <c r="FJ26" s="59">
        <f ca="1">AVERAGE(OFFSET($FI$3,0,0,'Données projet'!$E$16+1,1))-AVERAGE(OFFSET($H$3,0,0,'Données projet'!$E$16+1,1))</f>
        <v>331.52724290297675</v>
      </c>
      <c r="FK26" s="59">
        <f t="shared" si="48"/>
        <v>322.79102610158054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30.4</v>
      </c>
      <c r="FZ26" s="12">
        <f>IF('Données projet'!$A$244&gt;35,FZ25+FY26-GH25,IF(A26&lt;'Données projet'!$A$244,$FW$205^A26,IF(A26='Données projet'!$A$244,'Données projet'!$B$244,FZ25+FY26-GH25)))</f>
        <v>233.20000000000005</v>
      </c>
      <c r="GA26" s="17">
        <f>FZ26*VLOOKUP('Données projet'!$B$17,Paramètres!$A$1:$I$89,3,0)*VLOOKUP('Données projet'!$B$17,Paramètres!$A$1:$I$89,5,0)</f>
        <v>115.20080000000002</v>
      </c>
      <c r="GB26" s="13">
        <f t="shared" si="49"/>
        <v>30.553019712341356</v>
      </c>
      <c r="GC26" s="20">
        <f t="shared" si="25"/>
        <v>253.85456933232786</v>
      </c>
      <c r="GD26" s="59">
        <f t="shared" si="26"/>
        <v>547.18790266566111</v>
      </c>
      <c r="GE26" s="59">
        <f ca="1">AVERAGE(OFFSET($GD$3,0,0,'Données projet'!$E$17+1,1))-AVERAGE(OFFSET($H$3,0,0,'Données projet'!$E$17+1,1))</f>
        <v>434.08297999735811</v>
      </c>
      <c r="GF26" s="59">
        <f t="shared" si="50"/>
        <v>371.04090283546122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8.5032696277141682</v>
      </c>
      <c r="GO26" s="21">
        <f t="shared" si="27"/>
        <v>8.5032696277141682</v>
      </c>
      <c r="GP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16</v>
      </c>
      <c r="GU26" s="12">
        <f>IF('Données projet'!$A$270&gt;35,GU25+GT26-HC25,IF(A26&lt;'Données projet'!$A$270,$GR$205^A26,IF(A26='Données projet'!$A$270,'Données projet'!$B$270,GU25+GT26-HC25)))</f>
        <v>140</v>
      </c>
      <c r="GV26" s="17">
        <f>GU26*VLOOKUP('Données projet'!$B$18,Paramètres!$A$1:$I$89,3,0)*VLOOKUP('Données projet'!$B$18,Paramètres!$A$1:$I$89,5,0)</f>
        <v>80.08</v>
      </c>
      <c r="GW26" s="13">
        <f t="shared" si="51"/>
        <v>22.156743406564633</v>
      </c>
      <c r="GX26" s="20">
        <f t="shared" si="28"/>
        <v>178.06232809976675</v>
      </c>
      <c r="GY26" s="59">
        <f t="shared" si="29"/>
        <v>471.39566143310003</v>
      </c>
      <c r="GZ26" s="59">
        <f ca="1">AVERAGE(OFFSET($GY$3,0,0,'Données projet'!$E$18+1,1))-AVERAGE(OFFSET($H$3,0,0,'Données projet'!$E$18+1,1))</f>
        <v>362.57172983134313</v>
      </c>
      <c r="HA26" s="59">
        <f t="shared" si="52"/>
        <v>232.03250917542471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8.4720458714312503</v>
      </c>
      <c r="HJ26" s="22">
        <f t="shared" si="30"/>
        <v>8.4720458714312503</v>
      </c>
    </row>
    <row r="27" spans="1:218" x14ac:dyDescent="0.3">
      <c r="A27" s="10">
        <f t="shared" si="31"/>
        <v>24</v>
      </c>
      <c r="B27" s="71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5">
        <f t="shared" si="1"/>
        <v>320.40885038678698</v>
      </c>
      <c r="I27" s="6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12.6</v>
      </c>
      <c r="N27" s="13">
        <f>IF('Données projet'!$A$36&gt;35,N26+M27-V26,IF(A27&lt;'Données projet'!$A$36,$K$205^A27,IF(A27='Données projet'!$A$36,'Données projet'!$B$36,N26+M27-V26)))</f>
        <v>102.39999999999998</v>
      </c>
      <c r="O27" s="13">
        <f>N27*VLOOKUP('Données projet'!$B$9,Paramètres!$A$1:$I$89,3,0)*VLOOKUP('Données projet'!$B$9,Paramètres!$A$1:$I$89,5,0)</f>
        <v>81.469439999999992</v>
      </c>
      <c r="P27" s="13">
        <f t="shared" si="33"/>
        <v>22.496088365195678</v>
      </c>
      <c r="Q27" s="20">
        <f t="shared" si="2"/>
        <v>181.07329523604912</v>
      </c>
      <c r="R27" s="59">
        <f t="shared" si="0"/>
        <v>474.40662856938241</v>
      </c>
      <c r="S27" s="59">
        <f ca="1">AVERAGE(OFFSET($R$3,0,0,'Données projet'!$E$9+1,1))-AVERAGE(OFFSET($H$3,0,0,'Données projet'!$E$9+1,1))</f>
        <v>225.2323446080772</v>
      </c>
      <c r="T27" s="59">
        <f t="shared" si="34"/>
        <v>222.29030402759292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24</v>
      </c>
      <c r="AI27" s="13">
        <f>IF('Données projet'!$A$62&gt;35,AI26+AH27-AQ26,IF(A27&lt;'Données projet'!$A$62,$AF$205^A27,IF(A27='Données projet'!$A$62,'Données projet'!$B$62,AI26+AH27-AQ26)))</f>
        <v>221</v>
      </c>
      <c r="AJ27" s="13">
        <f>AI27*VLOOKUP('Données projet'!$B$10,Paramètres!$A$1:$I$89,3,0)*VLOOKUP('Données projet'!$B$10,Paramètres!$A$1:$I$89,5,0)</f>
        <v>109.17400000000001</v>
      </c>
      <c r="AK27" s="13">
        <f t="shared" si="35"/>
        <v>29.136287240258813</v>
      </c>
      <c r="AL27" s="20">
        <f t="shared" si="4"/>
        <v>240.89041694345076</v>
      </c>
      <c r="AM27" s="59">
        <f t="shared" si="5"/>
        <v>534.22375027678413</v>
      </c>
      <c r="AN27" s="59">
        <f ca="1">AVERAGE(OFFSET($AM$3,0,0,'Données projet'!$E$10+1,1))-AVERAGE(OFFSET($H$3,0,0,'Données projet'!$E$10+1,1))</f>
        <v>360.05819346986135</v>
      </c>
      <c r="AO27" s="59">
        <f t="shared" si="36"/>
        <v>300.47468388351081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0.41949206623355562</v>
      </c>
      <c r="AX27" s="21">
        <f t="shared" si="6"/>
        <v>0.41949206623355562</v>
      </c>
      <c r="AY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9.6</v>
      </c>
      <c r="BD27" s="12">
        <f>IF('Données projet'!$A$88&gt;35,BD26+BC27-BL26,IF(A27&lt;'Données projet'!$A$88,$BA$205^A27,IF(A27='Données projet'!$A$88,'Données projet'!$B$88,BD26+BC27-BL26)))</f>
        <v>102.39999999999996</v>
      </c>
      <c r="BE27" s="13">
        <f>BD27*VLOOKUP('Données projet'!$B$11,Paramètres!$A$1:$I$89,3,0)*VLOOKUP('Données projet'!$B$11,Paramètres!$A$1:$I$89,5,0)</f>
        <v>58.57279999999998</v>
      </c>
      <c r="BF27" s="13">
        <f t="shared" si="37"/>
        <v>16.806924053343391</v>
      </c>
      <c r="BG27" s="20">
        <f t="shared" si="7"/>
        <v>131.2863527262397</v>
      </c>
      <c r="BH27" s="59">
        <f t="shared" si="8"/>
        <v>424.61968605957304</v>
      </c>
      <c r="BI27" s="59">
        <f ca="1">AVERAGE(OFFSET($BH$3,0,0,'Données projet'!$E$11+1,1))-AVERAGE(OFFSET($H$3,0,0,'Données projet'!$E$11+1,1))</f>
        <v>250.90038883668348</v>
      </c>
      <c r="BJ27" s="59">
        <f t="shared" si="38"/>
        <v>141.96132114475608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14.8</v>
      </c>
      <c r="BY27" s="12">
        <f>IF('Données projet'!$A$114&gt;35,BY26+BX27-CG26,IF(A27&lt;'Données projet'!$A$114,$BV$205^A27,IF(A27='Données projet'!$A$114,'Données projet'!$B$114,BY26+BX27-CG26)))</f>
        <v>126.19999999999997</v>
      </c>
      <c r="BZ27" s="13">
        <f>BY27*VLOOKUP('Données projet'!$B$12,Paramètres!$A$1:$I$89,3,0)*VLOOKUP('Données projet'!$B$12,Paramètres!$A$1:$I$89,5,0)</f>
        <v>100.40472</v>
      </c>
      <c r="CA27" s="13">
        <f t="shared" si="39"/>
        <v>27.058393830330502</v>
      </c>
      <c r="CB27" s="20">
        <f t="shared" si="10"/>
        <v>221.99825658782561</v>
      </c>
      <c r="CC27" s="59">
        <f t="shared" si="11"/>
        <v>515.33158992115887</v>
      </c>
      <c r="CD27" s="59">
        <f ca="1">AVERAGE(OFFSET($CC$3,0,0,'Données projet'!$E$12+1,1))-AVERAGE(OFFSET($H$3,0,0,'Données projet'!$E$12+1,1))</f>
        <v>279.49721661620544</v>
      </c>
      <c r="CE27" s="59">
        <f t="shared" si="40"/>
        <v>275.18739333988754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27</v>
      </c>
      <c r="CT27" s="12">
        <f>IF('Données projet'!$A$140&gt;35,CT26+CS27-DB26,IF(A27&lt;'Données projet'!$A$140,$CQ$205^A27,IF(A27='Données projet'!$A$140,'Données projet'!$B$140,CT26+CS27-DB26)))</f>
        <v>242</v>
      </c>
      <c r="CU27" s="17">
        <f>CT27*VLOOKUP('Données projet'!$B$13,Paramètres!$A$1:$I$89,3,0)*VLOOKUP('Données projet'!$B$13,Paramètres!$A$1:$I$89,5,0)</f>
        <v>119.54800000000002</v>
      </c>
      <c r="CV27" s="13">
        <f t="shared" si="41"/>
        <v>31.569554573828761</v>
      </c>
      <c r="CW27" s="20">
        <f t="shared" si="13"/>
        <v>263.19640754941844</v>
      </c>
      <c r="CX27" s="59">
        <f t="shared" si="14"/>
        <v>556.52974088275175</v>
      </c>
      <c r="CY27" s="59">
        <f ca="1">AVERAGE(OFFSET($CX$3,0,0,'Données projet'!$E$13+1,1))-AVERAGE(OFFSET($H$3,0,0,'Données projet'!$E$13+1,1))</f>
        <v>396.27049617044378</v>
      </c>
      <c r="CZ27" s="59">
        <f t="shared" si="42"/>
        <v>335.2680289568774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3.076275152379409</v>
      </c>
      <c r="DI27" s="22">
        <f t="shared" si="15"/>
        <v>3.076275152379409</v>
      </c>
      <c r="DJ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12.8</v>
      </c>
      <c r="DO27" s="12">
        <f>IF('Données projet'!$A$166&gt;35,DO26+DN27-DW26,IF(A27&lt;'Données projet'!$A$166,$DL$205^A27,IF(A27='Données projet'!$A$166,'Données projet'!$B$166,DO26+DN27-DW26)))</f>
        <v>129.19999999999999</v>
      </c>
      <c r="DP27" s="17">
        <f>DO27*VLOOKUP('Données projet'!$B$14,Paramètres!$A$1:$I$89,3,0)*VLOOKUP('Données projet'!$B$14,Paramètres!$A$1:$I$89,5,0)</f>
        <v>73.902399999999986</v>
      </c>
      <c r="DQ27" s="13">
        <f t="shared" si="43"/>
        <v>20.639480080340533</v>
      </c>
      <c r="DR27" s="20">
        <f t="shared" si="16"/>
        <v>164.66044113992641</v>
      </c>
      <c r="DS27" s="59">
        <f t="shared" si="17"/>
        <v>457.99377447325969</v>
      </c>
      <c r="DT27" s="59">
        <f ca="1">AVERAGE(OFFSET($DS$3,0,0,'Données projet'!$E$14+1,1))-AVERAGE(OFFSET($H$3,0,0,'Données projet'!$E$14+1,1))</f>
        <v>307.43900954374504</v>
      </c>
      <c r="DU27" s="59">
        <f t="shared" si="44"/>
        <v>185.25270859048999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2.9143659338331238</v>
      </c>
      <c r="ED27" s="22">
        <f t="shared" si="18"/>
        <v>2.9143659338331238</v>
      </c>
      <c r="EE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>
        <f>VLOOKUP(A27,'Données projet'!$A$191:$I$211,2,0)</f>
        <v>254</v>
      </c>
      <c r="EH27" s="12">
        <f>VLOOKUP(A27,'Données projet'!$A$191:$I$211,9,0)</f>
        <v>19.216666666666669</v>
      </c>
      <c r="EI27" s="12">
        <f t="array" ref="EI27">INDEX(EH:EH,MIN(IF(ISNUMBER(EH27:EH223),ROW(EH27:EH223),"")))</f>
        <v>19.216666666666669</v>
      </c>
      <c r="EJ27" s="12">
        <f>IF('Données projet'!$A$192&gt;35,EJ26+EI27-ER26,IF(A27&lt;'Données projet'!$A$192,$EG$205^A27,IF(A27='Données projet'!$A$192,'Données projet'!$B$192,EJ26+EI27-ER26)))</f>
        <v>254.00000000000003</v>
      </c>
      <c r="EK27" s="17">
        <f>EJ27*VLOOKUP('Données projet'!$B$15,Paramètres!$A$1:$I$89,3,0)*VLOOKUP('Données projet'!$B$15,Paramètres!$A$1:$I$89,5,0)</f>
        <v>158.49600000000004</v>
      </c>
      <c r="EL27" s="13">
        <f t="shared" si="45"/>
        <v>40.503097769376929</v>
      </c>
      <c r="EM27" s="20">
        <f t="shared" si="19"/>
        <v>346.59009528166484</v>
      </c>
      <c r="EN27" s="59">
        <f t="shared" si="20"/>
        <v>639.9234286149981</v>
      </c>
      <c r="EO27" s="59">
        <f ca="1">AVERAGE(OFFSET($EN$3,0,0,'Données projet'!$E$15+1,1))-AVERAGE(OFFSET($H$3,0,0,'Données projet'!$E$15+1,1))</f>
        <v>269.77739619445515</v>
      </c>
      <c r="EP27" s="59">
        <f t="shared" si="46"/>
        <v>347.56964743629885</v>
      </c>
      <c r="EQ27" s="15">
        <f>IF(ISNA(VLOOKUP(A27,'Données projet'!$A$191:$I$211,3,0)),0,VLOOKUP(A27,'Données projet'!$A$191:$I$211,3,0))</f>
        <v>3</v>
      </c>
      <c r="ER27" s="15">
        <f>IF(ISNA(VLOOKUP(A27,'Données projet'!$A$191:$I$211,4,0)),0,VLOOKUP(A27,'Données projet'!$A$191:$I$211,4,0))</f>
        <v>73.7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0.6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71.77286303125355</v>
      </c>
      <c r="EX27" s="21">
        <f>EXP(-LN(2)/2)*EX26+(1-EXP(-LN(2)/2))/(LN(2)/2)*ER27*EU27*VLOOKUP('Données projet'!$B$15,Paramètres!$A$1:$I$89,3,0)*0.475*44/12</f>
        <v>0.19870676821589484</v>
      </c>
      <c r="EY27" s="22">
        <f t="shared" si="21"/>
        <v>71.971569799469449</v>
      </c>
      <c r="EZ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16.8</v>
      </c>
      <c r="FE27" s="12">
        <f>IF('Données projet'!$A$218&gt;35,FE26+FD27-FM26,IF(A27&lt;'Données projet'!$A$218,$FB$205^A27,IF(A27='Données projet'!$A$218,'Données projet'!$B$218,FE26+FD27-FM26)))</f>
        <v>148.20000000000002</v>
      </c>
      <c r="FF27" s="17">
        <f>FE27*VLOOKUP('Données projet'!$B$16,Paramètres!$A$1:$I$89,3,0)*VLOOKUP('Données projet'!$B$16,Paramètres!$A$1:$I$89,5,0)</f>
        <v>117.90792000000002</v>
      </c>
      <c r="FG27" s="13">
        <f t="shared" si="47"/>
        <v>31.186557651984323</v>
      </c>
      <c r="FH27" s="20">
        <f t="shared" si="22"/>
        <v>259.67288191053939</v>
      </c>
      <c r="FI27" s="59">
        <f t="shared" si="23"/>
        <v>553.0062152438727</v>
      </c>
      <c r="FJ27" s="59">
        <f ca="1">AVERAGE(OFFSET($FI$3,0,0,'Données projet'!$E$16+1,1))-AVERAGE(OFFSET($H$3,0,0,'Données projet'!$E$16+1,1))</f>
        <v>331.52724290297675</v>
      </c>
      <c r="FK27" s="59">
        <f t="shared" si="48"/>
        <v>322.79102610158054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30.4</v>
      </c>
      <c r="FZ27" s="12">
        <f>IF('Données projet'!$A$244&gt;35,FZ26+FY27-GH26,IF(A27&lt;'Données projet'!$A$244,$FW$205^A27,IF(A27='Données projet'!$A$244,'Données projet'!$B$244,FZ26+FY27-GH26)))</f>
        <v>263.60000000000002</v>
      </c>
      <c r="GA27" s="17">
        <f>FZ27*VLOOKUP('Données projet'!$B$17,Paramètres!$A$1:$I$89,3,0)*VLOOKUP('Données projet'!$B$17,Paramètres!$A$1:$I$89,5,0)</f>
        <v>130.2184</v>
      </c>
      <c r="GB27" s="13">
        <f t="shared" si="49"/>
        <v>34.046820228703304</v>
      </c>
      <c r="GC27" s="20">
        <f t="shared" si="25"/>
        <v>286.09525856499152</v>
      </c>
      <c r="GD27" s="59">
        <f t="shared" si="26"/>
        <v>579.42859189832484</v>
      </c>
      <c r="GE27" s="59">
        <f ca="1">AVERAGE(OFFSET($GD$3,0,0,'Données projet'!$E$17+1,1))-AVERAGE(OFFSET($H$3,0,0,'Données projet'!$E$17+1,1))</f>
        <v>434.08297999735811</v>
      </c>
      <c r="GF27" s="59">
        <f t="shared" si="50"/>
        <v>371.04090283546122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6.0127196160142979</v>
      </c>
      <c r="GO27" s="21">
        <f t="shared" si="27"/>
        <v>6.0127196160142979</v>
      </c>
      <c r="GP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16</v>
      </c>
      <c r="GU27" s="12">
        <f>IF('Données projet'!$A$270&gt;35,GU26+GT27-HC26,IF(A27&lt;'Données projet'!$A$270,$GR$205^A27,IF(A27='Données projet'!$A$270,'Données projet'!$B$270,GU26+GT27-HC26)))</f>
        <v>156</v>
      </c>
      <c r="GV27" s="17">
        <f>GU27*VLOOKUP('Données projet'!$B$18,Paramètres!$A$1:$I$89,3,0)*VLOOKUP('Données projet'!$B$18,Paramètres!$A$1:$I$89,5,0)</f>
        <v>89.231999999999999</v>
      </c>
      <c r="GW27" s="13">
        <f t="shared" si="51"/>
        <v>24.379909604665222</v>
      </c>
      <c r="GX27" s="20">
        <f t="shared" si="28"/>
        <v>197.8740758947919</v>
      </c>
      <c r="GY27" s="59">
        <f t="shared" si="29"/>
        <v>491.20740922812524</v>
      </c>
      <c r="GZ27" s="59">
        <f ca="1">AVERAGE(OFFSET($GY$3,0,0,'Données projet'!$E$18+1,1))-AVERAGE(OFFSET($H$3,0,0,'Données projet'!$E$18+1,1))</f>
        <v>362.57172983134313</v>
      </c>
      <c r="HA27" s="59">
        <f t="shared" si="52"/>
        <v>232.03250917542471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5.9906410862125306</v>
      </c>
      <c r="HJ27" s="22">
        <f t="shared" si="30"/>
        <v>5.9906410862125306</v>
      </c>
    </row>
    <row r="28" spans="1:218" x14ac:dyDescent="0.3">
      <c r="A28" s="10">
        <f t="shared" si="31"/>
        <v>25</v>
      </c>
      <c r="B28" s="71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5">
        <f t="shared" si="1"/>
        <v>321.50258098486643</v>
      </c>
      <c r="I28" s="6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115</v>
      </c>
      <c r="L28" s="12">
        <f>VLOOKUP(A28,'Données projet'!$A$35:$I$55,9,0)</f>
        <v>12.6</v>
      </c>
      <c r="M28" s="12">
        <f t="array" ref="M28">INDEX(L:L,MIN(IF(ISNUMBER(L28:L224),ROW(L28:L224),"")))</f>
        <v>12.6</v>
      </c>
      <c r="N28" s="13">
        <f>IF('Données projet'!$A$36&gt;35,N27+M28-V27,IF(A28&lt;'Données projet'!$A$36,$K$205^A28,IF(A28='Données projet'!$A$36,'Données projet'!$B$36,N27+M28-V27)))</f>
        <v>114.99999999999997</v>
      </c>
      <c r="O28" s="13">
        <f>N28*VLOOKUP('Données projet'!$B$9,Paramètres!$A$1:$I$89,3,0)*VLOOKUP('Données projet'!$B$9,Paramètres!$A$1:$I$89,5,0)</f>
        <v>91.493999999999986</v>
      </c>
      <c r="P28" s="13">
        <f t="shared" si="33"/>
        <v>24.925195840896517</v>
      </c>
      <c r="Q28" s="20">
        <f t="shared" si="2"/>
        <v>202.76343275622807</v>
      </c>
      <c r="R28" s="59">
        <f t="shared" si="0"/>
        <v>496.09676608956136</v>
      </c>
      <c r="S28" s="59">
        <f ca="1">AVERAGE(OFFSET($R$3,0,0,'Données projet'!$E$9+1,1))-AVERAGE(OFFSET($H$3,0,0,'Données projet'!$E$9+1,1))</f>
        <v>225.2323446080772</v>
      </c>
      <c r="T28" s="59">
        <f t="shared" si="34"/>
        <v>222.29030402759292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28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245</v>
      </c>
      <c r="AG28" s="12">
        <f>VLOOKUP(A28,'Données projet'!$A$61:$I$81,9,0)</f>
        <v>24</v>
      </c>
      <c r="AH28" s="12">
        <f t="array" ref="AH28">INDEX(AG:AG,MIN(IF(ISNUMBER(AG28:AG224),ROW(AG28:AG224),"")))</f>
        <v>24</v>
      </c>
      <c r="AI28" s="13">
        <f>IF('Données projet'!$A$62&gt;35,AI27+AH28-AQ27,IF(A28&lt;'Données projet'!$A$62,$AF$205^A28,IF(A28='Données projet'!$A$62,'Données projet'!$B$62,AI27+AH28-AQ27)))</f>
        <v>245</v>
      </c>
      <c r="AJ28" s="13">
        <f>AI28*VLOOKUP('Données projet'!$B$10,Paramètres!$A$1:$I$89,3,0)*VLOOKUP('Données projet'!$B$10,Paramètres!$A$1:$I$89,5,0)</f>
        <v>121.03</v>
      </c>
      <c r="AK28" s="13">
        <f t="shared" si="35"/>
        <v>31.915110254002617</v>
      </c>
      <c r="AL28" s="20">
        <f t="shared" si="4"/>
        <v>266.37940035905461</v>
      </c>
      <c r="AM28" s="59">
        <f t="shared" si="5"/>
        <v>559.71273369238793</v>
      </c>
      <c r="AN28" s="59">
        <f ca="1">AVERAGE(OFFSET($AM$3,0,0,'Données projet'!$E$10+1,1))-AVERAGE(OFFSET($H$3,0,0,'Données projet'!$E$10+1,1))</f>
        <v>360.05819346986135</v>
      </c>
      <c r="AO28" s="59">
        <f t="shared" si="36"/>
        <v>300.47468388351081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63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0.55000000000000004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22.617530579417984</v>
      </c>
      <c r="AW28" s="21">
        <f>EXP(-LN(2)/2)*AW27+(1-EXP(-LN(2)/2))/(LN(2)/2)*AQ28*AT28*VLOOKUP('Données projet'!$B$10,Paramètres!$A$1:$I$89,3,0)*0.475*44/12</f>
        <v>0.29662568468770351</v>
      </c>
      <c r="AX28" s="21">
        <f t="shared" si="6"/>
        <v>22.914156264105689</v>
      </c>
      <c r="AY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112</v>
      </c>
      <c r="BB28" s="12">
        <f>VLOOKUP(A28,'Données projet'!$A$87:$I$107,9,0)</f>
        <v>9.6</v>
      </c>
      <c r="BC28" s="12">
        <f t="array" ref="BC28">INDEX(BB:BB,MIN(IF(ISNUMBER(BB28:BB224),ROW(BB28:BB224),"")))</f>
        <v>9.6</v>
      </c>
      <c r="BD28" s="12">
        <f>IF('Données projet'!$A$88&gt;35,BD27+BC28-BL27,IF(A28&lt;'Données projet'!$A$88,$BA$205^A28,IF(A28='Données projet'!$A$88,'Données projet'!$B$88,BD27+BC28-BL27)))</f>
        <v>111.99999999999996</v>
      </c>
      <c r="BE28" s="13">
        <f>BD28*VLOOKUP('Données projet'!$B$11,Paramètres!$A$1:$I$89,3,0)*VLOOKUP('Données projet'!$B$11,Paramètres!$A$1:$I$89,5,0)</f>
        <v>64.063999999999979</v>
      </c>
      <c r="BF28" s="13">
        <f t="shared" si="37"/>
        <v>18.191823792099679</v>
      </c>
      <c r="BG28" s="20">
        <f t="shared" si="7"/>
        <v>143.26222643790689</v>
      </c>
      <c r="BH28" s="59">
        <f t="shared" si="8"/>
        <v>436.59555977124023</v>
      </c>
      <c r="BI28" s="59">
        <f ca="1">AVERAGE(OFFSET($BH$3,0,0,'Données projet'!$E$11+1,1))-AVERAGE(OFFSET($H$3,0,0,'Données projet'!$E$11+1,1))</f>
        <v>250.90038883668348</v>
      </c>
      <c r="BJ28" s="59">
        <f t="shared" si="38"/>
        <v>141.96132114475608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33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1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21.372016848109567</v>
      </c>
      <c r="BS28" s="22">
        <f t="shared" si="9"/>
        <v>21.372016848109567</v>
      </c>
      <c r="BT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141</v>
      </c>
      <c r="BW28" s="12">
        <f>VLOOKUP(A28,'Données projet'!$A$113:$I$133,9,0)</f>
        <v>14.8</v>
      </c>
      <c r="BX28" s="12">
        <f t="array" ref="BX28">INDEX(BW:BW,MIN(IF(ISNUMBER(BW28:BW224),ROW(BW28:BW224),"")))</f>
        <v>14.8</v>
      </c>
      <c r="BY28" s="12">
        <f>IF('Données projet'!$A$114&gt;35,BY27+BX28-CG27,IF(A28&lt;'Données projet'!$A$114,$BV$205^A28,IF(A28='Données projet'!$A$114,'Données projet'!$B$114,BY27+BX28-CG27)))</f>
        <v>140.99999999999997</v>
      </c>
      <c r="BZ28" s="13">
        <f>BY28*VLOOKUP('Données projet'!$B$12,Paramètres!$A$1:$I$89,3,0)*VLOOKUP('Données projet'!$B$12,Paramètres!$A$1:$I$89,5,0)</f>
        <v>112.17959999999998</v>
      </c>
      <c r="CA28" s="13">
        <f t="shared" si="39"/>
        <v>29.8439274472838</v>
      </c>
      <c r="CB28" s="20">
        <f t="shared" si="10"/>
        <v>247.35764363735257</v>
      </c>
      <c r="CC28" s="59">
        <f t="shared" si="11"/>
        <v>540.69097697068582</v>
      </c>
      <c r="CD28" s="59">
        <f ca="1">AVERAGE(OFFSET($CC$3,0,0,'Données projet'!$E$12+1,1))-AVERAGE(OFFSET($H$3,0,0,'Données projet'!$E$12+1,1))</f>
        <v>279.49721661620544</v>
      </c>
      <c r="CE28" s="59">
        <f t="shared" si="40"/>
        <v>275.18739333988754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35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269</v>
      </c>
      <c r="CR28" s="12">
        <f>VLOOKUP(A28,'Données projet'!$A$139:$I$159,9,0)</f>
        <v>27</v>
      </c>
      <c r="CS28" s="12">
        <f t="array" ref="CS28">INDEX(CR:CR,MIN(IF(ISNUMBER(CR28:CR224),ROW(CR28:CR224),"")))</f>
        <v>27</v>
      </c>
      <c r="CT28" s="12">
        <f>IF('Données projet'!$A$140&gt;35,CT27+CS28-DB27,IF(A28&lt;'Données projet'!$A$140,$CQ$205^A28,IF(A28='Données projet'!$A$140,'Données projet'!$B$140,CT27+CS28-DB27)))</f>
        <v>269</v>
      </c>
      <c r="CU28" s="17">
        <f>CT28*VLOOKUP('Données projet'!$B$13,Paramètres!$A$1:$I$89,3,0)*VLOOKUP('Données projet'!$B$13,Paramètres!$A$1:$I$89,5,0)</f>
        <v>132.886</v>
      </c>
      <c r="CV28" s="13">
        <f t="shared" si="41"/>
        <v>34.662374610467417</v>
      </c>
      <c r="CW28" s="20">
        <f t="shared" si="13"/>
        <v>291.81341911323074</v>
      </c>
      <c r="CX28" s="59">
        <f t="shared" si="14"/>
        <v>585.14675244656405</v>
      </c>
      <c r="CY28" s="59">
        <f ca="1">AVERAGE(OFFSET($CX$3,0,0,'Données projet'!$E$13+1,1))-AVERAGE(OFFSET($H$3,0,0,'Données projet'!$E$13+1,1))</f>
        <v>396.27049617044378</v>
      </c>
      <c r="CZ28" s="59">
        <f t="shared" si="42"/>
        <v>335.2680289568774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70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0.55000000000000004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25.130589532686646</v>
      </c>
      <c r="DH28" s="21">
        <f>EXP(-LN(2)/2)*DH27+(1-EXP(-LN(2)/2))/(LN(2)/2)*DB28*DE28*VLOOKUP('Données projet'!$B$13,Paramètres!$A$1:$I$89,3,0)*0.475*44/12</f>
        <v>2.17525502104316</v>
      </c>
      <c r="DI28" s="22">
        <f t="shared" si="15"/>
        <v>27.305844553729806</v>
      </c>
      <c r="DJ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142</v>
      </c>
      <c r="DM28" s="12">
        <f>VLOOKUP(A28,'Données projet'!$A$165:$I$185,9,0)</f>
        <v>12.8</v>
      </c>
      <c r="DN28" s="12">
        <f t="array" ref="DN28">INDEX(DM:DM,MIN(IF(ISNUMBER(DM28:DM224),ROW(DM28:DM224),"")))</f>
        <v>12.8</v>
      </c>
      <c r="DO28" s="12">
        <f>IF('Données projet'!$A$166&gt;35,DO27+DN28-DW27,IF(A28&lt;'Données projet'!$A$166,$DL$205^A28,IF(A28='Données projet'!$A$166,'Données projet'!$B$166,DO27+DN28-DW27)))</f>
        <v>142</v>
      </c>
      <c r="DP28" s="17">
        <f>DO28*VLOOKUP('Données projet'!$B$14,Paramètres!$A$1:$I$89,3,0)*VLOOKUP('Données projet'!$B$14,Paramètres!$A$1:$I$89,5,0)</f>
        <v>81.224000000000004</v>
      </c>
      <c r="DQ28" s="13">
        <f t="shared" si="43"/>
        <v>22.436193505163597</v>
      </c>
      <c r="DR28" s="20">
        <f t="shared" si="16"/>
        <v>180.54150368815991</v>
      </c>
      <c r="DS28" s="59">
        <f t="shared" si="17"/>
        <v>473.87483702149325</v>
      </c>
      <c r="DT28" s="59">
        <f ca="1">AVERAGE(OFFSET($DS$3,0,0,'Données projet'!$E$14+1,1))-AVERAGE(OFFSET($H$3,0,0,'Données projet'!$E$14+1,1))</f>
        <v>307.43900954374504</v>
      </c>
      <c r="DU28" s="59">
        <f t="shared" si="44"/>
        <v>185.25270859048999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42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0.45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14.284756155421883</v>
      </c>
      <c r="EC28" s="21">
        <f>EXP(-LN(2)/2)*EC27+(1-EXP(-LN(2)/2))/(LN(2)/2)*DW28*DZ28*VLOOKUP('Données projet'!$B$14,Paramètres!$A$1:$I$89,3,0)*0.475*44/12</f>
        <v>2.0607679146724669</v>
      </c>
      <c r="ED28" s="22">
        <f t="shared" si="18"/>
        <v>16.345524070094349</v>
      </c>
      <c r="EE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16.616666666666664</v>
      </c>
      <c r="EJ28" s="12">
        <f>IF('Données projet'!$A$192&gt;35,EJ27+EI28-ER27,IF(A28&lt;'Données projet'!$A$192,$EG$205^A28,IF(A28='Données projet'!$A$192,'Données projet'!$B$192,EJ27+EI28-ER27)))</f>
        <v>196.91666666666669</v>
      </c>
      <c r="EK28" s="17">
        <f>EJ28*VLOOKUP('Données projet'!$B$15,Paramètres!$A$1:$I$89,3,0)*VLOOKUP('Données projet'!$B$15,Paramètres!$A$1:$I$89,5,0)</f>
        <v>122.87600000000002</v>
      </c>
      <c r="EL28" s="13">
        <f t="shared" si="45"/>
        <v>32.344851661523322</v>
      </c>
      <c r="EM28" s="20">
        <f t="shared" si="19"/>
        <v>270.34298331048649</v>
      </c>
      <c r="EN28" s="59">
        <f t="shared" si="20"/>
        <v>563.67631664381975</v>
      </c>
      <c r="EO28" s="59">
        <f ca="1">AVERAGE(OFFSET($EN$3,0,0,'Données projet'!$E$15+1,1))-AVERAGE(OFFSET($H$3,0,0,'Données projet'!$E$15+1,1))</f>
        <v>269.77739619445515</v>
      </c>
      <c r="EP28" s="59">
        <f t="shared" si="46"/>
        <v>347.56964743629885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69.81023031729309</v>
      </c>
      <c r="EX28" s="21">
        <f>EXP(-LN(2)/2)*EX27+(1-EXP(-LN(2)/2))/(LN(2)/2)*ER28*EU28*VLOOKUP('Données projet'!$B$15,Paramètres!$A$1:$I$89,3,0)*0.475*44/12</f>
        <v>0.14050690327312276</v>
      </c>
      <c r="EY28" s="22">
        <f t="shared" si="21"/>
        <v>69.950737220566211</v>
      </c>
      <c r="EZ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>
        <f>VLOOKUP(A28,'Données projet'!$A$217:$I$237,2,0)</f>
        <v>165</v>
      </c>
      <c r="FC28" s="12">
        <f>VLOOKUP(A28,'Données projet'!$A$217:$I$237,9,0)</f>
        <v>16.8</v>
      </c>
      <c r="FD28" s="12">
        <f t="array" ref="FD28">INDEX(FC:FC,MIN(IF(ISNUMBER(FC28:FC224),ROW(FC28:FC224),"")))</f>
        <v>16.8</v>
      </c>
      <c r="FE28" s="12">
        <f>IF('Données projet'!$A$218&gt;35,FE27+FD28-FM27,IF(A28&lt;'Données projet'!$A$218,$FB$205^A28,IF(A28='Données projet'!$A$218,'Données projet'!$B$218,FE27+FD28-FM27)))</f>
        <v>165.00000000000003</v>
      </c>
      <c r="FF28" s="17">
        <f>FE28*VLOOKUP('Données projet'!$B$16,Paramètres!$A$1:$I$89,3,0)*VLOOKUP('Données projet'!$B$16,Paramètres!$A$1:$I$89,5,0)</f>
        <v>131.27400000000003</v>
      </c>
      <c r="FG28" s="13">
        <f t="shared" si="47"/>
        <v>34.290576031111669</v>
      </c>
      <c r="FH28" s="20">
        <f t="shared" si="22"/>
        <v>288.35830325418618</v>
      </c>
      <c r="FI28" s="59">
        <f t="shared" si="23"/>
        <v>581.6916365875195</v>
      </c>
      <c r="FJ28" s="59">
        <f ca="1">AVERAGE(OFFSET($FI$3,0,0,'Données projet'!$E$16+1,1))-AVERAGE(OFFSET($H$3,0,0,'Données projet'!$E$16+1,1))</f>
        <v>331.52724290297675</v>
      </c>
      <c r="FK28" s="59">
        <f t="shared" si="48"/>
        <v>322.79102610158054</v>
      </c>
      <c r="FL28" s="15">
        <f>IF(ISNA(VLOOKUP(A28,'Données projet'!$A$217:$I$237,3,0)),0,VLOOKUP(A28,'Données projet'!$A$217:$I$237,3,0))</f>
        <v>4</v>
      </c>
      <c r="FM28" s="15">
        <f>IF(ISNA(VLOOKUP(A28,'Données projet'!$A$217:$I$237,4,0)),0,VLOOKUP(A28,'Données projet'!$A$217:$I$237,4,0))</f>
        <v>42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>
        <f>VLOOKUP(A28,'Données projet'!$A$243:$I$263,2,0)</f>
        <v>294</v>
      </c>
      <c r="FX28" s="12">
        <f>VLOOKUP(A28,'Données projet'!$A$243:$I$263,9,0)</f>
        <v>30.4</v>
      </c>
      <c r="FY28" s="12">
        <f t="array" ref="FY28">INDEX(FX:FX,MIN(IF(ISNUMBER(FX28:FX224),ROW(FX28:FX224),"")))</f>
        <v>30.4</v>
      </c>
      <c r="FZ28" s="12">
        <f>IF('Données projet'!$A$244&gt;35,FZ27+FY28-GH27,IF(A28&lt;'Données projet'!$A$244,$FW$205^A28,IF(A28='Données projet'!$A$244,'Données projet'!$B$244,FZ27+FY28-GH27)))</f>
        <v>294</v>
      </c>
      <c r="GA28" s="17">
        <f>FZ28*VLOOKUP('Données projet'!$B$17,Paramètres!$A$1:$I$89,3,0)*VLOOKUP('Données projet'!$B$17,Paramètres!$A$1:$I$89,5,0)</f>
        <v>145.23599999999999</v>
      </c>
      <c r="GB28" s="13">
        <f t="shared" si="49"/>
        <v>37.493924289345522</v>
      </c>
      <c r="GC28" s="20">
        <f t="shared" si="25"/>
        <v>318.25461813727674</v>
      </c>
      <c r="GD28" s="59">
        <f t="shared" si="26"/>
        <v>611.58795147061005</v>
      </c>
      <c r="GE28" s="59">
        <f ca="1">AVERAGE(OFFSET($GD$3,0,0,'Données projet'!$E$17+1,1))-AVERAGE(OFFSET($H$3,0,0,'Données projet'!$E$17+1,1))</f>
        <v>434.08297999735811</v>
      </c>
      <c r="GF28" s="59">
        <f t="shared" si="50"/>
        <v>371.04090283546122</v>
      </c>
      <c r="GG28" s="15">
        <f>IF(ISNA(VLOOKUP(A28,'Données projet'!$A$243:$I$263,3,0)),0,VLOOKUP(A28,'Données projet'!$A$243:$I$263,3,0))</f>
        <v>2</v>
      </c>
      <c r="GH28" s="15">
        <f>IF(ISNA(VLOOKUP(A28,'Données projet'!$A$243:$I$263,4,0)),0,VLOOKUP(A28,'Données projet'!$A$243:$I$263,4,0))</f>
        <v>77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0.55000000000000004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27.64364848595531</v>
      </c>
      <c r="GN28" s="21">
        <f>EXP(-LN(2)/2)*GN27+(1-EXP(-LN(2)/2))/(LN(2)/2)*GH28*GK28*VLOOKUP('Données projet'!$B$17,Paramètres!$A$1:$I$89,3,0)*0.475*44/12</f>
        <v>4.2516348138570841</v>
      </c>
      <c r="GO28" s="21">
        <f t="shared" si="27"/>
        <v>31.895283299812395</v>
      </c>
      <c r="GP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>
        <f>VLOOKUP(A28,'Données projet'!$A$269:$I$289,2,0)</f>
        <v>172</v>
      </c>
      <c r="GS28" s="12">
        <f>VLOOKUP(A28,'Données projet'!$A$269:$I$289,9,0)</f>
        <v>16</v>
      </c>
      <c r="GT28" s="12">
        <f t="array" ref="GT28">INDEX(GS:GS,MIN(IF(ISNUMBER(GS28:GS224),ROW(GS28:GS224),"")))</f>
        <v>16</v>
      </c>
      <c r="GU28" s="12">
        <f>IF('Données projet'!$A$270&gt;35,GU27+GT28-HC27,IF(A28&lt;'Données projet'!$A$270,$GR$205^A28,IF(A28='Données projet'!$A$270,'Données projet'!$B$270,GU27+GT28-HC27)))</f>
        <v>172</v>
      </c>
      <c r="GV28" s="17">
        <f>GU28*VLOOKUP('Données projet'!$B$18,Paramètres!$A$1:$I$89,3,0)*VLOOKUP('Données projet'!$B$18,Paramètres!$A$1:$I$89,5,0)</f>
        <v>98.384000000000015</v>
      </c>
      <c r="GW28" s="13">
        <f t="shared" si="51"/>
        <v>26.576643548714614</v>
      </c>
      <c r="GX28" s="20">
        <f t="shared" si="28"/>
        <v>217.63978751401132</v>
      </c>
      <c r="GY28" s="59">
        <f t="shared" si="29"/>
        <v>510.9731208473446</v>
      </c>
      <c r="GZ28" s="59">
        <f ca="1">AVERAGE(OFFSET($GY$3,0,0,'Données projet'!$E$18+1,1))-AVERAGE(OFFSET($H$3,0,0,'Données projet'!$E$18+1,1))</f>
        <v>362.57172983134313</v>
      </c>
      <c r="HA28" s="59">
        <f t="shared" si="52"/>
        <v>232.03250917542471</v>
      </c>
      <c r="HB28" s="15">
        <f>IF(ISNA(VLOOKUP(A28,'Données projet'!$A$269:$I$289,3,0)),0,VLOOKUP(A28,'Données projet'!$A$269:$I$289,3,0))</f>
        <v>2</v>
      </c>
      <c r="HC28" s="15">
        <f>IF(ISNA(VLOOKUP(A28,'Données projet'!$A$269:$I$289,4,0)),0,VLOOKUP(A28,'Données projet'!$A$269:$I$289,4,0))</f>
        <v>49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0.45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16.665548847992198</v>
      </c>
      <c r="HI28" s="21">
        <f>EXP(-LN(2)/2)*HI27+(1-EXP(-LN(2)/2))/(LN(2)/2)*HC28*HF28*VLOOKUP('Données projet'!$B$18,Paramètres!$A$1:$I$89,3,0)*0.475*44/12</f>
        <v>4.2360229357156252</v>
      </c>
      <c r="HJ28" s="22">
        <f t="shared" si="30"/>
        <v>20.901571783707823</v>
      </c>
    </row>
    <row r="29" spans="1:218" x14ac:dyDescent="0.3">
      <c r="A29" s="10">
        <f t="shared" si="31"/>
        <v>26</v>
      </c>
      <c r="B29" s="71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5">
        <f t="shared" si="1"/>
        <v>322.59512213389104</v>
      </c>
      <c r="I29" s="6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11.8</v>
      </c>
      <c r="N29" s="13">
        <f>IF('Données projet'!$A$36&gt;35,N28+M29-V28,IF(A29&lt;'Données projet'!$A$36,$K$205^A29,IF(A29='Données projet'!$A$36,'Données projet'!$B$36,N28+M29-V28)))</f>
        <v>98.799999999999969</v>
      </c>
      <c r="O29" s="13">
        <f>N29*VLOOKUP('Données projet'!$B$9,Paramètres!$A$1:$I$89,3,0)*VLOOKUP('Données projet'!$B$9,Paramètres!$A$1:$I$89,5,0)</f>
        <v>78.605279999999979</v>
      </c>
      <c r="P29" s="13">
        <f t="shared" si="33"/>
        <v>21.795819556945734</v>
      </c>
      <c r="Q29" s="20">
        <f t="shared" si="2"/>
        <v>174.86524839501377</v>
      </c>
      <c r="R29" s="59">
        <f t="shared" si="0"/>
        <v>468.19858172834711</v>
      </c>
      <c r="S29" s="59">
        <f ca="1">AVERAGE(OFFSET($R$3,0,0,'Données projet'!$E$9+1,1))-AVERAGE(OFFSET($H$3,0,0,'Données projet'!$E$9+1,1))</f>
        <v>225.2323446080772</v>
      </c>
      <c r="T29" s="59">
        <f t="shared" si="34"/>
        <v>222.29030402759292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25.4</v>
      </c>
      <c r="AI29" s="13">
        <f>IF('Données projet'!$A$62&gt;35,AI28+AH29-AQ28,IF(A29&lt;'Données projet'!$A$62,$AF$205^A29,IF(A29='Données projet'!$A$62,'Données projet'!$B$62,AI28+AH29-AQ28)))</f>
        <v>207.39999999999998</v>
      </c>
      <c r="AJ29" s="13">
        <f>AI29*VLOOKUP('Données projet'!$B$10,Paramètres!$A$1:$I$89,3,0)*VLOOKUP('Données projet'!$B$10,Paramètres!$A$1:$I$89,5,0)</f>
        <v>102.4556</v>
      </c>
      <c r="AK29" s="13">
        <f t="shared" si="35"/>
        <v>27.546181852359808</v>
      </c>
      <c r="AL29" s="20">
        <f t="shared" si="4"/>
        <v>226.41977005952666</v>
      </c>
      <c r="AM29" s="59">
        <f t="shared" si="5"/>
        <v>519.75310339286</v>
      </c>
      <c r="AN29" s="59">
        <f ca="1">AVERAGE(OFFSET($AM$3,0,0,'Données projet'!$E$10+1,1))-AVERAGE(OFFSET($H$3,0,0,'Données projet'!$E$10+1,1))</f>
        <v>360.05819346986135</v>
      </c>
      <c r="AO29" s="59">
        <f t="shared" si="36"/>
        <v>300.47468388351081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21.999053016319561</v>
      </c>
      <c r="AW29" s="21">
        <f>EXP(-LN(2)/2)*AW28+(1-EXP(-LN(2)/2))/(LN(2)/2)*AQ29*AT29*VLOOKUP('Données projet'!$B$10,Paramètres!$A$1:$I$89,3,0)*0.475*44/12</f>
        <v>0.20974603311677781</v>
      </c>
      <c r="AX29" s="21">
        <f t="shared" si="6"/>
        <v>22.20879904943634</v>
      </c>
      <c r="AY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11.8</v>
      </c>
      <c r="BD29" s="12">
        <f>IF('Données projet'!$A$88&gt;35,BD28+BC29-BL28,IF(A29&lt;'Données projet'!$A$88,$BA$205^A29,IF(A29='Données projet'!$A$88,'Données projet'!$B$88,BD28+BC29-BL28)))</f>
        <v>90.799999999999955</v>
      </c>
      <c r="BE29" s="13">
        <f>BD29*VLOOKUP('Données projet'!$B$11,Paramètres!$A$1:$I$89,3,0)*VLOOKUP('Données projet'!$B$11,Paramètres!$A$1:$I$89,5,0)</f>
        <v>51.937599999999975</v>
      </c>
      <c r="BF29" s="13">
        <f t="shared" si="37"/>
        <v>15.113040691038828</v>
      </c>
      <c r="BG29" s="20">
        <f t="shared" si="7"/>
        <v>116.77986587022592</v>
      </c>
      <c r="BH29" s="59">
        <f t="shared" si="8"/>
        <v>410.11319920355925</v>
      </c>
      <c r="BI29" s="59">
        <f ca="1">AVERAGE(OFFSET($BH$3,0,0,'Données projet'!$E$11+1,1))-AVERAGE(OFFSET($H$3,0,0,'Données projet'!$E$11+1,1))</f>
        <v>250.90038883668348</v>
      </c>
      <c r="BJ29" s="59">
        <f t="shared" si="38"/>
        <v>141.96132114475608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15.112298040931419</v>
      </c>
      <c r="BS29" s="22">
        <f t="shared" si="9"/>
        <v>15.112298040931419</v>
      </c>
      <c r="BT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14.2</v>
      </c>
      <c r="BY29" s="12">
        <f>IF('Données projet'!$A$114&gt;35,BY28+BX29-CG28,IF(A29&lt;'Données projet'!$A$114,$BV$205^A29,IF(A29='Données projet'!$A$114,'Données projet'!$B$114,BY28+BX29-CG28)))</f>
        <v>120.19999999999996</v>
      </c>
      <c r="BZ29" s="13">
        <f>BY29*VLOOKUP('Données projet'!$B$12,Paramètres!$A$1:$I$89,3,0)*VLOOKUP('Données projet'!$B$12,Paramètres!$A$1:$I$89,5,0)</f>
        <v>95.631119999999967</v>
      </c>
      <c r="CA29" s="13">
        <f t="shared" si="39"/>
        <v>25.918481589892234</v>
      </c>
      <c r="CB29" s="20">
        <f t="shared" si="10"/>
        <v>211.69888943572892</v>
      </c>
      <c r="CC29" s="59">
        <f t="shared" si="11"/>
        <v>505.03222276906223</v>
      </c>
      <c r="CD29" s="59">
        <f ca="1">AVERAGE(OFFSET($CC$3,0,0,'Données projet'!$E$12+1,1))-AVERAGE(OFFSET($H$3,0,0,'Données projet'!$E$12+1,1))</f>
        <v>279.49721661620544</v>
      </c>
      <c r="CE29" s="59">
        <f t="shared" si="40"/>
        <v>275.18739333988754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28.6</v>
      </c>
      <c r="CT29" s="12">
        <f>IF('Données projet'!$A$140&gt;35,CT28+CS29-DB28,IF(A29&lt;'Données projet'!$A$140,$CQ$205^A29,IF(A29='Données projet'!$A$140,'Données projet'!$B$140,CT28+CS29-DB28)))</f>
        <v>227.60000000000002</v>
      </c>
      <c r="CU29" s="17">
        <f>CT29*VLOOKUP('Données projet'!$B$13,Paramètres!$A$1:$I$89,3,0)*VLOOKUP('Données projet'!$B$13,Paramètres!$A$1:$I$89,5,0)</f>
        <v>112.43440000000002</v>
      </c>
      <c r="CV29" s="13">
        <f t="shared" si="41"/>
        <v>29.90381545328005</v>
      </c>
      <c r="CW29" s="20">
        <f t="shared" si="13"/>
        <v>247.90572524779614</v>
      </c>
      <c r="CX29" s="59">
        <f t="shared" si="14"/>
        <v>541.23905858112948</v>
      </c>
      <c r="CY29" s="59">
        <f ca="1">AVERAGE(OFFSET($CX$3,0,0,'Données projet'!$E$13+1,1))-AVERAGE(OFFSET($H$3,0,0,'Données projet'!$E$13+1,1))</f>
        <v>396.27049617044378</v>
      </c>
      <c r="CZ29" s="59">
        <f t="shared" si="42"/>
        <v>335.2680289568774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24.443392240355063</v>
      </c>
      <c r="DH29" s="21">
        <f>EXP(-LN(2)/2)*DH28+(1-EXP(-LN(2)/2))/(LN(2)/2)*DB29*DE29*VLOOKUP('Données projet'!$B$13,Paramètres!$A$1:$I$89,3,0)*0.475*44/12</f>
        <v>1.5381375761897047</v>
      </c>
      <c r="DI29" s="22">
        <f t="shared" si="15"/>
        <v>25.981529816544768</v>
      </c>
      <c r="DJ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14.6</v>
      </c>
      <c r="DO29" s="12">
        <f>IF('Données projet'!$A$166&gt;35,DO28+DN29-DW28,IF(A29&lt;'Données projet'!$A$166,$DL$205^A29,IF(A29='Données projet'!$A$166,'Données projet'!$B$166,DO28+DN29-DW28)))</f>
        <v>114.6</v>
      </c>
      <c r="DP29" s="17">
        <f>DO29*VLOOKUP('Données projet'!$B$14,Paramètres!$A$1:$I$89,3,0)*VLOOKUP('Données projet'!$B$14,Paramètres!$A$1:$I$89,5,0)</f>
        <v>65.551200000000009</v>
      </c>
      <c r="DQ29" s="13">
        <f t="shared" si="43"/>
        <v>18.564477226389773</v>
      </c>
      <c r="DR29" s="20">
        <f t="shared" si="16"/>
        <v>146.50147116929551</v>
      </c>
      <c r="DS29" s="59">
        <f t="shared" si="17"/>
        <v>439.8348045026288</v>
      </c>
      <c r="DT29" s="59">
        <f ca="1">AVERAGE(OFFSET($DS$3,0,0,'Données projet'!$E$14+1,1))-AVERAGE(OFFSET($H$3,0,0,'Données projet'!$E$14+1,1))</f>
        <v>307.43900954374504</v>
      </c>
      <c r="DU29" s="59">
        <f t="shared" si="44"/>
        <v>185.25270859048999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13.894138747149194</v>
      </c>
      <c r="EC29" s="21">
        <f>EXP(-LN(2)/2)*EC28+(1-EXP(-LN(2)/2))/(LN(2)/2)*DW29*DZ29*VLOOKUP('Données projet'!$B$14,Paramètres!$A$1:$I$89,3,0)*0.475*44/12</f>
        <v>1.4571829669165619</v>
      </c>
      <c r="ED29" s="22">
        <f t="shared" si="18"/>
        <v>15.351321714065756</v>
      </c>
      <c r="EE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16.616666666666664</v>
      </c>
      <c r="EJ29" s="12">
        <f>IF('Données projet'!$A$192&gt;35,EJ28+EI29-ER28,IF(A29&lt;'Données projet'!$A$192,$EG$205^A29,IF(A29='Données projet'!$A$192,'Données projet'!$B$192,EJ28+EI29-ER28)))</f>
        <v>213.53333333333336</v>
      </c>
      <c r="EK29" s="17">
        <f>EJ29*VLOOKUP('Données projet'!$B$15,Paramètres!$A$1:$I$89,3,0)*VLOOKUP('Données projet'!$B$15,Paramètres!$A$1:$I$89,5,0)</f>
        <v>133.24480000000003</v>
      </c>
      <c r="EL29" s="13">
        <f t="shared" si="45"/>
        <v>34.745058146398875</v>
      </c>
      <c r="EM29" s="20">
        <f t="shared" si="19"/>
        <v>292.58233627164475</v>
      </c>
      <c r="EN29" s="59">
        <f t="shared" si="20"/>
        <v>585.91566960497812</v>
      </c>
      <c r="EO29" s="59">
        <f ca="1">AVERAGE(OFFSET($EN$3,0,0,'Données projet'!$E$15+1,1))-AVERAGE(OFFSET($H$3,0,0,'Données projet'!$E$15+1,1))</f>
        <v>269.77739619445515</v>
      </c>
      <c r="EP29" s="59">
        <f t="shared" si="46"/>
        <v>347.56964743629885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67.901265898106246</v>
      </c>
      <c r="EX29" s="21">
        <f>EXP(-LN(2)/2)*EX28+(1-EXP(-LN(2)/2))/(LN(2)/2)*ER29*EU29*VLOOKUP('Données projet'!$B$15,Paramètres!$A$1:$I$89,3,0)*0.475*44/12</f>
        <v>9.9353384107947418E-2</v>
      </c>
      <c r="EY29" s="22">
        <f t="shared" si="21"/>
        <v>68.000619282214188</v>
      </c>
      <c r="EZ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16.399999999999999</v>
      </c>
      <c r="FE29" s="12">
        <f>IF('Données projet'!$A$218&gt;35,FE28+FD29-FM28,IF(A29&lt;'Données projet'!$A$218,$FB$205^A29,IF(A29='Données projet'!$A$218,'Données projet'!$B$218,FE28+FD29-FM28)))</f>
        <v>139.40000000000003</v>
      </c>
      <c r="FF29" s="17">
        <f>FE29*VLOOKUP('Données projet'!$B$16,Paramètres!$A$1:$I$89,3,0)*VLOOKUP('Données projet'!$B$16,Paramètres!$A$1:$I$89,5,0)</f>
        <v>110.90664000000004</v>
      </c>
      <c r="FG29" s="13">
        <f t="shared" si="47"/>
        <v>29.544493872672952</v>
      </c>
      <c r="FH29" s="20">
        <f t="shared" si="22"/>
        <v>244.6190581615721</v>
      </c>
      <c r="FI29" s="59">
        <f t="shared" si="23"/>
        <v>537.95239149490544</v>
      </c>
      <c r="FJ29" s="59">
        <f ca="1">AVERAGE(OFFSET($FI$3,0,0,'Données projet'!$E$16+1,1))-AVERAGE(OFFSET($H$3,0,0,'Données projet'!$E$16+1,1))</f>
        <v>331.52724290297675</v>
      </c>
      <c r="FK29" s="59">
        <f t="shared" si="48"/>
        <v>322.79102610158054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31.8</v>
      </c>
      <c r="FZ29" s="12">
        <f>IF('Données projet'!$A$244&gt;35,FZ28+FY29-GH28,IF(A29&lt;'Données projet'!$A$244,$FW$205^A29,IF(A29='Données projet'!$A$244,'Données projet'!$B$244,FZ28+FY29-GH28)))</f>
        <v>248.8</v>
      </c>
      <c r="GA29" s="17">
        <f>FZ29*VLOOKUP('Données projet'!$B$17,Paramètres!$A$1:$I$89,3,0)*VLOOKUP('Données projet'!$B$17,Paramètres!$A$1:$I$89,5,0)</f>
        <v>122.90720000000002</v>
      </c>
      <c r="GB29" s="13">
        <f t="shared" si="49"/>
        <v>32.352108408527776</v>
      </c>
      <c r="GC29" s="20">
        <f t="shared" si="25"/>
        <v>270.40996214485261</v>
      </c>
      <c r="GD29" s="59">
        <f t="shared" si="26"/>
        <v>563.74329547818593</v>
      </c>
      <c r="GE29" s="59">
        <f ca="1">AVERAGE(OFFSET($GD$3,0,0,'Données projet'!$E$17+1,1))-AVERAGE(OFFSET($H$3,0,0,'Données projet'!$E$17+1,1))</f>
        <v>434.08297999735811</v>
      </c>
      <c r="GF29" s="59">
        <f t="shared" si="50"/>
        <v>371.04090283546122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26.887731464390569</v>
      </c>
      <c r="GN29" s="21">
        <f>EXP(-LN(2)/2)*GN28+(1-EXP(-LN(2)/2))/(LN(2)/2)*GH29*GK29*VLOOKUP('Données projet'!$B$17,Paramètres!$A$1:$I$89,3,0)*0.475*44/12</f>
        <v>3.006359808007149</v>
      </c>
      <c r="GO29" s="21">
        <f t="shared" si="27"/>
        <v>29.894091272397716</v>
      </c>
      <c r="GP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17.600000000000001</v>
      </c>
      <c r="GU29" s="12">
        <f>IF('Données projet'!$A$270&gt;35,GU28+GT29-HC28,IF(A29&lt;'Données projet'!$A$270,$GR$205^A29,IF(A29='Données projet'!$A$270,'Données projet'!$B$270,GU28+GT29-HC28)))</f>
        <v>140.6</v>
      </c>
      <c r="GV29" s="17">
        <f>GU29*VLOOKUP('Données projet'!$B$18,Paramètres!$A$1:$I$89,3,0)*VLOOKUP('Données projet'!$B$18,Paramètres!$A$1:$I$89,5,0)</f>
        <v>80.423199999999994</v>
      </c>
      <c r="GW29" s="13">
        <f t="shared" si="51"/>
        <v>22.240626933738067</v>
      </c>
      <c r="GX29" s="20">
        <f t="shared" si="28"/>
        <v>178.80616524292711</v>
      </c>
      <c r="GY29" s="59">
        <f t="shared" si="29"/>
        <v>472.13949857626039</v>
      </c>
      <c r="GZ29" s="59">
        <f ca="1">AVERAGE(OFFSET($GY$3,0,0,'Données projet'!$E$18+1,1))-AVERAGE(OFFSET($H$3,0,0,'Données projet'!$E$18+1,1))</f>
        <v>362.57172983134313</v>
      </c>
      <c r="HA29" s="59">
        <f t="shared" si="52"/>
        <v>232.03250917542471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16.209828538340727</v>
      </c>
      <c r="HI29" s="21">
        <f>EXP(-LN(2)/2)*HI28+(1-EXP(-LN(2)/2))/(LN(2)/2)*HC29*HF29*VLOOKUP('Données projet'!$B$18,Paramètres!$A$1:$I$89,3,0)*0.475*44/12</f>
        <v>2.9953205431062653</v>
      </c>
      <c r="HJ29" s="22">
        <f t="shared" si="30"/>
        <v>19.20514908144699</v>
      </c>
    </row>
    <row r="30" spans="1:218" x14ac:dyDescent="0.3">
      <c r="A30" s="10">
        <f t="shared" si="31"/>
        <v>27</v>
      </c>
      <c r="B30" s="71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5">
        <f t="shared" si="1"/>
        <v>323.68652481841508</v>
      </c>
      <c r="I30" s="6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11.8</v>
      </c>
      <c r="N30" s="13">
        <f>IF('Données projet'!$A$36&gt;35,N29+M30-V29,IF(A30&lt;'Données projet'!$A$36,$K$205^A30,IF(A30='Données projet'!$A$36,'Données projet'!$B$36,N29+M30-V29)))</f>
        <v>110.59999999999997</v>
      </c>
      <c r="O30" s="13">
        <f>N30*VLOOKUP('Données projet'!$B$9,Paramètres!$A$1:$I$89,3,0)*VLOOKUP('Données projet'!$B$9,Paramètres!$A$1:$I$89,5,0)</f>
        <v>87.993359999999981</v>
      </c>
      <c r="P30" s="13">
        <f t="shared" si="33"/>
        <v>24.080638481970816</v>
      </c>
      <c r="Q30" s="20">
        <f t="shared" si="2"/>
        <v>195.19554735609913</v>
      </c>
      <c r="R30" s="59">
        <f t="shared" si="0"/>
        <v>488.52888068943241</v>
      </c>
      <c r="S30" s="59">
        <f ca="1">AVERAGE(OFFSET($R$3,0,0,'Données projet'!$E$9+1,1))-AVERAGE(OFFSET($H$3,0,0,'Données projet'!$E$9+1,1))</f>
        <v>225.2323446080772</v>
      </c>
      <c r="T30" s="59">
        <f t="shared" si="34"/>
        <v>222.29030402759292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25.4</v>
      </c>
      <c r="AI30" s="13">
        <f>IF('Données projet'!$A$62&gt;35,AI29+AH30-AQ29,IF(A30&lt;'Données projet'!$A$62,$AF$205^A30,IF(A30='Données projet'!$A$62,'Données projet'!$B$62,AI29+AH30-AQ29)))</f>
        <v>232.79999999999998</v>
      </c>
      <c r="AJ30" s="13">
        <f>AI30*VLOOKUP('Données projet'!$B$10,Paramètres!$A$1:$I$89,3,0)*VLOOKUP('Données projet'!$B$10,Paramètres!$A$1:$I$89,5,0)</f>
        <v>115.00320000000001</v>
      </c>
      <c r="AK30" s="13">
        <f t="shared" si="35"/>
        <v>30.506708657497718</v>
      </c>
      <c r="AL30" s="20">
        <f t="shared" si="4"/>
        <v>253.4297575784752</v>
      </c>
      <c r="AM30" s="59">
        <f t="shared" si="5"/>
        <v>546.76309091180849</v>
      </c>
      <c r="AN30" s="59">
        <f ca="1">AVERAGE(OFFSET($AM$3,0,0,'Données projet'!$E$10+1,1))-AVERAGE(OFFSET($H$3,0,0,'Données projet'!$E$10+1,1))</f>
        <v>360.05819346986135</v>
      </c>
      <c r="AO30" s="59">
        <f t="shared" si="36"/>
        <v>300.47468388351081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21.397487754708383</v>
      </c>
      <c r="AW30" s="21">
        <f>EXP(-LN(2)/2)*AW29+(1-EXP(-LN(2)/2))/(LN(2)/2)*AQ30*AT30*VLOOKUP('Données projet'!$B$10,Paramètres!$A$1:$I$89,3,0)*0.475*44/12</f>
        <v>0.14831284234385175</v>
      </c>
      <c r="AX30" s="21">
        <f t="shared" si="6"/>
        <v>21.545800597052235</v>
      </c>
      <c r="AY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11.8</v>
      </c>
      <c r="BD30" s="12">
        <f>IF('Données projet'!$A$88&gt;35,BD29+BC30-BL29,IF(A30&lt;'Données projet'!$A$88,$BA$205^A30,IF(A30='Données projet'!$A$88,'Données projet'!$B$88,BD29+BC30-BL29)))</f>
        <v>102.59999999999995</v>
      </c>
      <c r="BE30" s="13">
        <f>BD30*VLOOKUP('Données projet'!$B$11,Paramètres!$A$1:$I$89,3,0)*VLOOKUP('Données projet'!$B$11,Paramètres!$A$1:$I$89,5,0)</f>
        <v>58.687199999999969</v>
      </c>
      <c r="BF30" s="13">
        <f t="shared" si="37"/>
        <v>16.835925833077539</v>
      </c>
      <c r="BG30" s="20">
        <f t="shared" si="7"/>
        <v>131.53611082594333</v>
      </c>
      <c r="BH30" s="59">
        <f t="shared" si="8"/>
        <v>424.86944415927667</v>
      </c>
      <c r="BI30" s="59">
        <f ca="1">AVERAGE(OFFSET($BH$3,0,0,'Données projet'!$E$11+1,1))-AVERAGE(OFFSET($H$3,0,0,'Données projet'!$E$11+1,1))</f>
        <v>250.90038883668348</v>
      </c>
      <c r="BJ30" s="59">
        <f t="shared" si="38"/>
        <v>141.96132114475608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10.686008424054785</v>
      </c>
      <c r="BS30" s="22">
        <f t="shared" si="9"/>
        <v>10.686008424054785</v>
      </c>
      <c r="BT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14.2</v>
      </c>
      <c r="BY30" s="12">
        <f>IF('Données projet'!$A$114&gt;35,BY29+BX30-CG29,IF(A30&lt;'Données projet'!$A$114,$BV$205^A30,IF(A30='Données projet'!$A$114,'Données projet'!$B$114,BY29+BX30-CG29)))</f>
        <v>134.39999999999995</v>
      </c>
      <c r="BZ30" s="13">
        <f>BY30*VLOOKUP('Données projet'!$B$12,Paramètres!$A$1:$I$89,3,0)*VLOOKUP('Données projet'!$B$12,Paramètres!$A$1:$I$89,5,0)</f>
        <v>106.92863999999996</v>
      </c>
      <c r="CA30" s="13">
        <f t="shared" si="39"/>
        <v>28.606159868782917</v>
      </c>
      <c r="CB30" s="20">
        <f t="shared" si="10"/>
        <v>236.05644310479681</v>
      </c>
      <c r="CC30" s="59">
        <f t="shared" si="11"/>
        <v>529.38977643813018</v>
      </c>
      <c r="CD30" s="59">
        <f ca="1">AVERAGE(OFFSET($CC$3,0,0,'Données projet'!$E$12+1,1))-AVERAGE(OFFSET($H$3,0,0,'Données projet'!$E$12+1,1))</f>
        <v>279.49721661620544</v>
      </c>
      <c r="CE30" s="59">
        <f t="shared" si="40"/>
        <v>275.18739333988754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28.6</v>
      </c>
      <c r="CT30" s="12">
        <f>IF('Données projet'!$A$140&gt;35,CT29+CS30-DB29,IF(A30&lt;'Données projet'!$A$140,$CQ$205^A30,IF(A30='Données projet'!$A$140,'Données projet'!$B$140,CT29+CS30-DB29)))</f>
        <v>256.20000000000005</v>
      </c>
      <c r="CU30" s="17">
        <f>CT30*VLOOKUP('Données projet'!$B$13,Paramètres!$A$1:$I$89,3,0)*VLOOKUP('Données projet'!$B$13,Paramètres!$A$1:$I$89,5,0)</f>
        <v>126.56280000000004</v>
      </c>
      <c r="CV30" s="13">
        <f t="shared" si="41"/>
        <v>33.200888958015447</v>
      </c>
      <c r="CW30" s="20">
        <f t="shared" si="13"/>
        <v>278.25509160187693</v>
      </c>
      <c r="CX30" s="59">
        <f t="shared" si="14"/>
        <v>571.58842493521024</v>
      </c>
      <c r="CY30" s="59">
        <f ca="1">AVERAGE(OFFSET($CX$3,0,0,'Données projet'!$E$13+1,1))-AVERAGE(OFFSET($H$3,0,0,'Données projet'!$E$13+1,1))</f>
        <v>396.27049617044378</v>
      </c>
      <c r="CZ30" s="59">
        <f t="shared" si="42"/>
        <v>335.2680289568774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23.774986394120422</v>
      </c>
      <c r="DH30" s="21">
        <f>EXP(-LN(2)/2)*DH29+(1-EXP(-LN(2)/2))/(LN(2)/2)*DB30*DE30*VLOOKUP('Données projet'!$B$13,Paramètres!$A$1:$I$89,3,0)*0.475*44/12</f>
        <v>1.0876275105215802</v>
      </c>
      <c r="DI30" s="22">
        <f t="shared" si="15"/>
        <v>24.862613904642004</v>
      </c>
      <c r="DJ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14.6</v>
      </c>
      <c r="DO30" s="12">
        <f>IF('Données projet'!$A$166&gt;35,DO29+DN30-DW29,IF(A30&lt;'Données projet'!$A$166,$DL$205^A30,IF(A30='Données projet'!$A$166,'Données projet'!$B$166,DO29+DN30-DW29)))</f>
        <v>129.19999999999999</v>
      </c>
      <c r="DP30" s="17">
        <f>DO30*VLOOKUP('Données projet'!$B$14,Paramètres!$A$1:$I$89,3,0)*VLOOKUP('Données projet'!$B$14,Paramètres!$A$1:$I$89,5,0)</f>
        <v>73.902399999999986</v>
      </c>
      <c r="DQ30" s="13">
        <f t="shared" si="43"/>
        <v>20.639480080340533</v>
      </c>
      <c r="DR30" s="20">
        <f t="shared" si="16"/>
        <v>164.66044113992641</v>
      </c>
      <c r="DS30" s="59">
        <f t="shared" si="17"/>
        <v>457.99377447325969</v>
      </c>
      <c r="DT30" s="59">
        <f ca="1">AVERAGE(OFFSET($DS$3,0,0,'Données projet'!$E$14+1,1))-AVERAGE(OFFSET($H$3,0,0,'Données projet'!$E$14+1,1))</f>
        <v>307.43900954374504</v>
      </c>
      <c r="DU30" s="59">
        <f t="shared" si="44"/>
        <v>185.25270859048999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13.514202792447398</v>
      </c>
      <c r="EC30" s="21">
        <f>EXP(-LN(2)/2)*EC29+(1-EXP(-LN(2)/2))/(LN(2)/2)*DW30*DZ30*VLOOKUP('Données projet'!$B$14,Paramètres!$A$1:$I$89,3,0)*0.475*44/12</f>
        <v>1.0303839573362334</v>
      </c>
      <c r="ED30" s="22">
        <f t="shared" si="18"/>
        <v>14.544586749783631</v>
      </c>
      <c r="EE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16.616666666666664</v>
      </c>
      <c r="EJ30" s="12">
        <f>IF('Données projet'!$A$192&gt;35,EJ29+EI30-ER29,IF(A30&lt;'Données projet'!$A$192,$EG$205^A30,IF(A30='Données projet'!$A$192,'Données projet'!$B$192,EJ29+EI30-ER29)))</f>
        <v>230.15000000000003</v>
      </c>
      <c r="EK30" s="17">
        <f>EJ30*VLOOKUP('Données projet'!$B$15,Paramètres!$A$1:$I$89,3,0)*VLOOKUP('Données projet'!$B$15,Paramètres!$A$1:$I$89,5,0)</f>
        <v>143.61360000000002</v>
      </c>
      <c r="EL30" s="13">
        <f t="shared" si="45"/>
        <v>37.123598716010569</v>
      </c>
      <c r="EM30" s="20">
        <f t="shared" si="19"/>
        <v>314.78395443038511</v>
      </c>
      <c r="EN30" s="59">
        <f t="shared" si="20"/>
        <v>608.11728776371842</v>
      </c>
      <c r="EO30" s="59">
        <f ca="1">AVERAGE(OFFSET($EN$3,0,0,'Données projet'!$E$15+1,1))-AVERAGE(OFFSET($H$3,0,0,'Données projet'!$E$15+1,1))</f>
        <v>269.77739619445515</v>
      </c>
      <c r="EP30" s="59">
        <f t="shared" si="46"/>
        <v>347.56964743629885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66.044502211350149</v>
      </c>
      <c r="EX30" s="21">
        <f>EXP(-LN(2)/2)*EX29+(1-EXP(-LN(2)/2))/(LN(2)/2)*ER30*EU30*VLOOKUP('Données projet'!$B$15,Paramètres!$A$1:$I$89,3,0)*0.475*44/12</f>
        <v>7.0253451636561381E-2</v>
      </c>
      <c r="EY30" s="22">
        <f t="shared" si="21"/>
        <v>66.11475566298671</v>
      </c>
      <c r="EZ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16.399999999999999</v>
      </c>
      <c r="FE30" s="12">
        <f>IF('Données projet'!$A$218&gt;35,FE29+FD30-FM29,IF(A30&lt;'Données projet'!$A$218,$FB$205^A30,IF(A30='Données projet'!$A$218,'Données projet'!$B$218,FE29+FD30-FM29)))</f>
        <v>155.80000000000004</v>
      </c>
      <c r="FF30" s="17">
        <f>FE30*VLOOKUP('Données projet'!$B$16,Paramètres!$A$1:$I$89,3,0)*VLOOKUP('Données projet'!$B$16,Paramètres!$A$1:$I$89,5,0)</f>
        <v>123.95448000000005</v>
      </c>
      <c r="FG30" s="13">
        <f t="shared" si="47"/>
        <v>32.595569202682604</v>
      </c>
      <c r="FH30" s="20">
        <f t="shared" si="22"/>
        <v>272.65800236133896</v>
      </c>
      <c r="FI30" s="59">
        <f t="shared" si="23"/>
        <v>565.99133569467222</v>
      </c>
      <c r="FJ30" s="59">
        <f ca="1">AVERAGE(OFFSET($FI$3,0,0,'Données projet'!$E$16+1,1))-AVERAGE(OFFSET($H$3,0,0,'Données projet'!$E$16+1,1))</f>
        <v>331.52724290297675</v>
      </c>
      <c r="FK30" s="59">
        <f t="shared" si="48"/>
        <v>322.79102610158054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31.8</v>
      </c>
      <c r="FZ30" s="12">
        <f>IF('Données projet'!$A$244&gt;35,FZ29+FY30-GH29,IF(A30&lt;'Données projet'!$A$244,$FW$205^A30,IF(A30='Données projet'!$A$244,'Données projet'!$B$244,FZ29+FY30-GH29)))</f>
        <v>280.60000000000002</v>
      </c>
      <c r="GA30" s="17">
        <f>FZ30*VLOOKUP('Données projet'!$B$17,Paramètres!$A$1:$I$89,3,0)*VLOOKUP('Données projet'!$B$17,Paramètres!$A$1:$I$89,5,0)</f>
        <v>138.61640000000003</v>
      </c>
      <c r="GB30" s="13">
        <f t="shared" si="49"/>
        <v>35.97985917844175</v>
      </c>
      <c r="GC30" s="20">
        <f t="shared" si="25"/>
        <v>304.08848473578604</v>
      </c>
      <c r="GD30" s="59">
        <f t="shared" si="26"/>
        <v>597.42181806911935</v>
      </c>
      <c r="GE30" s="59">
        <f ca="1">AVERAGE(OFFSET($GD$3,0,0,'Données projet'!$E$17+1,1))-AVERAGE(OFFSET($H$3,0,0,'Données projet'!$E$17+1,1))</f>
        <v>434.08297999735811</v>
      </c>
      <c r="GF30" s="59">
        <f t="shared" si="50"/>
        <v>371.04090283546122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26.152485033532464</v>
      </c>
      <c r="GN30" s="21">
        <f>EXP(-LN(2)/2)*GN29+(1-EXP(-LN(2)/2))/(LN(2)/2)*GH30*GK30*VLOOKUP('Données projet'!$B$17,Paramètres!$A$1:$I$89,3,0)*0.475*44/12</f>
        <v>2.125817406928542</v>
      </c>
      <c r="GO30" s="21">
        <f t="shared" si="27"/>
        <v>28.278302440461005</v>
      </c>
      <c r="GP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17.600000000000001</v>
      </c>
      <c r="GU30" s="12">
        <f>IF('Données projet'!$A$270&gt;35,GU29+GT30-HC29,IF(A30&lt;'Données projet'!$A$270,$GR$205^A30,IF(A30='Données projet'!$A$270,'Données projet'!$B$270,GU29+GT30-HC29)))</f>
        <v>158.19999999999999</v>
      </c>
      <c r="GV30" s="17">
        <f>GU30*VLOOKUP('Données projet'!$B$18,Paramètres!$A$1:$I$89,3,0)*VLOOKUP('Données projet'!$B$18,Paramètres!$A$1:$I$89,5,0)</f>
        <v>90.490399999999994</v>
      </c>
      <c r="GW30" s="13">
        <f t="shared" si="51"/>
        <v>24.683460233677778</v>
      </c>
      <c r="GX30" s="20">
        <f t="shared" si="28"/>
        <v>200.59447324032212</v>
      </c>
      <c r="GY30" s="59">
        <f t="shared" si="29"/>
        <v>493.9278065736554</v>
      </c>
      <c r="GZ30" s="59">
        <f ca="1">AVERAGE(OFFSET($GY$3,0,0,'Données projet'!$E$18+1,1))-AVERAGE(OFFSET($H$3,0,0,'Données projet'!$E$18+1,1))</f>
        <v>362.57172983134313</v>
      </c>
      <c r="HA30" s="59">
        <f t="shared" si="52"/>
        <v>232.03250917542471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15.766569924521965</v>
      </c>
      <c r="HI30" s="21">
        <f>EXP(-LN(2)/2)*HI29+(1-EXP(-LN(2)/2))/(LN(2)/2)*HC30*HF30*VLOOKUP('Données projet'!$B$18,Paramètres!$A$1:$I$89,3,0)*0.475*44/12</f>
        <v>2.1180114678578126</v>
      </c>
      <c r="HJ30" s="22">
        <f t="shared" si="30"/>
        <v>17.884581392379779</v>
      </c>
    </row>
    <row r="31" spans="1:218" x14ac:dyDescent="0.3">
      <c r="A31" s="10">
        <f t="shared" si="31"/>
        <v>28</v>
      </c>
      <c r="B31" s="71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5">
        <f t="shared" si="1"/>
        <v>324.77683603237602</v>
      </c>
      <c r="I31" s="6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11.8</v>
      </c>
      <c r="N31" s="13">
        <f>IF('Données projet'!$A$36&gt;35,N30+M31-V30,IF(A31&lt;'Données projet'!$A$36,$K$205^A31,IF(A31='Données projet'!$A$36,'Données projet'!$B$36,N30+M31-V30)))</f>
        <v>122.39999999999996</v>
      </c>
      <c r="O31" s="13">
        <f>N31*VLOOKUP('Données projet'!$B$9,Paramètres!$A$1:$I$89,3,0)*VLOOKUP('Données projet'!$B$9,Paramètres!$A$1:$I$89,5,0)</f>
        <v>97.381439999999984</v>
      </c>
      <c r="P31" s="13">
        <f t="shared" si="33"/>
        <v>26.337201615555198</v>
      </c>
      <c r="Q31" s="20">
        <f t="shared" si="2"/>
        <v>215.47663414709197</v>
      </c>
      <c r="R31" s="59">
        <f t="shared" si="0"/>
        <v>508.80996748042526</v>
      </c>
      <c r="S31" s="59">
        <f ca="1">AVERAGE(OFFSET($R$3,0,0,'Données projet'!$E$9+1,1))-AVERAGE(OFFSET($H$3,0,0,'Données projet'!$E$9+1,1))</f>
        <v>225.2323446080772</v>
      </c>
      <c r="T31" s="59">
        <f t="shared" si="34"/>
        <v>222.29030402759292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25.4</v>
      </c>
      <c r="AI31" s="13">
        <f>IF('Données projet'!$A$62&gt;35,AI30+AH31-AQ30,IF(A31&lt;'Données projet'!$A$62,$AF$205^A31,IF(A31='Données projet'!$A$62,'Données projet'!$B$62,AI30+AH31-AQ30)))</f>
        <v>258.2</v>
      </c>
      <c r="AJ31" s="13">
        <f>AI31*VLOOKUP('Données projet'!$B$10,Paramètres!$A$1:$I$89,3,0)*VLOOKUP('Données projet'!$B$10,Paramètres!$A$1:$I$89,5,0)</f>
        <v>127.55080000000001</v>
      </c>
      <c r="AK31" s="13">
        <f t="shared" si="35"/>
        <v>33.429796183659533</v>
      </c>
      <c r="AL31" s="20">
        <f t="shared" si="4"/>
        <v>280.37453835320702</v>
      </c>
      <c r="AM31" s="59">
        <f t="shared" si="5"/>
        <v>573.70787168654033</v>
      </c>
      <c r="AN31" s="59">
        <f ca="1">AVERAGE(OFFSET($AM$3,0,0,'Données projet'!$E$10+1,1))-AVERAGE(OFFSET($H$3,0,0,'Données projet'!$E$10+1,1))</f>
        <v>360.05819346986135</v>
      </c>
      <c r="AO31" s="59">
        <f t="shared" si="36"/>
        <v>300.47468388351081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20.812372326810905</v>
      </c>
      <c r="AW31" s="21">
        <f>EXP(-LN(2)/2)*AW30+(1-EXP(-LN(2)/2))/(LN(2)/2)*AQ31*AT31*VLOOKUP('Données projet'!$B$10,Paramètres!$A$1:$I$89,3,0)*0.475*44/12</f>
        <v>0.1048730165583889</v>
      </c>
      <c r="AX31" s="21">
        <f t="shared" si="6"/>
        <v>20.917245343369295</v>
      </c>
      <c r="AY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11.8</v>
      </c>
      <c r="BD31" s="12">
        <f>IF('Données projet'!$A$88&gt;35,BD30+BC31-BL30,IF(A31&lt;'Données projet'!$A$88,$BA$205^A31,IF(A31='Données projet'!$A$88,'Données projet'!$B$88,BD30+BC31-BL30)))</f>
        <v>114.39999999999995</v>
      </c>
      <c r="BE31" s="13">
        <f>BD31*VLOOKUP('Données projet'!$B$11,Paramètres!$A$1:$I$89,3,0)*VLOOKUP('Données projet'!$B$11,Paramètres!$A$1:$I$89,5,0)</f>
        <v>65.436799999999977</v>
      </c>
      <c r="BF31" s="13">
        <f t="shared" si="37"/>
        <v>18.535846791342159</v>
      </c>
      <c r="BG31" s="20">
        <f t="shared" si="7"/>
        <v>146.25235982825419</v>
      </c>
      <c r="BH31" s="59">
        <f t="shared" si="8"/>
        <v>439.58569316158753</v>
      </c>
      <c r="BI31" s="59">
        <f ca="1">AVERAGE(OFFSET($BH$3,0,0,'Données projet'!$E$11+1,1))-AVERAGE(OFFSET($H$3,0,0,'Données projet'!$E$11+1,1))</f>
        <v>250.90038883668348</v>
      </c>
      <c r="BJ31" s="59">
        <f t="shared" si="38"/>
        <v>141.96132114475608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7.5561490204657114</v>
      </c>
      <c r="BS31" s="22">
        <f t="shared" si="9"/>
        <v>7.5561490204657114</v>
      </c>
      <c r="BT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14.2</v>
      </c>
      <c r="BY31" s="12">
        <f>IF('Données projet'!$A$114&gt;35,BY30+BX31-CG30,IF(A31&lt;'Données projet'!$A$114,$BV$205^A31,IF(A31='Données projet'!$A$114,'Données projet'!$B$114,BY30+BX31-CG30)))</f>
        <v>148.59999999999994</v>
      </c>
      <c r="BZ31" s="13">
        <f>BY31*VLOOKUP('Données projet'!$B$12,Paramètres!$A$1:$I$89,3,0)*VLOOKUP('Données projet'!$B$12,Paramètres!$A$1:$I$89,5,0)</f>
        <v>118.22615999999996</v>
      </c>
      <c r="CA31" s="13">
        <f t="shared" si="39"/>
        <v>31.260922342884676</v>
      </c>
      <c r="CB31" s="20">
        <f t="shared" si="10"/>
        <v>260.35666841385739</v>
      </c>
      <c r="CC31" s="59">
        <f t="shared" si="11"/>
        <v>553.69000174719076</v>
      </c>
      <c r="CD31" s="59">
        <f ca="1">AVERAGE(OFFSET($CC$3,0,0,'Données projet'!$E$12+1,1))-AVERAGE(OFFSET($H$3,0,0,'Données projet'!$E$12+1,1))</f>
        <v>279.49721661620544</v>
      </c>
      <c r="CE31" s="59">
        <f t="shared" si="40"/>
        <v>275.18739333988754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28.6</v>
      </c>
      <c r="CT31" s="12">
        <f>IF('Données projet'!$A$140&gt;35,CT30+CS31-DB30,IF(A31&lt;'Données projet'!$A$140,$CQ$205^A31,IF(A31='Données projet'!$A$140,'Données projet'!$B$140,CT30+CS31-DB30)))</f>
        <v>284.80000000000007</v>
      </c>
      <c r="CU31" s="17">
        <f>CT31*VLOOKUP('Données projet'!$B$13,Paramètres!$A$1:$I$89,3,0)*VLOOKUP('Données projet'!$B$13,Paramètres!$A$1:$I$89,5,0)</f>
        <v>140.69120000000004</v>
      </c>
      <c r="CV31" s="13">
        <f t="shared" si="41"/>
        <v>36.455304293337086</v>
      </c>
      <c r="CW31" s="20">
        <f t="shared" si="13"/>
        <v>308.53016164422883</v>
      </c>
      <c r="CX31" s="59">
        <f t="shared" si="14"/>
        <v>601.86349497756214</v>
      </c>
      <c r="CY31" s="59">
        <f ca="1">AVERAGE(OFFSET($CX$3,0,0,'Données projet'!$E$13+1,1))-AVERAGE(OFFSET($H$3,0,0,'Données projet'!$E$13+1,1))</f>
        <v>396.27049617044378</v>
      </c>
      <c r="CZ31" s="59">
        <f t="shared" si="42"/>
        <v>335.2680289568774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23.124858140901004</v>
      </c>
      <c r="DH31" s="21">
        <f>EXP(-LN(2)/2)*DH30+(1-EXP(-LN(2)/2))/(LN(2)/2)*DB31*DE31*VLOOKUP('Données projet'!$B$13,Paramètres!$A$1:$I$89,3,0)*0.475*44/12</f>
        <v>0.76906878809485246</v>
      </c>
      <c r="DI31" s="22">
        <f t="shared" si="15"/>
        <v>23.893926928995857</v>
      </c>
      <c r="DJ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14.6</v>
      </c>
      <c r="DO31" s="12">
        <f>IF('Données projet'!$A$166&gt;35,DO30+DN31-DW30,IF(A31&lt;'Données projet'!$A$166,$DL$205^A31,IF(A31='Données projet'!$A$166,'Données projet'!$B$166,DO30+DN31-DW30)))</f>
        <v>143.79999999999998</v>
      </c>
      <c r="DP31" s="17">
        <f>DO31*VLOOKUP('Données projet'!$B$14,Paramètres!$A$1:$I$89,3,0)*VLOOKUP('Données projet'!$B$14,Paramètres!$A$1:$I$89,5,0)</f>
        <v>82.253599999999992</v>
      </c>
      <c r="DQ31" s="13">
        <f t="shared" si="43"/>
        <v>22.687306987029338</v>
      </c>
      <c r="DR31" s="20">
        <f t="shared" si="16"/>
        <v>182.77207966907611</v>
      </c>
      <c r="DS31" s="59">
        <f t="shared" si="17"/>
        <v>476.10541300240942</v>
      </c>
      <c r="DT31" s="59">
        <f ca="1">AVERAGE(OFFSET($DS$3,0,0,'Données projet'!$E$14+1,1))-AVERAGE(OFFSET($H$3,0,0,'Données projet'!$E$14+1,1))</f>
        <v>307.43900954374504</v>
      </c>
      <c r="DU31" s="59">
        <f t="shared" si="44"/>
        <v>185.25270859048999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13.144656206406886</v>
      </c>
      <c r="EC31" s="21">
        <f>EXP(-LN(2)/2)*EC30+(1-EXP(-LN(2)/2))/(LN(2)/2)*DW31*DZ31*VLOOKUP('Données projet'!$B$14,Paramètres!$A$1:$I$89,3,0)*0.475*44/12</f>
        <v>0.72859148345828095</v>
      </c>
      <c r="ED31" s="22">
        <f t="shared" si="18"/>
        <v>13.873247689865167</v>
      </c>
      <c r="EE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16.616666666666664</v>
      </c>
      <c r="EJ31" s="12">
        <f>IF('Données projet'!$A$192&gt;35,EJ30+EI31-ER30,IF(A31&lt;'Données projet'!$A$192,$EG$205^A31,IF(A31='Données projet'!$A$192,'Données projet'!$B$192,EJ30+EI31-ER30)))</f>
        <v>246.76666666666671</v>
      </c>
      <c r="EK31" s="17">
        <f>EJ31*VLOOKUP('Données projet'!$B$15,Paramètres!$A$1:$I$89,3,0)*VLOOKUP('Données projet'!$B$15,Paramètres!$A$1:$I$89,5,0)</f>
        <v>153.98240000000004</v>
      </c>
      <c r="EL31" s="13">
        <f t="shared" si="45"/>
        <v>39.482215533662355</v>
      </c>
      <c r="EM31" s="20">
        <f t="shared" si="19"/>
        <v>336.95087205446197</v>
      </c>
      <c r="EN31" s="59">
        <f t="shared" si="20"/>
        <v>630.28420538779528</v>
      </c>
      <c r="EO31" s="59">
        <f ca="1">AVERAGE(OFFSET($EN$3,0,0,'Données projet'!$E$15+1,1))-AVERAGE(OFFSET($H$3,0,0,'Données projet'!$E$15+1,1))</f>
        <v>269.77739619445515</v>
      </c>
      <c r="EP31" s="59">
        <f t="shared" si="46"/>
        <v>347.56964743629885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64.238511825251351</v>
      </c>
      <c r="EX31" s="21">
        <f>EXP(-LN(2)/2)*EX30+(1-EXP(-LN(2)/2))/(LN(2)/2)*ER31*EU31*VLOOKUP('Données projet'!$B$15,Paramètres!$A$1:$I$89,3,0)*0.475*44/12</f>
        <v>4.9676692053973709E-2</v>
      </c>
      <c r="EY31" s="22">
        <f t="shared" si="21"/>
        <v>64.288188517305329</v>
      </c>
      <c r="EZ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16.399999999999999</v>
      </c>
      <c r="FE31" s="12">
        <f>IF('Données projet'!$A$218&gt;35,FE30+FD31-FM30,IF(A31&lt;'Données projet'!$A$218,$FB$205^A31,IF(A31='Données projet'!$A$218,'Données projet'!$B$218,FE30+FD31-FM30)))</f>
        <v>172.20000000000005</v>
      </c>
      <c r="FF31" s="17">
        <f>FE31*VLOOKUP('Données projet'!$B$16,Paramètres!$A$1:$I$89,3,0)*VLOOKUP('Données projet'!$B$16,Paramètres!$A$1:$I$89,5,0)</f>
        <v>137.00232000000005</v>
      </c>
      <c r="FG31" s="13">
        <f t="shared" si="47"/>
        <v>35.609416420931346</v>
      </c>
      <c r="FH31" s="20">
        <f t="shared" si="22"/>
        <v>300.63210759978887</v>
      </c>
      <c r="FI31" s="59">
        <f t="shared" si="23"/>
        <v>593.96544093312218</v>
      </c>
      <c r="FJ31" s="59">
        <f ca="1">AVERAGE(OFFSET($FI$3,0,0,'Données projet'!$E$16+1,1))-AVERAGE(OFFSET($H$3,0,0,'Données projet'!$E$16+1,1))</f>
        <v>331.52724290297675</v>
      </c>
      <c r="FK31" s="59">
        <f t="shared" si="48"/>
        <v>322.79102610158054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31.8</v>
      </c>
      <c r="FZ31" s="12">
        <f>IF('Données projet'!$A$244&gt;35,FZ30+FY31-GH30,IF(A31&lt;'Données projet'!$A$244,$FW$205^A31,IF(A31='Données projet'!$A$244,'Données projet'!$B$244,FZ30+FY31-GH30)))</f>
        <v>312.40000000000003</v>
      </c>
      <c r="GA31" s="17">
        <f>FZ31*VLOOKUP('Données projet'!$B$17,Paramètres!$A$1:$I$89,3,0)*VLOOKUP('Données projet'!$B$17,Paramètres!$A$1:$I$89,5,0)</f>
        <v>154.32560000000004</v>
      </c>
      <c r="GB31" s="13">
        <f t="shared" si="49"/>
        <v>39.559961367244483</v>
      </c>
      <c r="GC31" s="20">
        <f t="shared" si="25"/>
        <v>337.6840193812842</v>
      </c>
      <c r="GD31" s="59">
        <f t="shared" si="26"/>
        <v>631.01735271461757</v>
      </c>
      <c r="GE31" s="59">
        <f ca="1">AVERAGE(OFFSET($GD$3,0,0,'Données projet'!$E$17+1,1))-AVERAGE(OFFSET($H$3,0,0,'Données projet'!$E$17+1,1))</f>
        <v>434.08297999735811</v>
      </c>
      <c r="GF31" s="59">
        <f t="shared" si="50"/>
        <v>371.04090283546122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25.437343954991103</v>
      </c>
      <c r="GN31" s="21">
        <f>EXP(-LN(2)/2)*GN30+(1-EXP(-LN(2)/2))/(LN(2)/2)*GH31*GK31*VLOOKUP('Données projet'!$B$17,Paramètres!$A$1:$I$89,3,0)*0.475*44/12</f>
        <v>1.5031799040035745</v>
      </c>
      <c r="GO31" s="21">
        <f t="shared" si="27"/>
        <v>26.940523858994677</v>
      </c>
      <c r="GP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17.600000000000001</v>
      </c>
      <c r="GU31" s="12">
        <f>IF('Données projet'!$A$270&gt;35,GU30+GT31-HC30,IF(A31&lt;'Données projet'!$A$270,$GR$205^A31,IF(A31='Données projet'!$A$270,'Données projet'!$B$270,GU30+GT31-HC30)))</f>
        <v>175.79999999999998</v>
      </c>
      <c r="GV31" s="17">
        <f>GU31*VLOOKUP('Données projet'!$B$18,Paramètres!$A$1:$I$89,3,0)*VLOOKUP('Données projet'!$B$18,Paramètres!$A$1:$I$89,5,0)</f>
        <v>100.55759999999999</v>
      </c>
      <c r="GW31" s="13">
        <f t="shared" si="51"/>
        <v>27.094795038597891</v>
      </c>
      <c r="GX31" s="20">
        <f t="shared" si="28"/>
        <v>222.32792135889133</v>
      </c>
      <c r="GY31" s="59">
        <f t="shared" si="29"/>
        <v>515.6612546922247</v>
      </c>
      <c r="GZ31" s="59">
        <f ca="1">AVERAGE(OFFSET($GY$3,0,0,'Données projet'!$E$18+1,1))-AVERAGE(OFFSET($H$3,0,0,'Données projet'!$E$18+1,1))</f>
        <v>362.57172983134313</v>
      </c>
      <c r="HA31" s="59">
        <f t="shared" si="52"/>
        <v>232.03250917542471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15.335432240808034</v>
      </c>
      <c r="HI31" s="21">
        <f>EXP(-LN(2)/2)*HI30+(1-EXP(-LN(2)/2))/(LN(2)/2)*HC31*HF31*VLOOKUP('Données projet'!$B$18,Paramètres!$A$1:$I$89,3,0)*0.475*44/12</f>
        <v>1.4976602715531326</v>
      </c>
      <c r="HJ31" s="22">
        <f t="shared" si="30"/>
        <v>16.833092512361166</v>
      </c>
    </row>
    <row r="32" spans="1:218" x14ac:dyDescent="0.3">
      <c r="A32" s="10">
        <f t="shared" si="31"/>
        <v>29</v>
      </c>
      <c r="B32" s="71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5">
        <f t="shared" si="1"/>
        <v>325.86609922271543</v>
      </c>
      <c r="I32" s="6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11.8</v>
      </c>
      <c r="N32" s="13">
        <f>IF('Données projet'!$A$36&gt;35,N31+M32-V31,IF(A32&lt;'Données projet'!$A$36,$K$205^A32,IF(A32='Données projet'!$A$36,'Données projet'!$B$36,N31+M32-V31)))</f>
        <v>134.19999999999996</v>
      </c>
      <c r="O32" s="13">
        <f>N32*VLOOKUP('Données projet'!$B$9,Paramètres!$A$1:$I$89,3,0)*VLOOKUP('Données projet'!$B$9,Paramètres!$A$1:$I$89,5,0)</f>
        <v>106.76951999999997</v>
      </c>
      <c r="P32" s="13">
        <f t="shared" si="33"/>
        <v>28.568542914630683</v>
      </c>
      <c r="Q32" s="20">
        <f t="shared" si="2"/>
        <v>235.71379290964839</v>
      </c>
      <c r="R32" s="59">
        <f t="shared" si="0"/>
        <v>529.04712624298168</v>
      </c>
      <c r="S32" s="59">
        <f ca="1">AVERAGE(OFFSET($R$3,0,0,'Données projet'!$E$9+1,1))-AVERAGE(OFFSET($H$3,0,0,'Données projet'!$E$9+1,1))</f>
        <v>225.2323446080772</v>
      </c>
      <c r="T32" s="59">
        <f t="shared" si="34"/>
        <v>222.29030402759292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25.4</v>
      </c>
      <c r="AI32" s="13">
        <f>IF('Données projet'!$A$62&gt;35,AI31+AH32-AQ31,IF(A32&lt;'Données projet'!$A$62,$AF$205^A32,IF(A32='Données projet'!$A$62,'Données projet'!$B$62,AI31+AH32-AQ31)))</f>
        <v>283.59999999999997</v>
      </c>
      <c r="AJ32" s="13">
        <f>AI32*VLOOKUP('Données projet'!$B$10,Paramètres!$A$1:$I$89,3,0)*VLOOKUP('Données projet'!$B$10,Paramètres!$A$1:$I$89,5,0)</f>
        <v>140.0984</v>
      </c>
      <c r="AK32" s="13">
        <f t="shared" si="35"/>
        <v>36.319546631359003</v>
      </c>
      <c r="AL32" s="20">
        <f t="shared" si="4"/>
        <v>307.26125704961692</v>
      </c>
      <c r="AM32" s="59">
        <f t="shared" si="5"/>
        <v>600.59459038295017</v>
      </c>
      <c r="AN32" s="59">
        <f ca="1">AVERAGE(OFFSET($AM$3,0,0,'Données projet'!$E$10+1,1))-AVERAGE(OFFSET($H$3,0,0,'Données projet'!$E$10+1,1))</f>
        <v>360.05819346986135</v>
      </c>
      <c r="AO32" s="59">
        <f t="shared" si="36"/>
        <v>300.47468388351081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20.243256911059166</v>
      </c>
      <c r="AW32" s="21">
        <f>EXP(-LN(2)/2)*AW31+(1-EXP(-LN(2)/2))/(LN(2)/2)*AQ32*AT32*VLOOKUP('Données projet'!$B$10,Paramètres!$A$1:$I$89,3,0)*0.475*44/12</f>
        <v>7.4156421171925876E-2</v>
      </c>
      <c r="AX32" s="21">
        <f t="shared" si="6"/>
        <v>20.317413332231091</v>
      </c>
      <c r="AY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11.8</v>
      </c>
      <c r="BD32" s="12">
        <f>IF('Données projet'!$A$88&gt;35,BD31+BC32-BL31,IF(A32&lt;'Données projet'!$A$88,$BA$205^A32,IF(A32='Données projet'!$A$88,'Données projet'!$B$88,BD31+BC32-BL31)))</f>
        <v>126.19999999999995</v>
      </c>
      <c r="BE32" s="13">
        <f>BD32*VLOOKUP('Données projet'!$B$11,Paramètres!$A$1:$I$89,3,0)*VLOOKUP('Données projet'!$B$11,Paramètres!$A$1:$I$89,5,0)</f>
        <v>72.186399999999978</v>
      </c>
      <c r="BF32" s="13">
        <f t="shared" si="37"/>
        <v>20.21544202393002</v>
      </c>
      <c r="BG32" s="20">
        <f t="shared" si="7"/>
        <v>160.93320819167806</v>
      </c>
      <c r="BH32" s="59">
        <f t="shared" si="8"/>
        <v>454.26654152501135</v>
      </c>
      <c r="BI32" s="59">
        <f ca="1">AVERAGE(OFFSET($BH$3,0,0,'Données projet'!$E$11+1,1))-AVERAGE(OFFSET($H$3,0,0,'Données projet'!$E$11+1,1))</f>
        <v>250.90038883668348</v>
      </c>
      <c r="BJ32" s="59">
        <f t="shared" si="38"/>
        <v>141.96132114475608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5.3430042120273935</v>
      </c>
      <c r="BS32" s="22">
        <f t="shared" si="9"/>
        <v>5.3430042120273935</v>
      </c>
      <c r="BT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14.2</v>
      </c>
      <c r="BY32" s="12">
        <f>IF('Données projet'!$A$114&gt;35,BY31+BX32-CG31,IF(A32&lt;'Données projet'!$A$114,$BV$205^A32,IF(A32='Données projet'!$A$114,'Données projet'!$B$114,BY31+BX32-CG31)))</f>
        <v>162.79999999999993</v>
      </c>
      <c r="BZ32" s="13">
        <f>BY32*VLOOKUP('Données projet'!$B$12,Paramètres!$A$1:$I$89,3,0)*VLOOKUP('Données projet'!$B$12,Paramètres!$A$1:$I$89,5,0)</f>
        <v>129.52367999999996</v>
      </c>
      <c r="CA32" s="13">
        <f t="shared" si="39"/>
        <v>33.886272262901727</v>
      </c>
      <c r="CB32" s="20">
        <f t="shared" si="10"/>
        <v>284.60566685788712</v>
      </c>
      <c r="CC32" s="59">
        <f t="shared" si="11"/>
        <v>577.93900019122043</v>
      </c>
      <c r="CD32" s="59">
        <f ca="1">AVERAGE(OFFSET($CC$3,0,0,'Données projet'!$E$12+1,1))-AVERAGE(OFFSET($H$3,0,0,'Données projet'!$E$12+1,1))</f>
        <v>279.49721661620544</v>
      </c>
      <c r="CE32" s="59">
        <f t="shared" si="40"/>
        <v>275.18739333988754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28.6</v>
      </c>
      <c r="CT32" s="12">
        <f>IF('Données projet'!$A$140&gt;35,CT31+CS32-DB31,IF(A32&lt;'Données projet'!$A$140,$CQ$205^A32,IF(A32='Données projet'!$A$140,'Données projet'!$B$140,CT31+CS32-DB31)))</f>
        <v>313.40000000000009</v>
      </c>
      <c r="CU32" s="17">
        <f>CT32*VLOOKUP('Données projet'!$B$13,Paramètres!$A$1:$I$89,3,0)*VLOOKUP('Données projet'!$B$13,Paramètres!$A$1:$I$89,5,0)</f>
        <v>154.81960000000007</v>
      </c>
      <c r="CV32" s="13">
        <f t="shared" si="41"/>
        <v>39.671832934054173</v>
      </c>
      <c r="CW32" s="20">
        <f t="shared" si="13"/>
        <v>338.73924569347781</v>
      </c>
      <c r="CX32" s="59">
        <f t="shared" si="14"/>
        <v>632.07257902681113</v>
      </c>
      <c r="CY32" s="59">
        <f ca="1">AVERAGE(OFFSET($CX$3,0,0,'Données projet'!$E$13+1,1))-AVERAGE(OFFSET($H$3,0,0,'Données projet'!$E$13+1,1))</f>
        <v>396.27049617044378</v>
      </c>
      <c r="CZ32" s="59">
        <f t="shared" si="42"/>
        <v>335.2680289568774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22.492507678954631</v>
      </c>
      <c r="DH32" s="21">
        <f>EXP(-LN(2)/2)*DH31+(1-EXP(-LN(2)/2))/(LN(2)/2)*DB32*DE32*VLOOKUP('Données projet'!$B$13,Paramètres!$A$1:$I$89,3,0)*0.475*44/12</f>
        <v>0.54381375526079012</v>
      </c>
      <c r="DI32" s="22">
        <f t="shared" si="15"/>
        <v>23.03632143421542</v>
      </c>
      <c r="DJ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14.6</v>
      </c>
      <c r="DO32" s="12">
        <f>IF('Données projet'!$A$166&gt;35,DO31+DN32-DW31,IF(A32&lt;'Données projet'!$A$166,$DL$205^A32,IF(A32='Données projet'!$A$166,'Données projet'!$B$166,DO31+DN32-DW31)))</f>
        <v>158.39999999999998</v>
      </c>
      <c r="DP32" s="17">
        <f>DO32*VLOOKUP('Données projet'!$B$14,Paramètres!$A$1:$I$89,3,0)*VLOOKUP('Données projet'!$B$14,Paramètres!$A$1:$I$89,5,0)</f>
        <v>90.604799999999983</v>
      </c>
      <c r="DQ32" s="13">
        <f t="shared" si="43"/>
        <v>24.711031284832952</v>
      </c>
      <c r="DR32" s="20">
        <f t="shared" si="16"/>
        <v>200.84173948775069</v>
      </c>
      <c r="DS32" s="59">
        <f t="shared" si="17"/>
        <v>494.17507282108397</v>
      </c>
      <c r="DT32" s="59">
        <f ca="1">AVERAGE(OFFSET($DS$3,0,0,'Données projet'!$E$14+1,1))-AVERAGE(OFFSET($H$3,0,0,'Données projet'!$E$14+1,1))</f>
        <v>307.43900954374504</v>
      </c>
      <c r="DU32" s="59">
        <f t="shared" si="44"/>
        <v>185.25270859048999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12.785214891195261</v>
      </c>
      <c r="EC32" s="21">
        <f>EXP(-LN(2)/2)*EC31+(1-EXP(-LN(2)/2))/(LN(2)/2)*DW32*DZ32*VLOOKUP('Données projet'!$B$14,Paramètres!$A$1:$I$89,3,0)*0.475*44/12</f>
        <v>0.51519197866811672</v>
      </c>
      <c r="ED32" s="22">
        <f t="shared" si="18"/>
        <v>13.300406869863378</v>
      </c>
      <c r="EE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16.616666666666664</v>
      </c>
      <c r="EJ32" s="12">
        <f>IF('Données projet'!$A$192&gt;35,EJ31+EI32-ER31,IF(A32&lt;'Données projet'!$A$192,$EG$205^A32,IF(A32='Données projet'!$A$192,'Données projet'!$B$192,EJ31+EI32-ER31)))</f>
        <v>263.38333333333338</v>
      </c>
      <c r="EK32" s="17">
        <f>EJ32*VLOOKUP('Données projet'!$B$15,Paramètres!$A$1:$I$89,3,0)*VLOOKUP('Données projet'!$B$15,Paramètres!$A$1:$I$89,5,0)</f>
        <v>164.35120000000003</v>
      </c>
      <c r="EL32" s="13">
        <f t="shared" si="45"/>
        <v>41.822402860152515</v>
      </c>
      <c r="EM32" s="20">
        <f t="shared" si="19"/>
        <v>359.08569164809904</v>
      </c>
      <c r="EN32" s="59">
        <f t="shared" si="20"/>
        <v>652.41902498143236</v>
      </c>
      <c r="EO32" s="59">
        <f ca="1">AVERAGE(OFFSET($EN$3,0,0,'Données projet'!$E$15+1,1))-AVERAGE(OFFSET($H$3,0,0,'Données projet'!$E$15+1,1))</f>
        <v>269.77739619445515</v>
      </c>
      <c r="EP32" s="59">
        <f t="shared" si="46"/>
        <v>347.56964743629885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62.481906341233334</v>
      </c>
      <c r="EX32" s="21">
        <f>EXP(-LN(2)/2)*EX31+(1-EXP(-LN(2)/2))/(LN(2)/2)*ER32*EU32*VLOOKUP('Données projet'!$B$15,Paramètres!$A$1:$I$89,3,0)*0.475*44/12</f>
        <v>3.5126725818280691E-2</v>
      </c>
      <c r="EY32" s="22">
        <f t="shared" si="21"/>
        <v>62.517033067051614</v>
      </c>
      <c r="EZ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16.399999999999999</v>
      </c>
      <c r="FE32" s="12">
        <f>IF('Données projet'!$A$218&gt;35,FE31+FD32-FM31,IF(A32&lt;'Données projet'!$A$218,$FB$205^A32,IF(A32='Données projet'!$A$218,'Données projet'!$B$218,FE31+FD32-FM31)))</f>
        <v>188.60000000000005</v>
      </c>
      <c r="FF32" s="17">
        <f>FE32*VLOOKUP('Données projet'!$B$16,Paramètres!$A$1:$I$89,3,0)*VLOOKUP('Données projet'!$B$16,Paramètres!$A$1:$I$89,5,0)</f>
        <v>150.05016000000003</v>
      </c>
      <c r="FG32" s="13">
        <f t="shared" si="47"/>
        <v>38.589984439024605</v>
      </c>
      <c r="FH32" s="20">
        <f t="shared" si="22"/>
        <v>328.5482515646346</v>
      </c>
      <c r="FI32" s="59">
        <f t="shared" si="23"/>
        <v>621.88158489796797</v>
      </c>
      <c r="FJ32" s="59">
        <f ca="1">AVERAGE(OFFSET($FI$3,0,0,'Données projet'!$E$16+1,1))-AVERAGE(OFFSET($H$3,0,0,'Données projet'!$E$16+1,1))</f>
        <v>331.52724290297675</v>
      </c>
      <c r="FK32" s="59">
        <f t="shared" si="48"/>
        <v>322.79102610158054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31.8</v>
      </c>
      <c r="FZ32" s="12">
        <f>IF('Données projet'!$A$244&gt;35,FZ31+FY32-GH31,IF(A32&lt;'Données projet'!$A$244,$FW$205^A32,IF(A32='Données projet'!$A$244,'Données projet'!$B$244,FZ31+FY32-GH31)))</f>
        <v>344.20000000000005</v>
      </c>
      <c r="GA32" s="17">
        <f>FZ32*VLOOKUP('Données projet'!$B$17,Paramètres!$A$1:$I$89,3,0)*VLOOKUP('Données projet'!$B$17,Paramètres!$A$1:$I$89,5,0)</f>
        <v>170.03480000000005</v>
      </c>
      <c r="GB32" s="13">
        <f t="shared" si="49"/>
        <v>43.097817534817381</v>
      </c>
      <c r="GC32" s="20">
        <f t="shared" si="25"/>
        <v>371.20597553980701</v>
      </c>
      <c r="GD32" s="59">
        <f t="shared" si="26"/>
        <v>664.53930887314027</v>
      </c>
      <c r="GE32" s="59">
        <f ca="1">AVERAGE(OFFSET($GD$3,0,0,'Données projet'!$E$17+1,1))-AVERAGE(OFFSET($H$3,0,0,'Données projet'!$E$17+1,1))</f>
        <v>434.08297999735811</v>
      </c>
      <c r="GF32" s="59">
        <f t="shared" si="50"/>
        <v>371.04090283546122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24.741758446850092</v>
      </c>
      <c r="GN32" s="21">
        <f>EXP(-LN(2)/2)*GN31+(1-EXP(-LN(2)/2))/(LN(2)/2)*GH32*GK32*VLOOKUP('Données projet'!$B$17,Paramètres!$A$1:$I$89,3,0)*0.475*44/12</f>
        <v>1.062908703464271</v>
      </c>
      <c r="GO32" s="21">
        <f t="shared" si="27"/>
        <v>25.804667150314362</v>
      </c>
      <c r="GP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17.600000000000001</v>
      </c>
      <c r="GU32" s="12">
        <f>IF('Données projet'!$A$270&gt;35,GU31+GT32-HC31,IF(A32&lt;'Données projet'!$A$270,$GR$205^A32,IF(A32='Données projet'!$A$270,'Données projet'!$B$270,GU31+GT32-HC31)))</f>
        <v>193.39999999999998</v>
      </c>
      <c r="GV32" s="17">
        <f>GU32*VLOOKUP('Données projet'!$B$18,Paramètres!$A$1:$I$89,3,0)*VLOOKUP('Données projet'!$B$18,Paramètres!$A$1:$I$89,5,0)</f>
        <v>110.62479999999999</v>
      </c>
      <c r="GW32" s="13">
        <f t="shared" si="51"/>
        <v>29.478143765021333</v>
      </c>
      <c r="GX32" s="20">
        <f t="shared" si="28"/>
        <v>244.01262705741215</v>
      </c>
      <c r="GY32" s="59">
        <f t="shared" si="29"/>
        <v>537.3459603907454</v>
      </c>
      <c r="GZ32" s="59">
        <f ca="1">AVERAGE(OFFSET($GY$3,0,0,'Données projet'!$E$18+1,1))-AVERAGE(OFFSET($H$3,0,0,'Données projet'!$E$18+1,1))</f>
        <v>362.57172983134313</v>
      </c>
      <c r="HA32" s="59">
        <f t="shared" si="52"/>
        <v>232.03250917542471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14.916084039727806</v>
      </c>
      <c r="HI32" s="21">
        <f>EXP(-LN(2)/2)*HI31+(1-EXP(-LN(2)/2))/(LN(2)/2)*HC32*HF32*VLOOKUP('Données projet'!$B$18,Paramètres!$A$1:$I$89,3,0)*0.475*44/12</f>
        <v>1.0590057339289063</v>
      </c>
      <c r="HJ32" s="22">
        <f t="shared" si="30"/>
        <v>15.975089773656713</v>
      </c>
    </row>
    <row r="33" spans="1:218" x14ac:dyDescent="0.3">
      <c r="A33" s="10">
        <f t="shared" si="31"/>
        <v>30</v>
      </c>
      <c r="B33" s="71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5">
        <f t="shared" si="1"/>
        <v>326.95435467009145</v>
      </c>
      <c r="I33" s="6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146</v>
      </c>
      <c r="L33" s="12">
        <f>VLOOKUP(A33,'Données projet'!$A$35:$I$55,9,0)</f>
        <v>11.8</v>
      </c>
      <c r="M33" s="12">
        <f t="array" ref="M33">INDEX(L:L,MIN(IF(ISNUMBER(L33:L229),ROW(L33:L229),"")))</f>
        <v>11.8</v>
      </c>
      <c r="N33" s="13">
        <f>IF('Données projet'!$A$36&gt;35,N32+M33-V32,IF(A33&lt;'Données projet'!$A$36,$K$205^A33,IF(A33='Données projet'!$A$36,'Données projet'!$B$36,N32+M33-V32)))</f>
        <v>145.99999999999997</v>
      </c>
      <c r="O33" s="13">
        <f>N33*VLOOKUP('Données projet'!$B$9,Paramètres!$A$1:$I$89,3,0)*VLOOKUP('Données projet'!$B$9,Paramètres!$A$1:$I$89,5,0)</f>
        <v>116.15759999999999</v>
      </c>
      <c r="P33" s="13">
        <f t="shared" si="33"/>
        <v>30.777132266613055</v>
      </c>
      <c r="Q33" s="20">
        <f t="shared" si="2"/>
        <v>255.91132536435109</v>
      </c>
      <c r="R33" s="59">
        <f t="shared" si="0"/>
        <v>549.24465869768437</v>
      </c>
      <c r="S33" s="59">
        <f ca="1">AVERAGE(OFFSET($R$3,0,0,'Données projet'!$E$9+1,1))-AVERAGE(OFFSET($H$3,0,0,'Données projet'!$E$9+1,1))</f>
        <v>225.2323446080772</v>
      </c>
      <c r="T33" s="59">
        <f t="shared" si="34"/>
        <v>222.29030402759292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309</v>
      </c>
      <c r="AG33" s="12">
        <f>VLOOKUP(A33,'Données projet'!$A$61:$I$81,9,0)</f>
        <v>25.4</v>
      </c>
      <c r="AH33" s="12">
        <f t="array" ref="AH33">INDEX(AG:AG,MIN(IF(ISNUMBER(AG33:AG229),ROW(AG33:AG229),"")))</f>
        <v>25.4</v>
      </c>
      <c r="AI33" s="13">
        <f>IF('Données projet'!$A$62&gt;35,AI32+AH33-AQ32,IF(A33&lt;'Données projet'!$A$62,$AF$205^A33,IF(A33='Données projet'!$A$62,'Données projet'!$B$62,AI32+AH33-AQ32)))</f>
        <v>308.99999999999994</v>
      </c>
      <c r="AJ33" s="13">
        <f>AI33*VLOOKUP('Données projet'!$B$10,Paramètres!$A$1:$I$89,3,0)*VLOOKUP('Données projet'!$B$10,Paramètres!$A$1:$I$89,5,0)</f>
        <v>152.64599999999996</v>
      </c>
      <c r="AK33" s="13">
        <f t="shared" si="35"/>
        <v>39.179285293934349</v>
      </c>
      <c r="AL33" s="20">
        <f t="shared" si="4"/>
        <v>334.09570522026894</v>
      </c>
      <c r="AM33" s="59">
        <f t="shared" si="5"/>
        <v>627.42903855360225</v>
      </c>
      <c r="AN33" s="59">
        <f ca="1">AVERAGE(OFFSET($AM$3,0,0,'Données projet'!$E$10+1,1))-AVERAGE(OFFSET($H$3,0,0,'Données projet'!$E$10+1,1))</f>
        <v>360.05819346986135</v>
      </c>
      <c r="AO33" s="59">
        <f t="shared" si="36"/>
        <v>300.47468388351081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63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0.55000000000000004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42.307234565697627</v>
      </c>
      <c r="AW33" s="21">
        <f>EXP(-LN(2)/2)*AW32+(1-EXP(-LN(2)/2))/(LN(2)/2)*AQ33*AT33*VLOOKUP('Données projet'!$B$10,Paramètres!$A$1:$I$89,3,0)*0.475*44/12</f>
        <v>5.2436508279194452E-2</v>
      </c>
      <c r="AX33" s="21">
        <f t="shared" si="6"/>
        <v>42.35967107397682</v>
      </c>
      <c r="AY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138</v>
      </c>
      <c r="BB33" s="12">
        <f>VLOOKUP(A33,'Données projet'!$A$87:$I$107,9,0)</f>
        <v>11.8</v>
      </c>
      <c r="BC33" s="12">
        <f t="array" ref="BC33">INDEX(BB:BB,MIN(IF(ISNUMBER(BB33:BB229),ROW(BB33:BB229),"")))</f>
        <v>11.8</v>
      </c>
      <c r="BD33" s="12">
        <f>IF('Données projet'!$A$88&gt;35,BD32+BC33-BL32,IF(A33&lt;'Données projet'!$A$88,$BA$205^A33,IF(A33='Données projet'!$A$88,'Données projet'!$B$88,BD32+BC33-BL32)))</f>
        <v>137.99999999999994</v>
      </c>
      <c r="BE33" s="13">
        <f>BD33*VLOOKUP('Données projet'!$B$11,Paramètres!$A$1:$I$89,3,0)*VLOOKUP('Données projet'!$B$11,Paramètres!$A$1:$I$89,5,0)</f>
        <v>78.935999999999979</v>
      </c>
      <c r="BF33" s="13">
        <f t="shared" si="37"/>
        <v>21.876828219051255</v>
      </c>
      <c r="BG33" s="20">
        <f t="shared" si="7"/>
        <v>175.58234248151425</v>
      </c>
      <c r="BH33" s="59">
        <f t="shared" si="8"/>
        <v>468.91567581484753</v>
      </c>
      <c r="BI33" s="59">
        <f ca="1">AVERAGE(OFFSET($BH$3,0,0,'Données projet'!$E$11+1,1))-AVERAGE(OFFSET($H$3,0,0,'Données projet'!$E$11+1,1))</f>
        <v>250.90038883668348</v>
      </c>
      <c r="BJ33" s="59">
        <f t="shared" si="38"/>
        <v>141.96132114475608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35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0.45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11.90396346285157</v>
      </c>
      <c r="BR33" s="21">
        <f>EXP(-LN(2)/2)*BR32+(1-EXP(-LN(2)/2))/(LN(2)/2)*BL33*BO33*VLOOKUP('Données projet'!$B$11,Paramètres!$A$1:$I$89,3,0)*0.475*44/12</f>
        <v>3.7780745102328561</v>
      </c>
      <c r="BS33" s="22">
        <f t="shared" si="9"/>
        <v>15.682037973084427</v>
      </c>
      <c r="BT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177</v>
      </c>
      <c r="BW33" s="12">
        <f>VLOOKUP(A33,'Données projet'!$A$113:$I$133,9,0)</f>
        <v>14.2</v>
      </c>
      <c r="BX33" s="12">
        <f t="array" ref="BX33">INDEX(BW:BW,MIN(IF(ISNUMBER(BW33:BW229),ROW(BW33:BW229),"")))</f>
        <v>14.2</v>
      </c>
      <c r="BY33" s="12">
        <f>IF('Données projet'!$A$114&gt;35,BY32+BX33-CG32,IF(A33&lt;'Données projet'!$A$114,$BV$205^A33,IF(A33='Données projet'!$A$114,'Données projet'!$B$114,BY32+BX33-CG32)))</f>
        <v>176.99999999999991</v>
      </c>
      <c r="BZ33" s="13">
        <f>BY33*VLOOKUP('Données projet'!$B$12,Paramètres!$A$1:$I$89,3,0)*VLOOKUP('Données projet'!$B$12,Paramètres!$A$1:$I$89,5,0)</f>
        <v>140.82119999999992</v>
      </c>
      <c r="CA33" s="13">
        <f t="shared" si="39"/>
        <v>36.485066799987997</v>
      </c>
      <c r="CB33" s="20">
        <f t="shared" si="10"/>
        <v>308.80841467664561</v>
      </c>
      <c r="CC33" s="59">
        <f t="shared" si="11"/>
        <v>602.14174800997898</v>
      </c>
      <c r="CD33" s="59">
        <f ca="1">AVERAGE(OFFSET($CC$3,0,0,'Données projet'!$E$12+1,1))-AVERAGE(OFFSET($H$3,0,0,'Données projet'!$E$12+1,1))</f>
        <v>279.49721661620544</v>
      </c>
      <c r="CE33" s="59">
        <f t="shared" si="40"/>
        <v>275.18739333988754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35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342</v>
      </c>
      <c r="CR33" s="12">
        <f>VLOOKUP(A33,'Données projet'!$A$139:$I$159,9,0)</f>
        <v>28.6</v>
      </c>
      <c r="CS33" s="12">
        <f t="array" ref="CS33">INDEX(CR:CR,MIN(IF(ISNUMBER(CR33:CR229),ROW(CR33:CR229),"")))</f>
        <v>28.6</v>
      </c>
      <c r="CT33" s="12">
        <f>IF('Données projet'!$A$140&gt;35,CT32+CS33-DB32,IF(A33&lt;'Données projet'!$A$140,$CQ$205^A33,IF(A33='Données projet'!$A$140,'Données projet'!$B$140,CT32+CS33-DB32)))</f>
        <v>342.00000000000011</v>
      </c>
      <c r="CU33" s="17">
        <f>CT33*VLOOKUP('Données projet'!$B$13,Paramètres!$A$1:$I$89,3,0)*VLOOKUP('Données projet'!$B$13,Paramètres!$A$1:$I$89,5,0)</f>
        <v>168.94800000000006</v>
      </c>
      <c r="CV33" s="13">
        <f t="shared" si="41"/>
        <v>42.854325527446242</v>
      </c>
      <c r="CW33" s="20">
        <f t="shared" si="13"/>
        <v>368.88905029363559</v>
      </c>
      <c r="CX33" s="59">
        <f t="shared" si="14"/>
        <v>662.22238362696885</v>
      </c>
      <c r="CY33" s="59">
        <f ca="1">AVERAGE(OFFSET($CX$3,0,0,'Données projet'!$E$13+1,1))-AVERAGE(OFFSET($H$3,0,0,'Données projet'!$E$13+1,1))</f>
        <v>396.27049617044378</v>
      </c>
      <c r="CZ33" s="59">
        <f t="shared" si="42"/>
        <v>335.2680289568774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70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0.55000000000000004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47.008038406330691</v>
      </c>
      <c r="DH33" s="21">
        <f>EXP(-LN(2)/2)*DH32+(1-EXP(-LN(2)/2))/(LN(2)/2)*DB33*DE33*VLOOKUP('Données projet'!$B$13,Paramètres!$A$1:$I$89,3,0)*0.475*44/12</f>
        <v>0.38453439404742623</v>
      </c>
      <c r="DI33" s="22">
        <f t="shared" si="15"/>
        <v>47.392572800378119</v>
      </c>
      <c r="DJ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173</v>
      </c>
      <c r="DM33" s="12">
        <f>VLOOKUP(A33,'Données projet'!$A$165:$I$185,9,0)</f>
        <v>14.6</v>
      </c>
      <c r="DN33" s="12">
        <f t="array" ref="DN33">INDEX(DM:DM,MIN(IF(ISNUMBER(DM33:DM229),ROW(DM33:DM229),"")))</f>
        <v>14.6</v>
      </c>
      <c r="DO33" s="12">
        <f>IF('Données projet'!$A$166&gt;35,DO32+DN33-DW32,IF(A33&lt;'Données projet'!$A$166,$DL$205^A33,IF(A33='Données projet'!$A$166,'Données projet'!$B$166,DO32+DN33-DW32)))</f>
        <v>172.99999999999997</v>
      </c>
      <c r="DP33" s="17">
        <f>DO33*VLOOKUP('Données projet'!$B$14,Paramètres!$A$1:$I$89,3,0)*VLOOKUP('Données projet'!$B$14,Paramètres!$A$1:$I$89,5,0)</f>
        <v>98.955999999999989</v>
      </c>
      <c r="DQ33" s="13">
        <f t="shared" si="43"/>
        <v>26.713127230955852</v>
      </c>
      <c r="DR33" s="20">
        <f t="shared" si="16"/>
        <v>218.87372992724809</v>
      </c>
      <c r="DS33" s="59">
        <f t="shared" si="17"/>
        <v>512.20706326058144</v>
      </c>
      <c r="DT33" s="59">
        <f ca="1">AVERAGE(OFFSET($DS$3,0,0,'Données projet'!$E$14+1,1))-AVERAGE(OFFSET($H$3,0,0,'Données projet'!$E$14+1,1))</f>
        <v>307.43900954374504</v>
      </c>
      <c r="DU33" s="59">
        <f t="shared" si="44"/>
        <v>185.25270859048999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42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0.45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26.72035867307218</v>
      </c>
      <c r="EC33" s="21">
        <f>EXP(-LN(2)/2)*EC32+(1-EXP(-LN(2)/2))/(LN(2)/2)*DW33*DZ33*VLOOKUP('Données projet'!$B$14,Paramètres!$A$1:$I$89,3,0)*0.475*44/12</f>
        <v>0.36429574172914048</v>
      </c>
      <c r="ED33" s="22">
        <f t="shared" si="18"/>
        <v>27.084654414801321</v>
      </c>
      <c r="EE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280</v>
      </c>
      <c r="EH33" s="12">
        <f>VLOOKUP(A33,'Données projet'!$A$191:$I$211,9,0)</f>
        <v>16.616666666666664</v>
      </c>
      <c r="EI33" s="12">
        <f t="array" ref="EI33">INDEX(EH:EH,MIN(IF(ISNUMBER(EH33:EH229),ROW(EH33:EH229),"")))</f>
        <v>16.616666666666664</v>
      </c>
      <c r="EJ33" s="12">
        <f>IF('Données projet'!$A$192&gt;35,EJ32+EI33-ER32,IF(A33&lt;'Données projet'!$A$192,$EG$205^A33,IF(A33='Données projet'!$A$192,'Données projet'!$B$192,EJ32+EI33-ER32)))</f>
        <v>280.00000000000006</v>
      </c>
      <c r="EK33" s="17">
        <f>EJ33*VLOOKUP('Données projet'!$B$15,Paramètres!$A$1:$I$89,3,0)*VLOOKUP('Données projet'!$B$15,Paramètres!$A$1:$I$89,5,0)</f>
        <v>174.72000000000006</v>
      </c>
      <c r="EL33" s="13">
        <f t="shared" si="45"/>
        <v>44.145455754865246</v>
      </c>
      <c r="EM33" s="20">
        <f t="shared" si="19"/>
        <v>381.19066877305704</v>
      </c>
      <c r="EN33" s="59">
        <f t="shared" si="20"/>
        <v>674.5240021063903</v>
      </c>
      <c r="EO33" s="59">
        <f ca="1">AVERAGE(OFFSET($EN$3,0,0,'Données projet'!$E$15+1,1))-AVERAGE(OFFSET($H$3,0,0,'Données projet'!$E$15+1,1))</f>
        <v>269.77739619445515</v>
      </c>
      <c r="EP33" s="59">
        <f t="shared" si="46"/>
        <v>347.56964743629885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62.6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0.6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91.742191961336417</v>
      </c>
      <c r="EX33" s="21">
        <f>EXP(-LN(2)/2)*EX32+(1-EXP(-LN(2)/2))/(LN(2)/2)*ER33*EU33*VLOOKUP('Données projet'!$B$15,Paramètres!$A$1:$I$89,3,0)*0.475*44/12</f>
        <v>2.4838346026986854E-2</v>
      </c>
      <c r="EY33" s="22">
        <f t="shared" si="21"/>
        <v>91.767030307363399</v>
      </c>
      <c r="EZ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205</v>
      </c>
      <c r="FC33" s="12">
        <f>VLOOKUP(A33,'Données projet'!$A$217:$I$237,9,0)</f>
        <v>16.399999999999999</v>
      </c>
      <c r="FD33" s="12">
        <f t="array" ref="FD33">INDEX(FC:FC,MIN(IF(ISNUMBER(FC33:FC229),ROW(FC33:FC229),"")))</f>
        <v>16.399999999999999</v>
      </c>
      <c r="FE33" s="12">
        <f>IF('Données projet'!$A$218&gt;35,FE32+FD33-FM32,IF(A33&lt;'Données projet'!$A$218,$FB$205^A33,IF(A33='Données projet'!$A$218,'Données projet'!$B$218,FE32+FD33-FM32)))</f>
        <v>205.00000000000006</v>
      </c>
      <c r="FF33" s="17">
        <f>FE33*VLOOKUP('Données projet'!$B$16,Paramètres!$A$1:$I$89,3,0)*VLOOKUP('Données projet'!$B$16,Paramètres!$A$1:$I$89,5,0)</f>
        <v>163.09800000000004</v>
      </c>
      <c r="FG33" s="13">
        <f t="shared" si="47"/>
        <v>41.540496136845142</v>
      </c>
      <c r="FH33" s="20">
        <f t="shared" si="22"/>
        <v>356.41204743833867</v>
      </c>
      <c r="FI33" s="59">
        <f t="shared" si="23"/>
        <v>649.74538077167199</v>
      </c>
      <c r="FJ33" s="59">
        <f ca="1">AVERAGE(OFFSET($FI$3,0,0,'Données projet'!$E$16+1,1))-AVERAGE(OFFSET($H$3,0,0,'Données projet'!$E$16+1,1))</f>
        <v>331.52724290297675</v>
      </c>
      <c r="FK33" s="59">
        <f t="shared" si="48"/>
        <v>322.79102610158054</v>
      </c>
      <c r="FL33" s="15">
        <f>IF(ISNA(VLOOKUP(A33,'Données projet'!$A$217:$I$237,3,0)),0,VLOOKUP(A33,'Données projet'!$A$217:$I$237,3,0))</f>
        <v>5</v>
      </c>
      <c r="FM33" s="15">
        <f>IF(ISNA(VLOOKUP(A33,'Données projet'!$A$217:$I$237,4,0)),0,VLOOKUP(A33,'Données projet'!$A$217:$I$237,4,0))</f>
        <v>42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376</v>
      </c>
      <c r="FX33" s="12">
        <f>VLOOKUP(A33,'Données projet'!$A$243:$I$263,9,0)</f>
        <v>31.8</v>
      </c>
      <c r="FY33" s="12">
        <f t="array" ref="FY33">INDEX(FX:FX,MIN(IF(ISNUMBER(FX33:FX229),ROW(FX33:FX229),"")))</f>
        <v>31.8</v>
      </c>
      <c r="FZ33" s="12">
        <f>IF('Données projet'!$A$244&gt;35,FZ32+FY33-GH32,IF(A33&lt;'Données projet'!$A$244,$FW$205^A33,IF(A33='Données projet'!$A$244,'Données projet'!$B$244,FZ32+FY33-GH32)))</f>
        <v>376.00000000000006</v>
      </c>
      <c r="GA33" s="17">
        <f>FZ33*VLOOKUP('Données projet'!$B$17,Paramètres!$A$1:$I$89,3,0)*VLOOKUP('Données projet'!$B$17,Paramètres!$A$1:$I$89,5,0)</f>
        <v>185.74400000000003</v>
      </c>
      <c r="GB33" s="13">
        <f t="shared" si="49"/>
        <v>46.597774644336511</v>
      </c>
      <c r="GC33" s="20">
        <f t="shared" si="25"/>
        <v>404.66192417221941</v>
      </c>
      <c r="GD33" s="59">
        <f t="shared" si="26"/>
        <v>697.99525750555267</v>
      </c>
      <c r="GE33" s="59">
        <f ca="1">AVERAGE(OFFSET($GD$3,0,0,'Données projet'!$E$17+1,1))-AVERAGE(OFFSET($H$3,0,0,'Données projet'!$E$17+1,1))</f>
        <v>434.08297999735811</v>
      </c>
      <c r="GF33" s="59">
        <f t="shared" si="50"/>
        <v>371.04090283546122</v>
      </c>
      <c r="GG33" s="15">
        <f>IF(ISNA(VLOOKUP(A33,'Données projet'!$A$243:$I$263,3,0)),0,VLOOKUP(A33,'Données projet'!$A$243:$I$263,3,0))</f>
        <v>3</v>
      </c>
      <c r="GH33" s="15">
        <f>IF(ISNA(VLOOKUP(A33,'Données projet'!$A$243:$I$263,4,0)),0,VLOOKUP(A33,'Données projet'!$A$243:$I$263,4,0))</f>
        <v>77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0.55000000000000004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51.708842246963755</v>
      </c>
      <c r="GN33" s="21">
        <f>EXP(-LN(2)/2)*GN32+(1-EXP(-LN(2)/2))/(LN(2)/2)*GH33*GK33*VLOOKUP('Données projet'!$B$17,Paramètres!$A$1:$I$89,3,0)*0.475*44/12</f>
        <v>0.75158995200178724</v>
      </c>
      <c r="GO33" s="21">
        <f t="shared" si="27"/>
        <v>52.460432198965542</v>
      </c>
      <c r="GP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211</v>
      </c>
      <c r="GS33" s="12">
        <f>VLOOKUP(A33,'Données projet'!$A$269:$I$289,9,0)</f>
        <v>17.600000000000001</v>
      </c>
      <c r="GT33" s="12">
        <f t="array" ref="GT33">INDEX(GS:GS,MIN(IF(ISNUMBER(GS33:GS229),ROW(GS33:GS229),"")))</f>
        <v>17.600000000000001</v>
      </c>
      <c r="GU33" s="12">
        <f>IF('Données projet'!$A$270&gt;35,GU32+GT33-HC32,IF(A33&lt;'Données projet'!$A$270,$GR$205^A33,IF(A33='Données projet'!$A$270,'Données projet'!$B$270,GU32+GT33-HC32)))</f>
        <v>210.99999999999997</v>
      </c>
      <c r="GV33" s="17">
        <f>GU33*VLOOKUP('Données projet'!$B$18,Paramètres!$A$1:$I$89,3,0)*VLOOKUP('Données projet'!$B$18,Paramètres!$A$1:$I$89,5,0)</f>
        <v>120.69199999999999</v>
      </c>
      <c r="GW33" s="13">
        <f t="shared" si="51"/>
        <v>31.836342877808391</v>
      </c>
      <c r="GX33" s="20">
        <f t="shared" si="28"/>
        <v>265.6535305121829</v>
      </c>
      <c r="GY33" s="59">
        <f t="shared" si="29"/>
        <v>558.98686384551615</v>
      </c>
      <c r="GZ33" s="59">
        <f ca="1">AVERAGE(OFFSET($GY$3,0,0,'Données projet'!$E$18+1,1))-AVERAGE(OFFSET($H$3,0,0,'Données projet'!$E$18+1,1))</f>
        <v>362.57172983134313</v>
      </c>
      <c r="HA33" s="59">
        <f t="shared" si="52"/>
        <v>232.03250917542471</v>
      </c>
      <c r="HB33" s="15">
        <f>IF(ISNA(VLOOKUP(A33,'Données projet'!$A$269:$I$289,3,0)),0,VLOOKUP(A33,'Données projet'!$A$269:$I$289,3,0))</f>
        <v>3</v>
      </c>
      <c r="HC33" s="15">
        <f>IF(ISNA(VLOOKUP(A33,'Données projet'!$A$269:$I$289,4,0)),0,VLOOKUP(A33,'Données projet'!$A$269:$I$289,4,0))</f>
        <v>49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0.45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31.173751785250879</v>
      </c>
      <c r="HI33" s="21">
        <f>EXP(-LN(2)/2)*HI32+(1-EXP(-LN(2)/2))/(LN(2)/2)*HC33*HF33*VLOOKUP('Données projet'!$B$18,Paramètres!$A$1:$I$89,3,0)*0.475*44/12</f>
        <v>0.74883013577656632</v>
      </c>
      <c r="HJ33" s="22">
        <f t="shared" si="30"/>
        <v>31.922581921027444</v>
      </c>
    </row>
    <row r="34" spans="1:218" x14ac:dyDescent="0.3">
      <c r="A34" s="10">
        <f t="shared" si="31"/>
        <v>31</v>
      </c>
      <c r="B34" s="71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5">
        <f t="shared" si="1"/>
        <v>328.04163981740385</v>
      </c>
      <c r="I34" s="6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128.79999999999998</v>
      </c>
      <c r="O34" s="13">
        <f>N34*VLOOKUP('Données projet'!$B$9,Paramètres!$A$1:$I$89,3,0)*VLOOKUP('Données projet'!$B$9,Paramètres!$A$1:$I$89,5,0)</f>
        <v>102.47327999999999</v>
      </c>
      <c r="P34" s="13">
        <f t="shared" si="33"/>
        <v>27.550381949314474</v>
      </c>
      <c r="Q34" s="20">
        <f t="shared" si="2"/>
        <v>226.45787789505599</v>
      </c>
      <c r="R34" s="59">
        <f t="shared" si="0"/>
        <v>519.79121122838933</v>
      </c>
      <c r="S34" s="59">
        <f ca="1">AVERAGE(OFFSET($R$3,0,0,'Données projet'!$E$9+1,1))-AVERAGE(OFFSET($H$3,0,0,'Données projet'!$E$9+1,1))</f>
        <v>225.2323446080772</v>
      </c>
      <c r="T34" s="59">
        <f t="shared" si="34"/>
        <v>222.29030402759292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25.6</v>
      </c>
      <c r="AI34" s="13">
        <f>IF('Données projet'!$A$62&gt;35,AI33+AH34-AQ33,IF(A34&lt;'Données projet'!$A$62,$AF$205^A34,IF(A34='Données projet'!$A$62,'Données projet'!$B$62,AI33+AH34-AQ33)))</f>
        <v>271.59999999999997</v>
      </c>
      <c r="AJ34" s="13">
        <f>AI34*VLOOKUP('Données projet'!$B$10,Paramètres!$A$1:$I$89,3,0)*VLOOKUP('Données projet'!$B$10,Paramètres!$A$1:$I$89,5,0)</f>
        <v>134.17039999999997</v>
      </c>
      <c r="AK34" s="13">
        <f t="shared" si="35"/>
        <v>34.958238246314679</v>
      </c>
      <c r="AL34" s="20">
        <f t="shared" si="4"/>
        <v>294.56571161233137</v>
      </c>
      <c r="AM34" s="59">
        <f t="shared" si="5"/>
        <v>587.89904494566463</v>
      </c>
      <c r="AN34" s="59">
        <f ca="1">AVERAGE(OFFSET($AM$3,0,0,'Données projet'!$E$10+1,1))-AVERAGE(OFFSET($H$3,0,0,'Données projet'!$E$10+1,1))</f>
        <v>360.05819346986135</v>
      </c>
      <c r="AO34" s="59">
        <f t="shared" si="36"/>
        <v>300.47468388351081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41.150341011657851</v>
      </c>
      <c r="AW34" s="21">
        <f>EXP(-LN(2)/2)*AW33+(1-EXP(-LN(2)/2))/(LN(2)/2)*AQ34*AT34*VLOOKUP('Données projet'!$B$10,Paramètres!$A$1:$I$89,3,0)*0.475*44/12</f>
        <v>3.7078210585962938E-2</v>
      </c>
      <c r="AX34" s="21">
        <f t="shared" si="6"/>
        <v>41.187419222243811</v>
      </c>
      <c r="AY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13.2</v>
      </c>
      <c r="BD34" s="12">
        <f>IF('Données projet'!$A$88&gt;35,BD33+BC34-BL33,IF(A34&lt;'Données projet'!$A$88,$BA$205^A34,IF(A34='Données projet'!$A$88,'Données projet'!$B$88,BD33+BC34-BL33)))</f>
        <v>116.19999999999993</v>
      </c>
      <c r="BE34" s="13">
        <f>BD34*VLOOKUP('Données projet'!$B$11,Paramètres!$A$1:$I$89,3,0)*VLOOKUP('Données projet'!$B$11,Paramètres!$A$1:$I$89,5,0)</f>
        <v>66.466399999999965</v>
      </c>
      <c r="BF34" s="13">
        <f t="shared" si="37"/>
        <v>18.793312295792603</v>
      </c>
      <c r="BG34" s="20">
        <f t="shared" si="7"/>
        <v>148.49399891517206</v>
      </c>
      <c r="BH34" s="59">
        <f t="shared" si="8"/>
        <v>441.8273322485054</v>
      </c>
      <c r="BI34" s="59">
        <f ca="1">AVERAGE(OFFSET($BH$3,0,0,'Données projet'!$E$11+1,1))-AVERAGE(OFFSET($H$3,0,0,'Données projet'!$E$11+1,1))</f>
        <v>250.90038883668348</v>
      </c>
      <c r="BJ34" s="59">
        <f t="shared" si="38"/>
        <v>141.96132114475608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11.578448955957661</v>
      </c>
      <c r="BR34" s="21">
        <f>EXP(-LN(2)/2)*BR33+(1-EXP(-LN(2)/2))/(LN(2)/2)*BL34*BO34*VLOOKUP('Données projet'!$B$11,Paramètres!$A$1:$I$89,3,0)*0.475*44/12</f>
        <v>2.6715021060136972</v>
      </c>
      <c r="BS34" s="22">
        <f t="shared" si="9"/>
        <v>14.249951061971359</v>
      </c>
      <c r="BT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12.8</v>
      </c>
      <c r="BY34" s="12">
        <f>IF('Données projet'!$A$114&gt;35,BY33+BX34-CG33,IF(A34&lt;'Données projet'!$A$114,$BV$205^A34,IF(A34='Données projet'!$A$114,'Données projet'!$B$114,BY33+BX34-CG33)))</f>
        <v>154.79999999999993</v>
      </c>
      <c r="BZ34" s="13">
        <f>BY34*VLOOKUP('Données projet'!$B$12,Paramètres!$A$1:$I$89,3,0)*VLOOKUP('Données projet'!$B$12,Paramètres!$A$1:$I$89,5,0)</f>
        <v>123.15887999999995</v>
      </c>
      <c r="CA34" s="13">
        <f t="shared" si="39"/>
        <v>32.410638331814873</v>
      </c>
      <c r="CB34" s="20">
        <f t="shared" si="10"/>
        <v>270.95024442791083</v>
      </c>
      <c r="CC34" s="59">
        <f t="shared" si="11"/>
        <v>564.28357776124415</v>
      </c>
      <c r="CD34" s="59">
        <f ca="1">AVERAGE(OFFSET($CC$3,0,0,'Données projet'!$E$12+1,1))-AVERAGE(OFFSET($H$3,0,0,'Données projet'!$E$12+1,1))</f>
        <v>279.49721661620544</v>
      </c>
      <c r="CE34" s="59">
        <f t="shared" si="40"/>
        <v>275.18739333988754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28.2</v>
      </c>
      <c r="CT34" s="12">
        <f>IF('Données projet'!$A$140&gt;35,CT33+CS34-DB33,IF(A34&lt;'Données projet'!$A$140,$CQ$205^A34,IF(A34='Données projet'!$A$140,'Données projet'!$B$140,CT33+CS34-DB33)))</f>
        <v>300.2000000000001</v>
      </c>
      <c r="CU34" s="17">
        <f>CT34*VLOOKUP('Données projet'!$B$13,Paramètres!$A$1:$I$89,3,0)*VLOOKUP('Données projet'!$B$13,Paramètres!$A$1:$I$89,5,0)</f>
        <v>148.29880000000006</v>
      </c>
      <c r="CV34" s="13">
        <f t="shared" si="41"/>
        <v>38.19172554894751</v>
      </c>
      <c r="CW34" s="20">
        <f t="shared" si="13"/>
        <v>324.80433199775035</v>
      </c>
      <c r="CX34" s="59">
        <f t="shared" si="14"/>
        <v>618.13766533108367</v>
      </c>
      <c r="CY34" s="59">
        <f ca="1">AVERAGE(OFFSET($CX$3,0,0,'Données projet'!$E$13+1,1))-AVERAGE(OFFSET($H$3,0,0,'Données projet'!$E$13+1,1))</f>
        <v>396.27049617044378</v>
      </c>
      <c r="CZ34" s="59">
        <f t="shared" si="42"/>
        <v>335.2680289568774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45.722601124064276</v>
      </c>
      <c r="DH34" s="21">
        <f>EXP(-LN(2)/2)*DH33+(1-EXP(-LN(2)/2))/(LN(2)/2)*DB34*DE34*VLOOKUP('Données projet'!$B$13,Paramètres!$A$1:$I$89,3,0)*0.475*44/12</f>
        <v>0.27190687763039506</v>
      </c>
      <c r="DI34" s="22">
        <f t="shared" si="15"/>
        <v>45.994508001694669</v>
      </c>
      <c r="DJ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16.2</v>
      </c>
      <c r="DO34" s="12">
        <f>IF('Données projet'!$A$166&gt;35,DO33+DN34-DW33,IF(A34&lt;'Données projet'!$A$166,$DL$205^A34,IF(A34='Données projet'!$A$166,'Données projet'!$B$166,DO33+DN34-DW33)))</f>
        <v>147.19999999999996</v>
      </c>
      <c r="DP34" s="17">
        <f>DO34*VLOOKUP('Données projet'!$B$14,Paramètres!$A$1:$I$89,3,0)*VLOOKUP('Données projet'!$B$14,Paramètres!$A$1:$I$89,5,0)</f>
        <v>84.198399999999992</v>
      </c>
      <c r="DQ34" s="13">
        <f t="shared" si="43"/>
        <v>23.160638971254933</v>
      </c>
      <c r="DR34" s="20">
        <f t="shared" si="16"/>
        <v>186.98365954160235</v>
      </c>
      <c r="DS34" s="59">
        <f t="shared" si="17"/>
        <v>480.31699287493564</v>
      </c>
      <c r="DT34" s="59">
        <f ca="1">AVERAGE(OFFSET($DS$3,0,0,'Données projet'!$E$14+1,1))-AVERAGE(OFFSET($H$3,0,0,'Données projet'!$E$14+1,1))</f>
        <v>307.43900954374504</v>
      </c>
      <c r="DU34" s="59">
        <f t="shared" si="44"/>
        <v>185.25270859048999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25.989689059994429</v>
      </c>
      <c r="EC34" s="21">
        <f>EXP(-LN(2)/2)*EC33+(1-EXP(-LN(2)/2))/(LN(2)/2)*DW34*DZ34*VLOOKUP('Données projet'!$B$14,Paramètres!$A$1:$I$89,3,0)*0.475*44/12</f>
        <v>0.25759598933405836</v>
      </c>
      <c r="ED34" s="22">
        <f t="shared" si="18"/>
        <v>26.247285049328486</v>
      </c>
      <c r="EE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14.6</v>
      </c>
      <c r="EJ34" s="12">
        <f>IF('Données projet'!$A$192&gt;35,EJ33+EI34-ER33,IF(A34&lt;'Données projet'!$A$192,$EG$205^A34,IF(A34='Données projet'!$A$192,'Données projet'!$B$192,EJ33+EI34-ER33)))</f>
        <v>232.00000000000009</v>
      </c>
      <c r="EK34" s="17">
        <f>EJ34*VLOOKUP('Données projet'!$B$15,Paramètres!$A$1:$I$89,3,0)*VLOOKUP('Données projet'!$B$15,Paramètres!$A$1:$I$89,5,0)</f>
        <v>144.76800000000006</v>
      </c>
      <c r="EL34" s="13">
        <f t="shared" si="45"/>
        <v>37.387149255707826</v>
      </c>
      <c r="EM34" s="20">
        <f t="shared" si="19"/>
        <v>317.25355162035788</v>
      </c>
      <c r="EN34" s="59">
        <f t="shared" si="20"/>
        <v>610.5868849536912</v>
      </c>
      <c r="EO34" s="59">
        <f ca="1">AVERAGE(OFFSET($EN$3,0,0,'Données projet'!$E$15+1,1))-AVERAGE(OFFSET($H$3,0,0,'Données projet'!$E$15+1,1))</f>
        <v>269.77739619445515</v>
      </c>
      <c r="EP34" s="59">
        <f t="shared" si="46"/>
        <v>347.56964743629885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89.233496897641473</v>
      </c>
      <c r="EX34" s="21">
        <f>EXP(-LN(2)/2)*EX33+(1-EXP(-LN(2)/2))/(LN(2)/2)*ER34*EU34*VLOOKUP('Données projet'!$B$15,Paramètres!$A$1:$I$89,3,0)*0.475*44/12</f>
        <v>1.7563362909140345E-2</v>
      </c>
      <c r="EY34" s="22">
        <f t="shared" si="21"/>
        <v>89.251060260550616</v>
      </c>
      <c r="EZ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15.2</v>
      </c>
      <c r="FE34" s="12">
        <f>IF('Données projet'!$A$218&gt;35,FE33+FD34-FM33,IF(A34&lt;'Données projet'!$A$218,$FB$205^A34,IF(A34='Données projet'!$A$218,'Données projet'!$B$218,FE33+FD34-FM33)))</f>
        <v>178.20000000000005</v>
      </c>
      <c r="FF34" s="17">
        <f>FE34*VLOOKUP('Données projet'!$B$16,Paramètres!$A$1:$I$89,3,0)*VLOOKUP('Données projet'!$B$16,Paramètres!$A$1:$I$89,5,0)</f>
        <v>141.77592000000004</v>
      </c>
      <c r="FG34" s="13">
        <f t="shared" si="47"/>
        <v>36.703544878441981</v>
      </c>
      <c r="FH34" s="20">
        <f t="shared" si="22"/>
        <v>310.85173466328649</v>
      </c>
      <c r="FI34" s="59">
        <f t="shared" si="23"/>
        <v>604.18506799661986</v>
      </c>
      <c r="FJ34" s="59">
        <f ca="1">AVERAGE(OFFSET($FI$3,0,0,'Données projet'!$E$16+1,1))-AVERAGE(OFFSET($H$3,0,0,'Données projet'!$E$16+1,1))</f>
        <v>331.52724290297675</v>
      </c>
      <c r="FK34" s="59">
        <f t="shared" si="48"/>
        <v>322.79102610158054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30.8</v>
      </c>
      <c r="FZ34" s="12">
        <f>IF('Données projet'!$A$244&gt;35,FZ33+FY34-GH33,IF(A34&lt;'Données projet'!$A$244,$FW$205^A34,IF(A34='Données projet'!$A$244,'Données projet'!$B$244,FZ33+FY34-GH33)))</f>
        <v>329.80000000000007</v>
      </c>
      <c r="GA34" s="17">
        <f>FZ34*VLOOKUP('Données projet'!$B$17,Paramètres!$A$1:$I$89,3,0)*VLOOKUP('Données projet'!$B$17,Paramètres!$A$1:$I$89,5,0)</f>
        <v>162.92120000000003</v>
      </c>
      <c r="GB34" s="13">
        <f t="shared" si="49"/>
        <v>41.500704809983084</v>
      </c>
      <c r="GC34" s="20">
        <f t="shared" si="25"/>
        <v>356.03481754405396</v>
      </c>
      <c r="GD34" s="59">
        <f t="shared" si="26"/>
        <v>649.36815087738728</v>
      </c>
      <c r="GE34" s="59">
        <f ca="1">AVERAGE(OFFSET($GD$3,0,0,'Données projet'!$E$17+1,1))-AVERAGE(OFFSET($H$3,0,0,'Données projet'!$E$17+1,1))</f>
        <v>434.08297999735811</v>
      </c>
      <c r="GF34" s="59">
        <f t="shared" si="50"/>
        <v>371.04090283546122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50.294861236470702</v>
      </c>
      <c r="GN34" s="21">
        <f>EXP(-LN(2)/2)*GN33+(1-EXP(-LN(2)/2))/(LN(2)/2)*GH34*GK34*VLOOKUP('Données projet'!$B$17,Paramètres!$A$1:$I$89,3,0)*0.475*44/12</f>
        <v>0.53145435173213551</v>
      </c>
      <c r="GO34" s="21">
        <f t="shared" si="27"/>
        <v>50.826315588202839</v>
      </c>
      <c r="GP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18.600000000000001</v>
      </c>
      <c r="GU34" s="12">
        <f>IF('Données projet'!$A$270&gt;35,GU33+GT34-HC33,IF(A34&lt;'Données projet'!$A$270,$GR$205^A34,IF(A34='Données projet'!$A$270,'Données projet'!$B$270,GU33+GT34-HC33)))</f>
        <v>180.59999999999997</v>
      </c>
      <c r="GV34" s="17">
        <f>GU34*VLOOKUP('Données projet'!$B$18,Paramètres!$A$1:$I$89,3,0)*VLOOKUP('Données projet'!$B$18,Paramètres!$A$1:$I$89,5,0)</f>
        <v>103.30319999999999</v>
      </c>
      <c r="GW34" s="13">
        <f t="shared" si="51"/>
        <v>27.747444810362108</v>
      </c>
      <c r="GX34" s="20">
        <f t="shared" si="28"/>
        <v>228.24653971138062</v>
      </c>
      <c r="GY34" s="59">
        <f t="shared" si="29"/>
        <v>521.57987304471396</v>
      </c>
      <c r="GZ34" s="59">
        <f ca="1">AVERAGE(OFFSET($GY$3,0,0,'Données projet'!$E$18+1,1))-AVERAGE(OFFSET($H$3,0,0,'Données projet'!$E$18+1,1))</f>
        <v>362.57172983134313</v>
      </c>
      <c r="HA34" s="59">
        <f t="shared" si="52"/>
        <v>232.03250917542471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30.321303903326836</v>
      </c>
      <c r="HI34" s="21">
        <f>EXP(-LN(2)/2)*HI33+(1-EXP(-LN(2)/2))/(LN(2)/2)*HC34*HF34*VLOOKUP('Données projet'!$B$18,Paramètres!$A$1:$I$89,3,0)*0.475*44/12</f>
        <v>0.52950286696445314</v>
      </c>
      <c r="HJ34" s="22">
        <f t="shared" si="30"/>
        <v>30.850806770291289</v>
      </c>
    </row>
    <row r="35" spans="1:218" x14ac:dyDescent="0.3">
      <c r="A35" s="10">
        <f t="shared" si="31"/>
        <v>32</v>
      </c>
      <c r="B35" s="71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5">
        <f t="shared" si="1"/>
        <v>329.12798955473778</v>
      </c>
      <c r="I35" s="6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139.6</v>
      </c>
      <c r="O35" s="13">
        <f>N35*VLOOKUP('Données projet'!$B$9,Paramètres!$A$1:$I$89,3,0)*VLOOKUP('Données projet'!$B$9,Paramètres!$A$1:$I$89,5,0)</f>
        <v>111.06576</v>
      </c>
      <c r="P35" s="13">
        <f t="shared" si="33"/>
        <v>29.581944857062648</v>
      </c>
      <c r="Q35" s="20">
        <f t="shared" ref="Q35:Q66" si="53">(O35+P35)*0.475*44/12</f>
        <v>244.96141929271744</v>
      </c>
      <c r="R35" s="59">
        <f t="shared" si="0"/>
        <v>538.29475262605069</v>
      </c>
      <c r="S35" s="59">
        <f ca="1">AVERAGE(OFFSET($R$3,0,0,'Données projet'!$E$9+1,1))-AVERAGE(OFFSET($H$3,0,0,'Données projet'!$E$9+1,1))</f>
        <v>225.2323446080772</v>
      </c>
      <c r="T35" s="59">
        <f t="shared" si="34"/>
        <v>222.29030402759292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25.6</v>
      </c>
      <c r="AI35" s="13">
        <f>IF('Données projet'!$A$62&gt;35,AI34+AH35-AQ34,IF(A35&lt;'Données projet'!$A$62,$AF$205^A35,IF(A35='Données projet'!$A$62,'Données projet'!$B$62,AI34+AH35-AQ34)))</f>
        <v>297.2</v>
      </c>
      <c r="AJ35" s="13">
        <f>AI35*VLOOKUP('Données projet'!$B$10,Paramètres!$A$1:$I$89,3,0)*VLOOKUP('Données projet'!$B$10,Paramètres!$A$1:$I$89,5,0)</f>
        <v>146.8168</v>
      </c>
      <c r="AK35" s="13">
        <f t="shared" si="35"/>
        <v>37.854291412210763</v>
      </c>
      <c r="AL35" s="20">
        <f t="shared" si="4"/>
        <v>321.63548420960041</v>
      </c>
      <c r="AM35" s="59">
        <f t="shared" si="5"/>
        <v>614.96881754293372</v>
      </c>
      <c r="AN35" s="59">
        <f ca="1">AVERAGE(OFFSET($AM$3,0,0,'Données projet'!$E$10+1,1))-AVERAGE(OFFSET($H$3,0,0,'Données projet'!$E$10+1,1))</f>
        <v>360.05819346986135</v>
      </c>
      <c r="AO35" s="59">
        <f t="shared" si="36"/>
        <v>300.47468388351081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40.025082772691682</v>
      </c>
      <c r="AW35" s="21">
        <f>EXP(-LN(2)/2)*AW34+(1-EXP(-LN(2)/2))/(LN(2)/2)*AQ35*AT35*VLOOKUP('Données projet'!$B$10,Paramètres!$A$1:$I$89,3,0)*0.475*44/12</f>
        <v>2.6218254139597226E-2</v>
      </c>
      <c r="AX35" s="21">
        <f t="shared" si="6"/>
        <v>40.051301026831283</v>
      </c>
      <c r="AY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13.2</v>
      </c>
      <c r="BD35" s="12">
        <f>IF('Données projet'!$A$88&gt;35,BD34+BC35-BL34,IF(A35&lt;'Données projet'!$A$88,$BA$205^A35,IF(A35='Données projet'!$A$88,'Données projet'!$B$88,BD34+BC35-BL34)))</f>
        <v>129.39999999999992</v>
      </c>
      <c r="BE35" s="13">
        <f>BD35*VLOOKUP('Données projet'!$B$11,Paramètres!$A$1:$I$89,3,0)*VLOOKUP('Données projet'!$B$11,Paramètres!$A$1:$I$89,5,0)</f>
        <v>74.016799999999961</v>
      </c>
      <c r="BF35" s="13">
        <f t="shared" si="37"/>
        <v>20.667708257611171</v>
      </c>
      <c r="BG35" s="20">
        <f t="shared" si="7"/>
        <v>164.90885188200605</v>
      </c>
      <c r="BH35" s="59">
        <f t="shared" si="8"/>
        <v>458.24218521533936</v>
      </c>
      <c r="BI35" s="59">
        <f ca="1">AVERAGE(OFFSET($BH$3,0,0,'Données projet'!$E$11+1,1))-AVERAGE(OFFSET($H$3,0,0,'Données projet'!$E$11+1,1))</f>
        <v>250.90038883668348</v>
      </c>
      <c r="BJ35" s="59">
        <f t="shared" si="38"/>
        <v>141.96132114475608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11.261835660372832</v>
      </c>
      <c r="BR35" s="21">
        <f>EXP(-LN(2)/2)*BR34+(1-EXP(-LN(2)/2))/(LN(2)/2)*BL35*BO35*VLOOKUP('Données projet'!$B$11,Paramètres!$A$1:$I$89,3,0)*0.475*44/12</f>
        <v>1.8890372551164285</v>
      </c>
      <c r="BS35" s="22">
        <f t="shared" si="9"/>
        <v>13.150872915489259</v>
      </c>
      <c r="BT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12.8</v>
      </c>
      <c r="BY35" s="12">
        <f>IF('Données projet'!$A$114&gt;35,BY34+BX35-CG34,IF(A35&lt;'Données projet'!$A$114,$BV$205^A35,IF(A35='Données projet'!$A$114,'Données projet'!$B$114,BY34+BX35-CG34)))</f>
        <v>167.59999999999994</v>
      </c>
      <c r="BZ35" s="13">
        <f>BY35*VLOOKUP('Données projet'!$B$12,Paramètres!$A$1:$I$89,3,0)*VLOOKUP('Données projet'!$B$12,Paramètres!$A$1:$I$89,5,0)</f>
        <v>133.34255999999996</v>
      </c>
      <c r="CA35" s="13">
        <f t="shared" si="39"/>
        <v>34.767581918978188</v>
      </c>
      <c r="CB35" s="20">
        <f t="shared" si="10"/>
        <v>292.7918305088869</v>
      </c>
      <c r="CC35" s="59">
        <f t="shared" si="11"/>
        <v>586.12516384222022</v>
      </c>
      <c r="CD35" s="59">
        <f ca="1">AVERAGE(OFFSET($CC$3,0,0,'Données projet'!$E$12+1,1))-AVERAGE(OFFSET($H$3,0,0,'Données projet'!$E$12+1,1))</f>
        <v>279.49721661620544</v>
      </c>
      <c r="CE35" s="59">
        <f t="shared" si="40"/>
        <v>275.18739333988754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28.2</v>
      </c>
      <c r="CT35" s="12">
        <f>IF('Données projet'!$A$140&gt;35,CT34+CS35-DB34,IF(A35&lt;'Données projet'!$A$140,$CQ$205^A35,IF(A35='Données projet'!$A$140,'Données projet'!$B$140,CT34+CS35-DB34)))</f>
        <v>328.40000000000009</v>
      </c>
      <c r="CU35" s="17">
        <f>CT35*VLOOKUP('Données projet'!$B$13,Paramètres!$A$1:$I$89,3,0)*VLOOKUP('Données projet'!$B$13,Paramètres!$A$1:$I$89,5,0)</f>
        <v>162.22960000000003</v>
      </c>
      <c r="CV35" s="13">
        <f t="shared" si="41"/>
        <v>41.345002155425064</v>
      </c>
      <c r="CW35" s="20">
        <f t="shared" si="13"/>
        <v>354.55909875403205</v>
      </c>
      <c r="CX35" s="59">
        <f t="shared" si="14"/>
        <v>647.89243208736536</v>
      </c>
      <c r="CY35" s="59">
        <f ca="1">AVERAGE(OFFSET($CX$3,0,0,'Données projet'!$E$13+1,1))-AVERAGE(OFFSET($H$3,0,0,'Données projet'!$E$13+1,1))</f>
        <v>396.27049617044378</v>
      </c>
      <c r="CZ35" s="59">
        <f t="shared" si="42"/>
        <v>335.2680289568774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44.472314191879647</v>
      </c>
      <c r="DH35" s="21">
        <f>EXP(-LN(2)/2)*DH34+(1-EXP(-LN(2)/2))/(LN(2)/2)*DB35*DE35*VLOOKUP('Données projet'!$B$13,Paramètres!$A$1:$I$89,3,0)*0.475*44/12</f>
        <v>0.19226719702371312</v>
      </c>
      <c r="DI35" s="22">
        <f t="shared" si="15"/>
        <v>44.664581388903358</v>
      </c>
      <c r="DJ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16.2</v>
      </c>
      <c r="DO35" s="12">
        <f>IF('Données projet'!$A$166&gt;35,DO34+DN35-DW34,IF(A35&lt;'Données projet'!$A$166,$DL$205^A35,IF(A35='Données projet'!$A$166,'Données projet'!$B$166,DO34+DN35-DW34)))</f>
        <v>163.39999999999995</v>
      </c>
      <c r="DP35" s="17">
        <f>DO35*VLOOKUP('Données projet'!$B$14,Paramètres!$A$1:$I$89,3,0)*VLOOKUP('Données projet'!$B$14,Paramètres!$A$1:$I$89,5,0)</f>
        <v>93.464799999999968</v>
      </c>
      <c r="DQ35" s="13">
        <f t="shared" si="43"/>
        <v>25.39900533113309</v>
      </c>
      <c r="DR35" s="20">
        <f t="shared" si="16"/>
        <v>207.02112761839007</v>
      </c>
      <c r="DS35" s="59">
        <f t="shared" si="17"/>
        <v>500.35446095172335</v>
      </c>
      <c r="DT35" s="59">
        <f ca="1">AVERAGE(OFFSET($DS$3,0,0,'Données projet'!$E$14+1,1))-AVERAGE(OFFSET($H$3,0,0,'Données projet'!$E$14+1,1))</f>
        <v>307.43900954374504</v>
      </c>
      <c r="DU35" s="59">
        <f t="shared" si="44"/>
        <v>185.25270859048999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25.278999645910535</v>
      </c>
      <c r="EC35" s="21">
        <f>EXP(-LN(2)/2)*EC34+(1-EXP(-LN(2)/2))/(LN(2)/2)*DW35*DZ35*VLOOKUP('Données projet'!$B$14,Paramètres!$A$1:$I$89,3,0)*0.475*44/12</f>
        <v>0.18214787086457024</v>
      </c>
      <c r="ED35" s="22">
        <f t="shared" si="18"/>
        <v>25.461147516775103</v>
      </c>
      <c r="EE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14.6</v>
      </c>
      <c r="EJ35" s="12">
        <f>IF('Données projet'!$A$192&gt;35,EJ34+EI35-ER34,IF(A35&lt;'Données projet'!$A$192,$EG$205^A35,IF(A35='Données projet'!$A$192,'Données projet'!$B$192,EJ34+EI35-ER34)))</f>
        <v>246.60000000000008</v>
      </c>
      <c r="EK35" s="17">
        <f>EJ35*VLOOKUP('Données projet'!$B$15,Paramètres!$A$1:$I$89,3,0)*VLOOKUP('Données projet'!$B$15,Paramètres!$A$1:$I$89,5,0)</f>
        <v>153.87840000000006</v>
      </c>
      <c r="EL35" s="13">
        <f t="shared" si="45"/>
        <v>39.458652209792398</v>
      </c>
      <c r="EM35" s="20">
        <f t="shared" si="19"/>
        <v>336.72869926538851</v>
      </c>
      <c r="EN35" s="59">
        <f t="shared" si="20"/>
        <v>630.06203259872177</v>
      </c>
      <c r="EO35" s="59">
        <f ca="1">AVERAGE(OFFSET($EN$3,0,0,'Données projet'!$E$15+1,1))-AVERAGE(OFFSET($H$3,0,0,'Données projet'!$E$15+1,1))</f>
        <v>269.77739619445515</v>
      </c>
      <c r="EP35" s="59">
        <f t="shared" si="46"/>
        <v>347.56964743629885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86.793402232389809</v>
      </c>
      <c r="EX35" s="21">
        <f>EXP(-LN(2)/2)*EX34+(1-EXP(-LN(2)/2))/(LN(2)/2)*ER35*EU35*VLOOKUP('Données projet'!$B$15,Paramètres!$A$1:$I$89,3,0)*0.475*44/12</f>
        <v>1.2419173013493427E-2</v>
      </c>
      <c r="EY35" s="22">
        <f t="shared" si="21"/>
        <v>86.805821405403307</v>
      </c>
      <c r="EZ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15.2</v>
      </c>
      <c r="FE35" s="12">
        <f>IF('Données projet'!$A$218&gt;35,FE34+FD35-FM34,IF(A35&lt;'Données projet'!$A$218,$FB$205^A35,IF(A35='Données projet'!$A$218,'Données projet'!$B$218,FE34+FD35-FM34)))</f>
        <v>193.40000000000003</v>
      </c>
      <c r="FF35" s="17">
        <f>FE35*VLOOKUP('Données projet'!$B$16,Paramètres!$A$1:$I$89,3,0)*VLOOKUP('Données projet'!$B$16,Paramètres!$A$1:$I$89,5,0)</f>
        <v>153.86904000000004</v>
      </c>
      <c r="FG35" s="13">
        <f t="shared" si="47"/>
        <v>39.456531419736123</v>
      </c>
      <c r="FH35" s="20">
        <f t="shared" si="22"/>
        <v>336.70870355604046</v>
      </c>
      <c r="FI35" s="59">
        <f t="shared" si="23"/>
        <v>630.04203688937378</v>
      </c>
      <c r="FJ35" s="59">
        <f ca="1">AVERAGE(OFFSET($FI$3,0,0,'Données projet'!$E$16+1,1))-AVERAGE(OFFSET($H$3,0,0,'Données projet'!$E$16+1,1))</f>
        <v>331.52724290297675</v>
      </c>
      <c r="FK35" s="59">
        <f t="shared" si="48"/>
        <v>322.79102610158054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30.8</v>
      </c>
      <c r="FZ35" s="12">
        <f>IF('Données projet'!$A$244&gt;35,FZ34+FY35-GH34,IF(A35&lt;'Données projet'!$A$244,$FW$205^A35,IF(A35='Données projet'!$A$244,'Données projet'!$B$244,FZ34+FY35-GH34)))</f>
        <v>360.60000000000008</v>
      </c>
      <c r="GA35" s="17">
        <f>FZ35*VLOOKUP('Données projet'!$B$17,Paramètres!$A$1:$I$89,3,0)*VLOOKUP('Données projet'!$B$17,Paramètres!$A$1:$I$89,5,0)</f>
        <v>178.13640000000004</v>
      </c>
      <c r="GB35" s="13">
        <f t="shared" si="49"/>
        <v>44.907318700411338</v>
      </c>
      <c r="GC35" s="20">
        <f t="shared" si="25"/>
        <v>388.46781006988311</v>
      </c>
      <c r="GD35" s="59">
        <f t="shared" si="26"/>
        <v>681.80114340321643</v>
      </c>
      <c r="GE35" s="59">
        <f ca="1">AVERAGE(OFFSET($GD$3,0,0,'Données projet'!$E$17+1,1))-AVERAGE(OFFSET($H$3,0,0,'Données projet'!$E$17+1,1))</f>
        <v>434.08297999735811</v>
      </c>
      <c r="GF35" s="59">
        <f t="shared" si="50"/>
        <v>371.04090283546122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48.919545611067612</v>
      </c>
      <c r="GN35" s="21">
        <f>EXP(-LN(2)/2)*GN34+(1-EXP(-LN(2)/2))/(LN(2)/2)*GH35*GK35*VLOOKUP('Données projet'!$B$17,Paramètres!$A$1:$I$89,3,0)*0.475*44/12</f>
        <v>0.37579497600089362</v>
      </c>
      <c r="GO35" s="21">
        <f t="shared" si="27"/>
        <v>49.295340587068509</v>
      </c>
      <c r="GP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18.600000000000001</v>
      </c>
      <c r="GU35" s="12">
        <f>IF('Données projet'!$A$270&gt;35,GU34+GT35-HC34,IF(A35&lt;'Données projet'!$A$270,$GR$205^A35,IF(A35='Données projet'!$A$270,'Données projet'!$B$270,GU34+GT35-HC34)))</f>
        <v>199.19999999999996</v>
      </c>
      <c r="GV35" s="17">
        <f>GU35*VLOOKUP('Données projet'!$B$18,Paramètres!$A$1:$I$89,3,0)*VLOOKUP('Données projet'!$B$18,Paramètres!$A$1:$I$89,5,0)</f>
        <v>113.94239999999998</v>
      </c>
      <c r="GW35" s="13">
        <f t="shared" si="51"/>
        <v>30.257932625400652</v>
      </c>
      <c r="GX35" s="20">
        <f t="shared" si="28"/>
        <v>251.14891265590609</v>
      </c>
      <c r="GY35" s="59">
        <f t="shared" si="29"/>
        <v>544.48224598923935</v>
      </c>
      <c r="GZ35" s="59">
        <f ca="1">AVERAGE(OFFSET($GY$3,0,0,'Données projet'!$E$18+1,1))-AVERAGE(OFFSET($H$3,0,0,'Données projet'!$E$18+1,1))</f>
        <v>362.57172983134313</v>
      </c>
      <c r="HA35" s="59">
        <f t="shared" si="52"/>
        <v>232.03250917542471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29.492166253562292</v>
      </c>
      <c r="HI35" s="21">
        <f>EXP(-LN(2)/2)*HI34+(1-EXP(-LN(2)/2))/(LN(2)/2)*HC35*HF35*VLOOKUP('Données projet'!$B$18,Paramètres!$A$1:$I$89,3,0)*0.475*44/12</f>
        <v>0.37441506788828316</v>
      </c>
      <c r="HJ35" s="22">
        <f t="shared" si="30"/>
        <v>29.866581321450575</v>
      </c>
    </row>
    <row r="36" spans="1:218" x14ac:dyDescent="0.3">
      <c r="A36" s="10">
        <f t="shared" si="31"/>
        <v>33</v>
      </c>
      <c r="B36" s="71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5">
        <f t="shared" si="1"/>
        <v>330.21343646768912</v>
      </c>
      <c r="I36" s="6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150.4</v>
      </c>
      <c r="O36" s="13">
        <f>N36*VLOOKUP('Données projet'!$B$9,Paramètres!$A$1:$I$89,3,0)*VLOOKUP('Données projet'!$B$9,Paramètres!$A$1:$I$89,5,0)</f>
        <v>119.65824000000002</v>
      </c>
      <c r="P36" s="13">
        <f t="shared" si="33"/>
        <v>31.595276160231336</v>
      </c>
      <c r="Q36" s="20">
        <f t="shared" si="53"/>
        <v>263.43320731240294</v>
      </c>
      <c r="R36" s="59">
        <f t="shared" si="0"/>
        <v>556.76654064573631</v>
      </c>
      <c r="S36" s="59">
        <f ca="1">AVERAGE(OFFSET($R$3,0,0,'Données projet'!$E$9+1,1))-AVERAGE(OFFSET($H$3,0,0,'Données projet'!$E$9+1,1))</f>
        <v>225.2323446080772</v>
      </c>
      <c r="T36" s="59">
        <f t="shared" si="34"/>
        <v>222.29030402759292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25.6</v>
      </c>
      <c r="AI36" s="13">
        <f>IF('Données projet'!$A$62&gt;35,AI35+AH36-AQ35,IF(A36&lt;'Données projet'!$A$62,$AF$205^A36,IF(A36='Données projet'!$A$62,'Données projet'!$B$62,AI35+AH36-AQ35)))</f>
        <v>322.8</v>
      </c>
      <c r="AJ36" s="13">
        <f>AI36*VLOOKUP('Données projet'!$B$10,Paramètres!$A$1:$I$89,3,0)*VLOOKUP('Données projet'!$B$10,Paramètres!$A$1:$I$89,5,0)</f>
        <v>159.4632</v>
      </c>
      <c r="AK36" s="13">
        <f t="shared" si="35"/>
        <v>40.721414997173845</v>
      </c>
      <c r="AL36" s="20">
        <f t="shared" si="4"/>
        <v>348.65487112007776</v>
      </c>
      <c r="AM36" s="59">
        <f t="shared" si="5"/>
        <v>641.98820445341107</v>
      </c>
      <c r="AN36" s="59">
        <f ca="1">AVERAGE(OFFSET($AM$3,0,0,'Données projet'!$E$10+1,1))-AVERAGE(OFFSET($H$3,0,0,'Données projet'!$E$10+1,1))</f>
        <v>360.05819346986135</v>
      </c>
      <c r="AO36" s="59">
        <f t="shared" si="36"/>
        <v>300.47468388351081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38.930594779444803</v>
      </c>
      <c r="AW36" s="21">
        <f>EXP(-LN(2)/2)*AW35+(1-EXP(-LN(2)/2))/(LN(2)/2)*AQ36*AT36*VLOOKUP('Données projet'!$B$10,Paramètres!$A$1:$I$89,3,0)*0.475*44/12</f>
        <v>1.8539105292981469E-2</v>
      </c>
      <c r="AX36" s="21">
        <f t="shared" si="6"/>
        <v>38.949133884737783</v>
      </c>
      <c r="AY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13.2</v>
      </c>
      <c r="BD36" s="12">
        <f>IF('Données projet'!$A$88&gt;35,BD35+BC36-BL35,IF(A36&lt;'Données projet'!$A$88,$BA$205^A36,IF(A36='Données projet'!$A$88,'Données projet'!$B$88,BD35+BC36-BL35)))</f>
        <v>142.59999999999991</v>
      </c>
      <c r="BE36" s="13">
        <f>BD36*VLOOKUP('Données projet'!$B$11,Paramètres!$A$1:$I$89,3,0)*VLOOKUP('Données projet'!$B$11,Paramètres!$A$1:$I$89,5,0)</f>
        <v>81.567199999999943</v>
      </c>
      <c r="BF36" s="13">
        <f t="shared" si="37"/>
        <v>22.519938940579493</v>
      </c>
      <c r="BG36" s="20">
        <f t="shared" si="7"/>
        <v>181.28510032150919</v>
      </c>
      <c r="BH36" s="59">
        <f t="shared" si="8"/>
        <v>474.61843365484253</v>
      </c>
      <c r="BI36" s="59">
        <f ca="1">AVERAGE(OFFSET($BH$3,0,0,'Données projet'!$E$11+1,1))-AVERAGE(OFFSET($H$3,0,0,'Données projet'!$E$11+1,1))</f>
        <v>250.90038883668348</v>
      </c>
      <c r="BJ36" s="59">
        <f t="shared" si="38"/>
        <v>141.96132114475608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10.953880172005739</v>
      </c>
      <c r="BR36" s="21">
        <f>EXP(-LN(2)/2)*BR35+(1-EXP(-LN(2)/2))/(LN(2)/2)*BL36*BO36*VLOOKUP('Données projet'!$B$11,Paramètres!$A$1:$I$89,3,0)*0.475*44/12</f>
        <v>1.3357510530068488</v>
      </c>
      <c r="BS36" s="22">
        <f t="shared" si="9"/>
        <v>12.289631225012588</v>
      </c>
      <c r="BT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12.8</v>
      </c>
      <c r="BY36" s="12">
        <f>IF('Données projet'!$A$114&gt;35,BY35+BX36-CG35,IF(A36&lt;'Données projet'!$A$114,$BV$205^A36,IF(A36='Données projet'!$A$114,'Données projet'!$B$114,BY35+BX36-CG35)))</f>
        <v>180.39999999999995</v>
      </c>
      <c r="BZ36" s="13">
        <f>BY36*VLOOKUP('Données projet'!$B$12,Paramètres!$A$1:$I$89,3,0)*VLOOKUP('Données projet'!$B$12,Paramètres!$A$1:$I$89,5,0)</f>
        <v>143.52623999999997</v>
      </c>
      <c r="CA36" s="13">
        <f t="shared" si="39"/>
        <v>37.103644337236275</v>
      </c>
      <c r="CB36" s="20">
        <f t="shared" si="10"/>
        <v>314.59704855401981</v>
      </c>
      <c r="CC36" s="59">
        <f t="shared" si="11"/>
        <v>607.93038188735318</v>
      </c>
      <c r="CD36" s="59">
        <f ca="1">AVERAGE(OFFSET($CC$3,0,0,'Données projet'!$E$12+1,1))-AVERAGE(OFFSET($H$3,0,0,'Données projet'!$E$12+1,1))</f>
        <v>279.49721661620544</v>
      </c>
      <c r="CE36" s="59">
        <f t="shared" si="40"/>
        <v>275.18739333988754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28.2</v>
      </c>
      <c r="CT36" s="12">
        <f>IF('Données projet'!$A$140&gt;35,CT35+CS36-DB35,IF(A36&lt;'Données projet'!$A$140,$CQ$205^A36,IF(A36='Données projet'!$A$140,'Données projet'!$B$140,CT35+CS36-DB35)))</f>
        <v>356.60000000000008</v>
      </c>
      <c r="CU36" s="17">
        <f>CT36*VLOOKUP('Données projet'!$B$13,Paramètres!$A$1:$I$89,3,0)*VLOOKUP('Données projet'!$B$13,Paramètres!$A$1:$I$89,5,0)</f>
        <v>176.16040000000007</v>
      </c>
      <c r="CV36" s="13">
        <f t="shared" si="41"/>
        <v>44.46687687809731</v>
      </c>
      <c r="CW36" s="20">
        <f t="shared" si="13"/>
        <v>384.2591738960196</v>
      </c>
      <c r="CX36" s="59">
        <f t="shared" si="14"/>
        <v>677.59250722935292</v>
      </c>
      <c r="CY36" s="59">
        <f ca="1">AVERAGE(OFFSET($CX$3,0,0,'Données projet'!$E$13+1,1))-AVERAGE(OFFSET($H$3,0,0,'Données projet'!$E$13+1,1))</f>
        <v>396.27049617044378</v>
      </c>
      <c r="CZ36" s="59">
        <f t="shared" si="42"/>
        <v>335.2680289568774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43.256216421605338</v>
      </c>
      <c r="DH36" s="21">
        <f>EXP(-LN(2)/2)*DH35+(1-EXP(-LN(2)/2))/(LN(2)/2)*DB36*DE36*VLOOKUP('Données projet'!$B$13,Paramètres!$A$1:$I$89,3,0)*0.475*44/12</f>
        <v>0.13595343881519753</v>
      </c>
      <c r="DI36" s="22">
        <f t="shared" si="15"/>
        <v>43.392169860420537</v>
      </c>
      <c r="DJ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16.2</v>
      </c>
      <c r="DO36" s="12">
        <f>IF('Données projet'!$A$166&gt;35,DO35+DN36-DW35,IF(A36&lt;'Données projet'!$A$166,$DL$205^A36,IF(A36='Données projet'!$A$166,'Données projet'!$B$166,DO35+DN36-DW35)))</f>
        <v>179.59999999999994</v>
      </c>
      <c r="DP36" s="17">
        <f>DO36*VLOOKUP('Données projet'!$B$14,Paramètres!$A$1:$I$89,3,0)*VLOOKUP('Données projet'!$B$14,Paramètres!$A$1:$I$89,5,0)</f>
        <v>102.73119999999997</v>
      </c>
      <c r="DQ36" s="13">
        <f t="shared" si="43"/>
        <v>27.611644369626234</v>
      </c>
      <c r="DR36" s="20">
        <f t="shared" si="16"/>
        <v>227.013787277099</v>
      </c>
      <c r="DS36" s="59">
        <f t="shared" si="17"/>
        <v>520.34712061043228</v>
      </c>
      <c r="DT36" s="59">
        <f ca="1">AVERAGE(OFFSET($DS$3,0,0,'Données projet'!$E$14+1,1))-AVERAGE(OFFSET($H$3,0,0,'Données projet'!$E$14+1,1))</f>
        <v>307.43900954374504</v>
      </c>
      <c r="DU36" s="59">
        <f t="shared" si="44"/>
        <v>185.25270859048999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24.587744071228297</v>
      </c>
      <c r="EC36" s="21">
        <f>EXP(-LN(2)/2)*EC35+(1-EXP(-LN(2)/2))/(LN(2)/2)*DW36*DZ36*VLOOKUP('Données projet'!$B$14,Paramètres!$A$1:$I$89,3,0)*0.475*44/12</f>
        <v>0.12879799466702918</v>
      </c>
      <c r="ED36" s="22">
        <f t="shared" si="18"/>
        <v>24.716542065895325</v>
      </c>
      <c r="EE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14.6</v>
      </c>
      <c r="EJ36" s="12">
        <f>IF('Données projet'!$A$192&gt;35,EJ35+EI36-ER35,IF(A36&lt;'Données projet'!$A$192,$EG$205^A36,IF(A36='Données projet'!$A$192,'Données projet'!$B$192,EJ35+EI36-ER35)))</f>
        <v>261.2000000000001</v>
      </c>
      <c r="EK36" s="17">
        <f>EJ36*VLOOKUP('Données projet'!$B$15,Paramètres!$A$1:$I$89,3,0)*VLOOKUP('Données projet'!$B$15,Paramètres!$A$1:$I$89,5,0)</f>
        <v>162.98880000000005</v>
      </c>
      <c r="EL36" s="13">
        <f t="shared" si="45"/>
        <v>41.515919734048659</v>
      </c>
      <c r="EM36" s="20">
        <f t="shared" si="19"/>
        <v>356.17905353680152</v>
      </c>
      <c r="EN36" s="59">
        <f t="shared" si="20"/>
        <v>649.51238687013483</v>
      </c>
      <c r="EO36" s="59">
        <f ca="1">AVERAGE(OFFSET($EN$3,0,0,'Données projet'!$E$15+1,1))-AVERAGE(OFFSET($H$3,0,0,'Données projet'!$E$15+1,1))</f>
        <v>269.77739619445515</v>
      </c>
      <c r="EP36" s="59">
        <f t="shared" si="46"/>
        <v>347.56964743629885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84.420032084078457</v>
      </c>
      <c r="EX36" s="21">
        <f>EXP(-LN(2)/2)*EX35+(1-EXP(-LN(2)/2))/(LN(2)/2)*ER36*EU36*VLOOKUP('Données projet'!$B$15,Paramètres!$A$1:$I$89,3,0)*0.475*44/12</f>
        <v>8.7816814545701727E-3</v>
      </c>
      <c r="EY36" s="22">
        <f t="shared" si="21"/>
        <v>84.428813765533022</v>
      </c>
      <c r="EZ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15.2</v>
      </c>
      <c r="FE36" s="12">
        <f>IF('Données projet'!$A$218&gt;35,FE35+FD36-FM35,IF(A36&lt;'Données projet'!$A$218,$FB$205^A36,IF(A36='Données projet'!$A$218,'Données projet'!$B$218,FE35+FD36-FM35)))</f>
        <v>208.60000000000002</v>
      </c>
      <c r="FF36" s="17">
        <f>FE36*VLOOKUP('Données projet'!$B$16,Paramètres!$A$1:$I$89,3,0)*VLOOKUP('Données projet'!$B$16,Paramètres!$A$1:$I$89,5,0)</f>
        <v>165.96216000000001</v>
      </c>
      <c r="FG36" s="13">
        <f t="shared" si="47"/>
        <v>42.184420424142857</v>
      </c>
      <c r="FH36" s="20">
        <f t="shared" si="22"/>
        <v>362.52196090538217</v>
      </c>
      <c r="FI36" s="59">
        <f t="shared" si="23"/>
        <v>655.85529423871549</v>
      </c>
      <c r="FJ36" s="59">
        <f ca="1">AVERAGE(OFFSET($FI$3,0,0,'Données projet'!$E$16+1,1))-AVERAGE(OFFSET($H$3,0,0,'Données projet'!$E$16+1,1))</f>
        <v>331.52724290297675</v>
      </c>
      <c r="FK36" s="59">
        <f t="shared" si="48"/>
        <v>322.79102610158054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30.8</v>
      </c>
      <c r="FZ36" s="12">
        <f>IF('Données projet'!$A$244&gt;35,FZ35+FY36-GH35,IF(A36&lt;'Données projet'!$A$244,$FW$205^A36,IF(A36='Données projet'!$A$244,'Données projet'!$B$244,FZ35+FY36-GH35)))</f>
        <v>391.40000000000009</v>
      </c>
      <c r="GA36" s="17">
        <f>FZ36*VLOOKUP('Données projet'!$B$17,Paramètres!$A$1:$I$89,3,0)*VLOOKUP('Données projet'!$B$17,Paramètres!$A$1:$I$89,5,0)</f>
        <v>193.35160000000005</v>
      </c>
      <c r="GB36" s="13">
        <f t="shared" si="49"/>
        <v>48.280188235092567</v>
      </c>
      <c r="GC36" s="20">
        <f t="shared" si="25"/>
        <v>420.84203117611963</v>
      </c>
      <c r="GD36" s="59">
        <f t="shared" si="26"/>
        <v>714.17536450945295</v>
      </c>
      <c r="GE36" s="59">
        <f ca="1">AVERAGE(OFFSET($GD$3,0,0,'Données projet'!$E$17+1,1))-AVERAGE(OFFSET($H$3,0,0,'Données projet'!$E$17+1,1))</f>
        <v>434.08297999735811</v>
      </c>
      <c r="GF36" s="59">
        <f t="shared" si="50"/>
        <v>371.04090283546122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47.581838063765872</v>
      </c>
      <c r="GN36" s="21">
        <f>EXP(-LN(2)/2)*GN35+(1-EXP(-LN(2)/2))/(LN(2)/2)*GH36*GK36*VLOOKUP('Données projet'!$B$17,Paramètres!$A$1:$I$89,3,0)*0.475*44/12</f>
        <v>0.26572717586606776</v>
      </c>
      <c r="GO36" s="21">
        <f t="shared" si="27"/>
        <v>47.84756523963194</v>
      </c>
      <c r="GP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18.600000000000001</v>
      </c>
      <c r="GU36" s="12">
        <f>IF('Données projet'!$A$270&gt;35,GU35+GT36-HC35,IF(A36&lt;'Données projet'!$A$270,$GR$205^A36,IF(A36='Données projet'!$A$270,'Données projet'!$B$270,GU35+GT36-HC35)))</f>
        <v>217.79999999999995</v>
      </c>
      <c r="GV36" s="17">
        <f>GU36*VLOOKUP('Données projet'!$B$18,Paramètres!$A$1:$I$89,3,0)*VLOOKUP('Données projet'!$B$18,Paramètres!$A$1:$I$89,5,0)</f>
        <v>124.58159999999998</v>
      </c>
      <c r="GW36" s="13">
        <f t="shared" si="51"/>
        <v>32.741240854072821</v>
      </c>
      <c r="GX36" s="20">
        <f t="shared" si="28"/>
        <v>274.00394782084345</v>
      </c>
      <c r="GY36" s="59">
        <f t="shared" si="29"/>
        <v>567.33728115417671</v>
      </c>
      <c r="GZ36" s="59">
        <f ca="1">AVERAGE(OFFSET($GY$3,0,0,'Données projet'!$E$18+1,1))-AVERAGE(OFFSET($H$3,0,0,'Données projet'!$E$18+1,1))</f>
        <v>362.57172983134313</v>
      </c>
      <c r="HA36" s="59">
        <f t="shared" si="52"/>
        <v>232.03250917542471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28.685701416433012</v>
      </c>
      <c r="HI36" s="21">
        <f>EXP(-LN(2)/2)*HI35+(1-EXP(-LN(2)/2))/(LN(2)/2)*HC36*HF36*VLOOKUP('Données projet'!$B$18,Paramètres!$A$1:$I$89,3,0)*0.475*44/12</f>
        <v>0.26475143348222657</v>
      </c>
      <c r="HJ36" s="22">
        <f t="shared" si="30"/>
        <v>28.950452849915241</v>
      </c>
    </row>
    <row r="37" spans="1:218" x14ac:dyDescent="0.3">
      <c r="A37" s="10">
        <f t="shared" si="31"/>
        <v>34</v>
      </c>
      <c r="B37" s="71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5">
        <f t="shared" si="1"/>
        <v>331.29801105474394</v>
      </c>
      <c r="I37" s="6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161.20000000000002</v>
      </c>
      <c r="O37" s="13">
        <f>N37*VLOOKUP('Données projet'!$B$9,Paramètres!$A$1:$I$89,3,0)*VLOOKUP('Données projet'!$B$9,Paramètres!$A$1:$I$89,5,0)</f>
        <v>128.25072</v>
      </c>
      <c r="P37" s="13">
        <f t="shared" si="33"/>
        <v>33.591833937449593</v>
      </c>
      <c r="Q37" s="20">
        <f t="shared" si="53"/>
        <v>281.875781441058</v>
      </c>
      <c r="R37" s="59">
        <f t="shared" si="0"/>
        <v>575.20911477439131</v>
      </c>
      <c r="S37" s="59">
        <f ca="1">AVERAGE(OFFSET($R$3,0,0,'Données projet'!$E$9+1,1))-AVERAGE(OFFSET($H$3,0,0,'Données projet'!$E$9+1,1))</f>
        <v>225.2323446080772</v>
      </c>
      <c r="T37" s="59">
        <f t="shared" si="34"/>
        <v>222.29030402759292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25.6</v>
      </c>
      <c r="AI37" s="13">
        <f>IF('Données projet'!$A$62&gt;35,AI36+AH37-AQ36,IF(A37&lt;'Données projet'!$A$62,$AF$205^A37,IF(A37='Données projet'!$A$62,'Données projet'!$B$62,AI36+AH37-AQ36)))</f>
        <v>348.40000000000003</v>
      </c>
      <c r="AJ37" s="13">
        <f>AI37*VLOOKUP('Données projet'!$B$10,Paramètres!$A$1:$I$89,3,0)*VLOOKUP('Données projet'!$B$10,Paramètres!$A$1:$I$89,5,0)</f>
        <v>172.10960000000003</v>
      </c>
      <c r="AK37" s="13">
        <f t="shared" si="35"/>
        <v>43.562164135323997</v>
      </c>
      <c r="AL37" s="20">
        <f t="shared" si="4"/>
        <v>375.62832253568928</v>
      </c>
      <c r="AM37" s="59">
        <f t="shared" si="5"/>
        <v>668.96165586902259</v>
      </c>
      <c r="AN37" s="59">
        <f ca="1">AVERAGE(OFFSET($AM$3,0,0,'Données projet'!$E$10+1,1))-AVERAGE(OFFSET($H$3,0,0,'Données projet'!$E$10+1,1))</f>
        <v>360.05819346986135</v>
      </c>
      <c r="AO37" s="59">
        <f t="shared" si="36"/>
        <v>300.47468388351081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37.866035617929882</v>
      </c>
      <c r="AW37" s="21">
        <f>EXP(-LN(2)/2)*AW36+(1-EXP(-LN(2)/2))/(LN(2)/2)*AQ37*AT37*VLOOKUP('Données projet'!$B$10,Paramètres!$A$1:$I$89,3,0)*0.475*44/12</f>
        <v>1.3109127069798613E-2</v>
      </c>
      <c r="AX37" s="21">
        <f t="shared" si="6"/>
        <v>37.879144744999678</v>
      </c>
      <c r="AY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13.2</v>
      </c>
      <c r="BD37" s="12">
        <f>IF('Données projet'!$A$88&gt;35,BD36+BC37-BL36,IF(A37&lt;'Données projet'!$A$88,$BA$205^A37,IF(A37='Données projet'!$A$88,'Données projet'!$B$88,BD36+BC37-BL36)))</f>
        <v>155.7999999999999</v>
      </c>
      <c r="BE37" s="13">
        <f>BD37*VLOOKUP('Données projet'!$B$11,Paramètres!$A$1:$I$89,3,0)*VLOOKUP('Données projet'!$B$11,Paramètres!$A$1:$I$89,5,0)</f>
        <v>89.117599999999939</v>
      </c>
      <c r="BF37" s="13">
        <f t="shared" si="37"/>
        <v>24.352289481248203</v>
      </c>
      <c r="BG37" s="20">
        <f t="shared" si="7"/>
        <v>197.62672417984052</v>
      </c>
      <c r="BH37" s="59">
        <f t="shared" si="8"/>
        <v>490.96005751317387</v>
      </c>
      <c r="BI37" s="59">
        <f ca="1">AVERAGE(OFFSET($BH$3,0,0,'Données projet'!$E$11+1,1))-AVERAGE(OFFSET($H$3,0,0,'Données projet'!$E$11+1,1))</f>
        <v>250.90038883668348</v>
      </c>
      <c r="BJ37" s="59">
        <f t="shared" si="38"/>
        <v>141.96132114475608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10.65434574266272</v>
      </c>
      <c r="BR37" s="21">
        <f>EXP(-LN(2)/2)*BR36+(1-EXP(-LN(2)/2))/(LN(2)/2)*BL37*BO37*VLOOKUP('Données projet'!$B$11,Paramètres!$A$1:$I$89,3,0)*0.475*44/12</f>
        <v>0.94451862755821436</v>
      </c>
      <c r="BS37" s="22">
        <f t="shared" si="9"/>
        <v>11.598864370220934</v>
      </c>
      <c r="BT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12.8</v>
      </c>
      <c r="BY37" s="12">
        <f>IF('Données projet'!$A$114&gt;35,BY36+BX37-CG36,IF(A37&lt;'Données projet'!$A$114,$BV$205^A37,IF(A37='Données projet'!$A$114,'Données projet'!$B$114,BY36+BX37-CG36)))</f>
        <v>193.19999999999996</v>
      </c>
      <c r="BZ37" s="13">
        <f>BY37*VLOOKUP('Données projet'!$B$12,Paramètres!$A$1:$I$89,3,0)*VLOOKUP('Données projet'!$B$12,Paramètres!$A$1:$I$89,5,0)</f>
        <v>153.70991999999998</v>
      </c>
      <c r="CA37" s="13">
        <f t="shared" si="39"/>
        <v>39.420475690379831</v>
      </c>
      <c r="CB37" s="20">
        <f t="shared" si="10"/>
        <v>336.3687724940782</v>
      </c>
      <c r="CC37" s="59">
        <f t="shared" si="11"/>
        <v>629.70210582741151</v>
      </c>
      <c r="CD37" s="59">
        <f ca="1">AVERAGE(OFFSET($CC$3,0,0,'Données projet'!$E$12+1,1))-AVERAGE(OFFSET($H$3,0,0,'Données projet'!$E$12+1,1))</f>
        <v>279.49721661620544</v>
      </c>
      <c r="CE37" s="59">
        <f t="shared" si="40"/>
        <v>275.18739333988754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28.2</v>
      </c>
      <c r="CT37" s="12">
        <f>IF('Données projet'!$A$140&gt;35,CT36+CS37-DB36,IF(A37&lt;'Données projet'!$A$140,$CQ$205^A37,IF(A37='Données projet'!$A$140,'Données projet'!$B$140,CT36+CS37-DB36)))</f>
        <v>384.80000000000007</v>
      </c>
      <c r="CU37" s="17">
        <f>CT37*VLOOKUP('Données projet'!$B$13,Paramètres!$A$1:$I$89,3,0)*VLOOKUP('Données projet'!$B$13,Paramètres!$A$1:$I$89,5,0)</f>
        <v>190.09120000000004</v>
      </c>
      <c r="CV37" s="13">
        <f t="shared" si="41"/>
        <v>47.560115313177285</v>
      </c>
      <c r="CW37" s="20">
        <f t="shared" si="13"/>
        <v>413.90937417045046</v>
      </c>
      <c r="CX37" s="59">
        <f t="shared" si="14"/>
        <v>707.24270750378378</v>
      </c>
      <c r="CY37" s="59">
        <f ca="1">AVERAGE(OFFSET($CX$3,0,0,'Données projet'!$E$13+1,1))-AVERAGE(OFFSET($H$3,0,0,'Données projet'!$E$13+1,1))</f>
        <v>396.27049617044378</v>
      </c>
      <c r="CZ37" s="59">
        <f t="shared" si="42"/>
        <v>335.2680289568774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42.073372908810981</v>
      </c>
      <c r="DH37" s="21">
        <f>EXP(-LN(2)/2)*DH36+(1-EXP(-LN(2)/2))/(LN(2)/2)*DB37*DE37*VLOOKUP('Données projet'!$B$13,Paramètres!$A$1:$I$89,3,0)*0.475*44/12</f>
        <v>9.6133598511856558E-2</v>
      </c>
      <c r="DI37" s="22">
        <f t="shared" si="15"/>
        <v>42.169506507322836</v>
      </c>
      <c r="DJ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16.2</v>
      </c>
      <c r="DO37" s="12">
        <f>IF('Données projet'!$A$166&gt;35,DO36+DN37-DW36,IF(A37&lt;'Données projet'!$A$166,$DL$205^A37,IF(A37='Données projet'!$A$166,'Données projet'!$B$166,DO36+DN37-DW36)))</f>
        <v>195.79999999999993</v>
      </c>
      <c r="DP37" s="17">
        <f>DO37*VLOOKUP('Données projet'!$B$14,Paramètres!$A$1:$I$89,3,0)*VLOOKUP('Données projet'!$B$14,Paramètres!$A$1:$I$89,5,0)</f>
        <v>111.99759999999996</v>
      </c>
      <c r="DQ37" s="13">
        <f t="shared" si="43"/>
        <v>29.801140607184838</v>
      </c>
      <c r="DR37" s="20">
        <f t="shared" si="16"/>
        <v>246.96613989084688</v>
      </c>
      <c r="DS37" s="59">
        <f t="shared" si="17"/>
        <v>540.29947322418025</v>
      </c>
      <c r="DT37" s="59">
        <f ca="1">AVERAGE(OFFSET($DS$3,0,0,'Données projet'!$E$14+1,1))-AVERAGE(OFFSET($H$3,0,0,'Données projet'!$E$14+1,1))</f>
        <v>307.43900954374504</v>
      </c>
      <c r="DU37" s="59">
        <f t="shared" si="44"/>
        <v>185.25270859048999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23.915390916587295</v>
      </c>
      <c r="EC37" s="21">
        <f>EXP(-LN(2)/2)*EC36+(1-EXP(-LN(2)/2))/(LN(2)/2)*DW37*DZ37*VLOOKUP('Données projet'!$B$14,Paramètres!$A$1:$I$89,3,0)*0.475*44/12</f>
        <v>9.1073935432285119E-2</v>
      </c>
      <c r="ED37" s="22">
        <f t="shared" si="18"/>
        <v>24.00646485201958</v>
      </c>
      <c r="EE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14.6</v>
      </c>
      <c r="EJ37" s="12">
        <f>IF('Données projet'!$A$192&gt;35,EJ36+EI37-ER36,IF(A37&lt;'Données projet'!$A$192,$EG$205^A37,IF(A37='Données projet'!$A$192,'Données projet'!$B$192,EJ36+EI37-ER36)))</f>
        <v>275.80000000000013</v>
      </c>
      <c r="EK37" s="17">
        <f>EJ37*VLOOKUP('Données projet'!$B$15,Paramètres!$A$1:$I$89,3,0)*VLOOKUP('Données projet'!$B$15,Paramètres!$A$1:$I$89,5,0)</f>
        <v>172.09920000000005</v>
      </c>
      <c r="EL37" s="13">
        <f t="shared" si="45"/>
        <v>43.559838214506989</v>
      </c>
      <c r="EM37" s="20">
        <f t="shared" si="19"/>
        <v>375.60615822359978</v>
      </c>
      <c r="EN37" s="59">
        <f t="shared" si="20"/>
        <v>668.93949155693304</v>
      </c>
      <c r="EO37" s="59">
        <f ca="1">AVERAGE(OFFSET($EN$3,0,0,'Données projet'!$E$15+1,1))-AVERAGE(OFFSET($H$3,0,0,'Données projet'!$E$15+1,1))</f>
        <v>269.77739619445515</v>
      </c>
      <c r="EP37" s="59">
        <f t="shared" si="46"/>
        <v>347.56964743629885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82.111561867282788</v>
      </c>
      <c r="EX37" s="21">
        <f>EXP(-LN(2)/2)*EX36+(1-EXP(-LN(2)/2))/(LN(2)/2)*ER37*EU37*VLOOKUP('Données projet'!$B$15,Paramètres!$A$1:$I$89,3,0)*0.475*44/12</f>
        <v>6.2095865067467136E-3</v>
      </c>
      <c r="EY37" s="22">
        <f t="shared" si="21"/>
        <v>82.11777145378953</v>
      </c>
      <c r="EZ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15.2</v>
      </c>
      <c r="FE37" s="12">
        <f>IF('Données projet'!$A$218&gt;35,FE36+FD37-FM36,IF(A37&lt;'Données projet'!$A$218,$FB$205^A37,IF(A37='Données projet'!$A$218,'Données projet'!$B$218,FE36+FD37-FM36)))</f>
        <v>223.8</v>
      </c>
      <c r="FF37" s="17">
        <f>FE37*VLOOKUP('Données projet'!$B$16,Paramètres!$A$1:$I$89,3,0)*VLOOKUP('Données projet'!$B$16,Paramètres!$A$1:$I$89,5,0)</f>
        <v>178.05528000000001</v>
      </c>
      <c r="FG37" s="13">
        <f t="shared" si="47"/>
        <v>44.889248639558041</v>
      </c>
      <c r="FH37" s="20">
        <f t="shared" si="22"/>
        <v>388.29505404723028</v>
      </c>
      <c r="FI37" s="59">
        <f t="shared" si="23"/>
        <v>681.62838738056359</v>
      </c>
      <c r="FJ37" s="59">
        <f ca="1">AVERAGE(OFFSET($FI$3,0,0,'Données projet'!$E$16+1,1))-AVERAGE(OFFSET($H$3,0,0,'Données projet'!$E$16+1,1))</f>
        <v>331.52724290297675</v>
      </c>
      <c r="FK37" s="59">
        <f t="shared" si="48"/>
        <v>322.79102610158054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30.8</v>
      </c>
      <c r="FZ37" s="12">
        <f>IF('Données projet'!$A$244&gt;35,FZ36+FY37-GH36,IF(A37&lt;'Données projet'!$A$244,$FW$205^A37,IF(A37='Données projet'!$A$244,'Données projet'!$B$244,FZ36+FY37-GH36)))</f>
        <v>422.2000000000001</v>
      </c>
      <c r="GA37" s="17">
        <f>FZ37*VLOOKUP('Données projet'!$B$17,Paramètres!$A$1:$I$89,3,0)*VLOOKUP('Données projet'!$B$17,Paramètres!$A$1:$I$89,5,0)</f>
        <v>208.56680000000006</v>
      </c>
      <c r="GB37" s="13">
        <f t="shared" si="49"/>
        <v>51.622270722899735</v>
      </c>
      <c r="GC37" s="20">
        <f t="shared" si="25"/>
        <v>453.16263150905041</v>
      </c>
      <c r="GD37" s="59">
        <f t="shared" si="26"/>
        <v>746.49596484238373</v>
      </c>
      <c r="GE37" s="59">
        <f ca="1">AVERAGE(OFFSET($GD$3,0,0,'Données projet'!$E$17+1,1))-AVERAGE(OFFSET($H$3,0,0,'Données projet'!$E$17+1,1))</f>
        <v>434.08297999735811</v>
      </c>
      <c r="GF37" s="59">
        <f t="shared" si="50"/>
        <v>371.04090283546122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46.280710199692081</v>
      </c>
      <c r="GN37" s="21">
        <f>EXP(-LN(2)/2)*GN36+(1-EXP(-LN(2)/2))/(LN(2)/2)*GH37*GK37*VLOOKUP('Données projet'!$B$17,Paramètres!$A$1:$I$89,3,0)*0.475*44/12</f>
        <v>0.18789748800044681</v>
      </c>
      <c r="GO37" s="21">
        <f t="shared" si="27"/>
        <v>46.468607687692526</v>
      </c>
      <c r="GP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18.600000000000001</v>
      </c>
      <c r="GU37" s="12">
        <f>IF('Données projet'!$A$270&gt;35,GU36+GT37-HC36,IF(A37&lt;'Données projet'!$A$270,$GR$205^A37,IF(A37='Données projet'!$A$270,'Données projet'!$B$270,GU36+GT37-HC36)))</f>
        <v>236.39999999999995</v>
      </c>
      <c r="GV37" s="17">
        <f>GU37*VLOOKUP('Données projet'!$B$18,Paramètres!$A$1:$I$89,3,0)*VLOOKUP('Données projet'!$B$18,Paramètres!$A$1:$I$89,5,0)</f>
        <v>135.22079999999997</v>
      </c>
      <c r="GW37" s="13">
        <f t="shared" si="51"/>
        <v>35.199954520451797</v>
      </c>
      <c r="GX37" s="20">
        <f t="shared" si="28"/>
        <v>296.81614745645351</v>
      </c>
      <c r="GY37" s="59">
        <f t="shared" si="29"/>
        <v>590.14948078978682</v>
      </c>
      <c r="GZ37" s="59">
        <f ca="1">AVERAGE(OFFSET($GY$3,0,0,'Données projet'!$E$18+1,1))-AVERAGE(OFFSET($H$3,0,0,'Données projet'!$E$18+1,1))</f>
        <v>362.57172983134313</v>
      </c>
      <c r="HA37" s="59">
        <f t="shared" si="52"/>
        <v>232.03250917542471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27.901289402685176</v>
      </c>
      <c r="HI37" s="21">
        <f>EXP(-LN(2)/2)*HI36+(1-EXP(-LN(2)/2))/(LN(2)/2)*HC37*HF37*VLOOKUP('Données projet'!$B$18,Paramètres!$A$1:$I$89,3,0)*0.475*44/12</f>
        <v>0.18720753394414158</v>
      </c>
      <c r="HJ37" s="22">
        <f t="shared" si="30"/>
        <v>28.088496936629319</v>
      </c>
    </row>
    <row r="38" spans="1:218" x14ac:dyDescent="0.3">
      <c r="A38" s="10">
        <f t="shared" si="31"/>
        <v>35</v>
      </c>
      <c r="B38" s="71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5">
        <f t="shared" si="1"/>
        <v>332.38174191836544</v>
      </c>
      <c r="I38" s="6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172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172.00000000000003</v>
      </c>
      <c r="O38" s="13">
        <f>N38*VLOOKUP('Données projet'!$B$9,Paramètres!$A$1:$I$89,3,0)*VLOOKUP('Données projet'!$B$9,Paramètres!$A$1:$I$89,5,0)</f>
        <v>136.84320000000002</v>
      </c>
      <c r="P38" s="13">
        <f t="shared" si="33"/>
        <v>35.572869837729648</v>
      </c>
      <c r="Q38" s="20">
        <f t="shared" si="53"/>
        <v>300.2913216340458</v>
      </c>
      <c r="R38" s="59">
        <f t="shared" si="0"/>
        <v>593.62465496737912</v>
      </c>
      <c r="S38" s="59">
        <f ca="1">AVERAGE(OFFSET($R$3,0,0,'Données projet'!$E$9+1,1))-AVERAGE(OFFSET($H$3,0,0,'Données projet'!$E$9+1,1))</f>
        <v>225.2323446080772</v>
      </c>
      <c r="T38" s="59">
        <f t="shared" si="34"/>
        <v>222.29030402759292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0.53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13.051961551913202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13.051961551913202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374</v>
      </c>
      <c r="AG38" s="12">
        <f>VLOOKUP(A38,'Données projet'!$A$61:$I$81,9,0)</f>
        <v>25.6</v>
      </c>
      <c r="AH38" s="12">
        <f t="array" ref="AH38">INDEX(AG:AG,MIN(IF(ISNUMBER(AG38:AG234),ROW(AG38:AG234),"")))</f>
        <v>25.6</v>
      </c>
      <c r="AI38" s="13">
        <f>IF('Données projet'!$A$62&gt;35,AI37+AH38-AQ37,IF(A38&lt;'Données projet'!$A$62,$AF$205^A38,IF(A38='Données projet'!$A$62,'Données projet'!$B$62,AI37+AH38-AQ37)))</f>
        <v>374.00000000000006</v>
      </c>
      <c r="AJ38" s="13">
        <f>AI38*VLOOKUP('Données projet'!$B$10,Paramètres!$A$1:$I$89,3,0)*VLOOKUP('Données projet'!$B$10,Paramètres!$A$1:$I$89,5,0)</f>
        <v>184.75600000000006</v>
      </c>
      <c r="AK38" s="13">
        <f t="shared" si="35"/>
        <v>46.378697169162017</v>
      </c>
      <c r="AL38" s="20">
        <f t="shared" si="4"/>
        <v>402.55959756962392</v>
      </c>
      <c r="AM38" s="59">
        <f t="shared" si="5"/>
        <v>695.89293090295723</v>
      </c>
      <c r="AN38" s="59">
        <f ca="1">AVERAGE(OFFSET($AM$3,0,0,'Données projet'!$E$10+1,1))-AVERAGE(OFFSET($H$3,0,0,'Données projet'!$E$10+1,1))</f>
        <v>360.05819346986135</v>
      </c>
      <c r="AO38" s="59">
        <f t="shared" si="36"/>
        <v>300.47468388351081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63</v>
      </c>
      <c r="AR38" s="16">
        <f>IF(ISNA(VLOOKUP(A38,'Données projet'!$A$61:$I$81,5,0)),0%,VLOOKUP(A38,'Données projet'!$A$61:$I$81,5,0)*VLOOKUP('Données projet'!$B$10,Paramètres!$A$1:$I$89,7,0))</f>
        <v>0.55000000000000004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22.706936440204156</v>
      </c>
      <c r="AV38" s="21">
        <f>EXP(-LN(2)/25)*AV37+(1-EXP(-LN(2)/25))/(LN(2)/25)*Calculateur!AQ38*Calculateur!AS38*VLOOKUP('Données projet'!$B$10,Paramètres!$A$1:$I$89,3,0)*0.475*44/12</f>
        <v>36.830586882669323</v>
      </c>
      <c r="AW38" s="21">
        <f>EXP(-LN(2)/2)*AW37+(1-EXP(-LN(2)/2))/(LN(2)/2)*AQ38*AT38*VLOOKUP('Données projet'!$B$10,Paramètres!$A$1:$I$89,3,0)*0.475*44/12</f>
        <v>9.2695526464907346E-3</v>
      </c>
      <c r="AX38" s="21">
        <f t="shared" si="6"/>
        <v>59.546792875519976</v>
      </c>
      <c r="AY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169</v>
      </c>
      <c r="BB38" s="12">
        <f>VLOOKUP(A38,'Données projet'!$A$87:$I$107,9,0)</f>
        <v>13.2</v>
      </c>
      <c r="BC38" s="12">
        <f t="array" ref="BC38">INDEX(BB:BB,MIN(IF(ISNUMBER(BB38:BB234),ROW(BB38:BB234),"")))</f>
        <v>13.2</v>
      </c>
      <c r="BD38" s="12">
        <f>IF('Données projet'!$A$88&gt;35,BD37+BC38-BL37,IF(A38&lt;'Données projet'!$A$88,$BA$205^A38,IF(A38='Données projet'!$A$88,'Données projet'!$B$88,BD37+BC38-BL37)))</f>
        <v>168.99999999999989</v>
      </c>
      <c r="BE38" s="13">
        <f>BD38*VLOOKUP('Données projet'!$B$11,Paramètres!$A$1:$I$89,3,0)*VLOOKUP('Données projet'!$B$11,Paramètres!$A$1:$I$89,5,0)</f>
        <v>96.66799999999995</v>
      </c>
      <c r="BF38" s="13">
        <f t="shared" si="37"/>
        <v>26.166635702630739</v>
      </c>
      <c r="BG38" s="20">
        <f t="shared" si="7"/>
        <v>213.93699051541512</v>
      </c>
      <c r="BH38" s="59">
        <f t="shared" si="8"/>
        <v>507.27032384874843</v>
      </c>
      <c r="BI38" s="59">
        <f ca="1">AVERAGE(OFFSET($BH$3,0,0,'Données projet'!$E$11+1,1))-AVERAGE(OFFSET($H$3,0,0,'Données projet'!$E$11+1,1))</f>
        <v>250.90038883668348</v>
      </c>
      <c r="BJ38" s="59">
        <f t="shared" si="38"/>
        <v>141.96132114475608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35</v>
      </c>
      <c r="BM38" s="16">
        <f>IF(ISNA(VLOOKUP(A38,'Données projet'!$A$87:$I$107,5,0)),0%,VLOOKUP(A38,'Données projet'!$A$87:$I$107,5,0)*VLOOKUP('Données projet'!$B$11,Paramètres!$A$1:$I$89,7,0))</f>
        <v>0.45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11.951019179054818</v>
      </c>
      <c r="BQ38" s="21">
        <f>EXP(-LN(2)/25)*BQ37+(1-EXP(-LN(2)/25))/(LN(2)/25)*Calculateur!BL38*Calculateur!BN38*VLOOKUP('Données projet'!$B$11,Paramètres!$A$1:$I$89,3,0)*0.475*44/12</f>
        <v>10.363002098041916</v>
      </c>
      <c r="BR38" s="21">
        <f>EXP(-LN(2)/2)*BR37+(1-EXP(-LN(2)/2))/(LN(2)/2)*BL38*BO38*VLOOKUP('Données projet'!$B$11,Paramètres!$A$1:$I$89,3,0)*0.475*44/12</f>
        <v>0.66787552650342452</v>
      </c>
      <c r="BS38" s="22">
        <f t="shared" si="9"/>
        <v>22.981896803600161</v>
      </c>
      <c r="BT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206</v>
      </c>
      <c r="BW38" s="12">
        <f>VLOOKUP(A38,'Données projet'!$A$113:$I$133,9,0)</f>
        <v>12.8</v>
      </c>
      <c r="BX38" s="12">
        <f t="array" ref="BX38">INDEX(BW:BW,MIN(IF(ISNUMBER(BW38:BW234),ROW(BW38:BW234),"")))</f>
        <v>12.8</v>
      </c>
      <c r="BY38" s="12">
        <f>IF('Données projet'!$A$114&gt;35,BY37+BX38-CG37,IF(A38&lt;'Données projet'!$A$114,$BV$205^A38,IF(A38='Données projet'!$A$114,'Données projet'!$B$114,BY37+BX38-CG37)))</f>
        <v>205.99999999999997</v>
      </c>
      <c r="BZ38" s="13">
        <f>BY38*VLOOKUP('Données projet'!$B$12,Paramètres!$A$1:$I$89,3,0)*VLOOKUP('Données projet'!$B$12,Paramètres!$A$1:$I$89,5,0)</f>
        <v>163.89359999999999</v>
      </c>
      <c r="CA38" s="13">
        <f t="shared" si="39"/>
        <v>41.71949506642347</v>
      </c>
      <c r="CB38" s="20">
        <f t="shared" si="10"/>
        <v>358.10947390735419</v>
      </c>
      <c r="CC38" s="59">
        <f t="shared" si="11"/>
        <v>651.44280724068744</v>
      </c>
      <c r="CD38" s="59">
        <f ca="1">AVERAGE(OFFSET($CC$3,0,0,'Données projet'!$E$12+1,1))-AVERAGE(OFFSET($H$3,0,0,'Données projet'!$E$12+1,1))</f>
        <v>279.49721661620544</v>
      </c>
      <c r="CE38" s="59">
        <f t="shared" si="40"/>
        <v>275.18739333988754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35</v>
      </c>
      <c r="CH38" s="16">
        <f>IF(ISNA(VLOOKUP(A38,'Données projet'!$A$113:$I$133,5,0)),0%,VLOOKUP(A38,'Données projet'!$A$113:$I$133,5,0)*VLOOKUP('Données projet'!$B$12,Paramètres!$A$1:$I$89,7,0))</f>
        <v>0.53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16.314951939891504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16.314951939891504</v>
      </c>
      <c r="CO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413</v>
      </c>
      <c r="CR38" s="12">
        <f>VLOOKUP(A38,'Données projet'!$A$139:$I$159,9,0)</f>
        <v>28.2</v>
      </c>
      <c r="CS38" s="12">
        <f t="array" ref="CS38">INDEX(CR:CR,MIN(IF(ISNUMBER(CR38:CR234),ROW(CR38:CR234),"")))</f>
        <v>28.2</v>
      </c>
      <c r="CT38" s="12">
        <f>IF('Données projet'!$A$140&gt;35,CT37+CS38-DB37,IF(A38&lt;'Données projet'!$A$140,$CQ$205^A38,IF(A38='Données projet'!$A$140,'Données projet'!$B$140,CT37+CS38-DB37)))</f>
        <v>413.00000000000006</v>
      </c>
      <c r="CU38" s="17">
        <f>CT38*VLOOKUP('Données projet'!$B$13,Paramètres!$A$1:$I$89,3,0)*VLOOKUP('Données projet'!$B$13,Paramètres!$A$1:$I$89,5,0)</f>
        <v>204.02200000000005</v>
      </c>
      <c r="CV38" s="13">
        <f t="shared" si="41"/>
        <v>50.627054717681382</v>
      </c>
      <c r="CW38" s="20">
        <f t="shared" si="13"/>
        <v>443.51377029996178</v>
      </c>
      <c r="CX38" s="59">
        <f t="shared" si="14"/>
        <v>736.84710363329509</v>
      </c>
      <c r="CY38" s="59">
        <f ca="1">AVERAGE(OFFSET($CX$3,0,0,'Données projet'!$E$13+1,1))-AVERAGE(OFFSET($H$3,0,0,'Données projet'!$E$13+1,1))</f>
        <v>396.27049617044378</v>
      </c>
      <c r="CZ38" s="59">
        <f t="shared" si="42"/>
        <v>335.2680289568774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70</v>
      </c>
      <c r="DC38" s="16">
        <f>IF(ISNA(VLOOKUP(A38,'Données projet'!$A$139:$I$159,5,0)),0%,VLOOKUP(A38,'Données projet'!$A$139:$I$159,5,0)*VLOOKUP('Données projet'!$B$13,Paramètres!$A$1:$I$89,7,0))</f>
        <v>0.55000000000000004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25.229929378004616</v>
      </c>
      <c r="DG38" s="21">
        <f>EXP(-LN(2)/25)*DG37+(1-EXP(-LN(2)/25))/(LN(2)/25)*Calculateur!DB38*Calculateur!DD38*VLOOKUP('Données projet'!$B$13,Paramètres!$A$1:$I$89,3,0)*0.475*44/12</f>
        <v>40.922874314077021</v>
      </c>
      <c r="DH38" s="21">
        <f>EXP(-LN(2)/2)*DH37+(1-EXP(-LN(2)/2))/(LN(2)/2)*DB38*DE38*VLOOKUP('Données projet'!$B$13,Paramètres!$A$1:$I$89,3,0)*0.475*44/12</f>
        <v>6.7976719407598765E-2</v>
      </c>
      <c r="DI38" s="22">
        <f t="shared" si="15"/>
        <v>66.22078041148923</v>
      </c>
      <c r="DJ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212</v>
      </c>
      <c r="DM38" s="12">
        <f>VLOOKUP(A38,'Données projet'!$A$165:$I$185,9,0)</f>
        <v>16.2</v>
      </c>
      <c r="DN38" s="12">
        <f t="array" ref="DN38">INDEX(DM:DM,MIN(IF(ISNUMBER(DM38:DM234),ROW(DM38:DM234),"")))</f>
        <v>16.2</v>
      </c>
      <c r="DO38" s="12">
        <f>IF('Données projet'!$A$166&gt;35,DO37+DN38-DW37,IF(A38&lt;'Données projet'!$A$166,$DL$205^A38,IF(A38='Données projet'!$A$166,'Données projet'!$B$166,DO37+DN38-DW37)))</f>
        <v>211.99999999999991</v>
      </c>
      <c r="DP38" s="17">
        <f>DO38*VLOOKUP('Données projet'!$B$14,Paramètres!$A$1:$I$89,3,0)*VLOOKUP('Données projet'!$B$14,Paramètres!$A$1:$I$89,5,0)</f>
        <v>121.26399999999995</v>
      </c>
      <c r="DQ38" s="13">
        <f t="shared" si="43"/>
        <v>31.969626512752978</v>
      </c>
      <c r="DR38" s="20">
        <f t="shared" si="16"/>
        <v>266.88189950971133</v>
      </c>
      <c r="DS38" s="59">
        <f t="shared" si="17"/>
        <v>560.21523284304465</v>
      </c>
      <c r="DT38" s="59">
        <f ca="1">AVERAGE(OFFSET($DS$3,0,0,'Données projet'!$E$14+1,1))-AVERAGE(OFFSET($H$3,0,0,'Données projet'!$E$14+1,1))</f>
        <v>307.43900954374504</v>
      </c>
      <c r="DU38" s="59">
        <f t="shared" si="44"/>
        <v>185.25270859048999</v>
      </c>
      <c r="DV38" s="15">
        <f>IF(ISNA(VLOOKUP(A38,'Données projet'!$A$165:$I$185,3,0)),0,VLOOKUP(A38,'Données projet'!$A$165:$I$185,3,0))</f>
        <v>4</v>
      </c>
      <c r="DW38" s="15">
        <f>IF(ISNA(VLOOKUP(A38,'Données projet'!$A$165:$I$185,4,0)),0,VLOOKUP(A38,'Données projet'!$A$165:$I$185,4,0))</f>
        <v>42</v>
      </c>
      <c r="DX38" s="16">
        <f>IF(ISNA(VLOOKUP(A38,'Données projet'!$A$165:$I$185,5,0)),0%,VLOOKUP(A38,'Données projet'!$A$165:$I$185,5,0)*VLOOKUP('Données projet'!$B$14,Paramètres!$A$1:$I$89,7,0))</f>
        <v>0.45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14.341223014865777</v>
      </c>
      <c r="EB38" s="21">
        <f>EXP(-LN(2)/25)*EB37+(1-EXP(-LN(2)/25))/(LN(2)/25)*Calculateur!DW38*Calculateur!DY38*VLOOKUP('Données projet'!$B$14,Paramètres!$A$1:$I$89,3,0)*0.475*44/12</f>
        <v>23.261423294317467</v>
      </c>
      <c r="EC38" s="21">
        <f>EXP(-LN(2)/2)*EC37+(1-EXP(-LN(2)/2))/(LN(2)/2)*DW38*DZ38*VLOOKUP('Données projet'!$B$14,Paramètres!$A$1:$I$89,3,0)*0.475*44/12</f>
        <v>6.439899733351459E-2</v>
      </c>
      <c r="ED38" s="22">
        <f t="shared" si="18"/>
        <v>37.667045306516755</v>
      </c>
      <c r="EE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14.6</v>
      </c>
      <c r="EJ38" s="12">
        <f>IF('Données projet'!$A$192&gt;35,EJ37+EI38-ER37,IF(A38&lt;'Données projet'!$A$192,$EG$205^A38,IF(A38='Données projet'!$A$192,'Données projet'!$B$192,EJ37+EI38-ER37)))</f>
        <v>290.40000000000015</v>
      </c>
      <c r="EK38" s="17">
        <f>EJ38*VLOOKUP('Données projet'!$B$15,Paramètres!$A$1:$I$89,3,0)*VLOOKUP('Données projet'!$B$15,Paramètres!$A$1:$I$89,5,0)</f>
        <v>181.20960000000008</v>
      </c>
      <c r="EL38" s="13">
        <f t="shared" si="45"/>
        <v>45.591194891830348</v>
      </c>
      <c r="EM38" s="20">
        <f t="shared" si="19"/>
        <v>395.01138443660466</v>
      </c>
      <c r="EN38" s="59">
        <f t="shared" si="20"/>
        <v>688.34471776993792</v>
      </c>
      <c r="EO38" s="59">
        <f ca="1">AVERAGE(OFFSET($EN$3,0,0,'Données projet'!$E$15+1,1))-AVERAGE(OFFSET($H$3,0,0,'Données projet'!$E$15+1,1))</f>
        <v>269.77739619445515</v>
      </c>
      <c r="EP38" s="59">
        <f t="shared" si="46"/>
        <v>347.56964743629885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79.866216889962573</v>
      </c>
      <c r="EX38" s="21">
        <f>EXP(-LN(2)/2)*EX37+(1-EXP(-LN(2)/2))/(LN(2)/2)*ER38*EU38*VLOOKUP('Données projet'!$B$15,Paramètres!$A$1:$I$89,3,0)*0.475*44/12</f>
        <v>4.3908407272850863E-3</v>
      </c>
      <c r="EY38" s="22">
        <f t="shared" si="21"/>
        <v>79.870607730689855</v>
      </c>
      <c r="EZ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239</v>
      </c>
      <c r="FC38" s="12">
        <f>VLOOKUP(A38,'Données projet'!$A$217:$I$237,9,0)</f>
        <v>15.2</v>
      </c>
      <c r="FD38" s="12">
        <f t="array" ref="FD38">INDEX(FC:FC,MIN(IF(ISNUMBER(FC38:FC234),ROW(FC38:FC234),"")))</f>
        <v>15.2</v>
      </c>
      <c r="FE38" s="12">
        <f>IF('Données projet'!$A$218&gt;35,FE37+FD38-FM37,IF(A38&lt;'Données projet'!$A$218,$FB$205^A38,IF(A38='Données projet'!$A$218,'Données projet'!$B$218,FE37+FD38-FM37)))</f>
        <v>239</v>
      </c>
      <c r="FF38" s="17">
        <f>FE38*VLOOKUP('Données projet'!$B$16,Paramètres!$A$1:$I$89,3,0)*VLOOKUP('Données projet'!$B$16,Paramètres!$A$1:$I$89,5,0)</f>
        <v>190.14840000000001</v>
      </c>
      <c r="FG38" s="13">
        <f t="shared" si="47"/>
        <v>47.572760493232991</v>
      </c>
      <c r="FH38" s="20">
        <f t="shared" si="22"/>
        <v>414.03102119238082</v>
      </c>
      <c r="FI38" s="59">
        <f t="shared" si="23"/>
        <v>707.36435452571413</v>
      </c>
      <c r="FJ38" s="59">
        <f ca="1">AVERAGE(OFFSET($FI$3,0,0,'Données projet'!$E$16+1,1))-AVERAGE(OFFSET($H$3,0,0,'Données projet'!$E$16+1,1))</f>
        <v>331.52724290297675</v>
      </c>
      <c r="FK38" s="59">
        <f t="shared" si="48"/>
        <v>322.79102610158054</v>
      </c>
      <c r="FL38" s="15">
        <f>IF(ISNA(VLOOKUP(A38,'Données projet'!$A$217:$I$237,3,0)),0,VLOOKUP(A38,'Données projet'!$A$217:$I$237,3,0))</f>
        <v>6</v>
      </c>
      <c r="FM38" s="15">
        <f>IF(ISNA(VLOOKUP(A38,'Données projet'!$A$217:$I$237,4,0)),0,VLOOKUP(A38,'Données projet'!$A$217:$I$237,4,0))</f>
        <v>42</v>
      </c>
      <c r="FN38" s="16">
        <f>IF(ISNA(VLOOKUP(A38,'Données projet'!$A$217:$I$237,5,0)),0%,VLOOKUP(A38,'Données projet'!$A$217:$I$237,5,0)*VLOOKUP('Données projet'!$B$16,Paramètres!$A$1:$I$89,7,0))</f>
        <v>0.53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19.577942327869806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19.577942327869806</v>
      </c>
      <c r="FU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453</v>
      </c>
      <c r="FX38" s="12">
        <f>VLOOKUP(A38,'Données projet'!$A$243:$I$263,9,0)</f>
        <v>30.8</v>
      </c>
      <c r="FY38" s="12">
        <f t="array" ref="FY38">INDEX(FX:FX,MIN(IF(ISNUMBER(FX38:FX234),ROW(FX38:FX234),"")))</f>
        <v>30.8</v>
      </c>
      <c r="FZ38" s="12">
        <f>IF('Données projet'!$A$244&gt;35,FZ37+FY38-GH37,IF(A38&lt;'Données projet'!$A$244,$FW$205^A38,IF(A38='Données projet'!$A$244,'Données projet'!$B$244,FZ37+FY38-GH37)))</f>
        <v>453.00000000000011</v>
      </c>
      <c r="GA38" s="17">
        <f>FZ38*VLOOKUP('Données projet'!$B$17,Paramètres!$A$1:$I$89,3,0)*VLOOKUP('Données projet'!$B$17,Paramètres!$A$1:$I$89,5,0)</f>
        <v>223.78200000000007</v>
      </c>
      <c r="GB38" s="13">
        <f t="shared" si="49"/>
        <v>54.936067529408966</v>
      </c>
      <c r="GC38" s="20">
        <f t="shared" si="25"/>
        <v>485.43396761372065</v>
      </c>
      <c r="GD38" s="59">
        <f t="shared" si="26"/>
        <v>778.76730094705397</v>
      </c>
      <c r="GE38" s="59">
        <f ca="1">AVERAGE(OFFSET($GD$3,0,0,'Données projet'!$E$17+1,1))-AVERAGE(OFFSET($H$3,0,0,'Données projet'!$E$17+1,1))</f>
        <v>434.08297999735811</v>
      </c>
      <c r="GF38" s="59">
        <f t="shared" si="50"/>
        <v>371.04090283546122</v>
      </c>
      <c r="GG38" s="15">
        <f>IF(ISNA(VLOOKUP(A38,'Données projet'!$A$243:$I$263,3,0)),0,VLOOKUP(A38,'Données projet'!$A$243:$I$263,3,0))</f>
        <v>4</v>
      </c>
      <c r="GH38" s="15">
        <f>IF(ISNA(VLOOKUP(A38,'Données projet'!$A$243:$I$263,4,0)),0,VLOOKUP(A38,'Données projet'!$A$243:$I$263,4,0))</f>
        <v>77</v>
      </c>
      <c r="GI38" s="16">
        <f>IF(ISNA(VLOOKUP(A38,'Données projet'!$A$243:$I$263,5,0)),0%,VLOOKUP(A38,'Données projet'!$A$243:$I$263,5,0)*VLOOKUP('Données projet'!$B$17,Paramètres!$A$1:$I$89,7,0))</f>
        <v>0.55000000000000004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27.752922315805076</v>
      </c>
      <c r="GM38" s="21">
        <f>EXP(-LN(2)/25)*GM37+(1-EXP(-LN(2)/25))/(LN(2)/25)*Calculateur!GH38*Calculateur!GJ38*VLOOKUP('Données projet'!$B$17,Paramètres!$A$1:$I$89,3,0)*0.475*44/12</f>
        <v>45.015161745484725</v>
      </c>
      <c r="GN38" s="21">
        <f>EXP(-LN(2)/2)*GN37+(1-EXP(-LN(2)/2))/(LN(2)/2)*GH38*GK38*VLOOKUP('Données projet'!$B$17,Paramètres!$A$1:$I$89,3,0)*0.475*44/12</f>
        <v>0.13286358793303388</v>
      </c>
      <c r="GO38" s="21">
        <f t="shared" si="27"/>
        <v>72.900947649222829</v>
      </c>
      <c r="GP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projet'!$A$269:$I$289,2,0)</f>
        <v>255</v>
      </c>
      <c r="GS38" s="12">
        <f>VLOOKUP(A38,'Données projet'!$A$269:$I$289,9,0)</f>
        <v>18.600000000000001</v>
      </c>
      <c r="GT38" s="12">
        <f t="array" ref="GT38">INDEX(GS:GS,MIN(IF(ISNUMBER(GS38:GS234),ROW(GS38:GS234),"")))</f>
        <v>18.600000000000001</v>
      </c>
      <c r="GU38" s="12">
        <f>IF('Données projet'!$A$270&gt;35,GU37+GT38-HC37,IF(A38&lt;'Données projet'!$A$270,$GR$205^A38,IF(A38='Données projet'!$A$270,'Données projet'!$B$270,GU37+GT38-HC37)))</f>
        <v>254.99999999999994</v>
      </c>
      <c r="GV38" s="17">
        <f>GU38*VLOOKUP('Données projet'!$B$18,Paramètres!$A$1:$I$89,3,0)*VLOOKUP('Données projet'!$B$18,Paramètres!$A$1:$I$89,5,0)</f>
        <v>145.85999999999999</v>
      </c>
      <c r="GW38" s="13">
        <f t="shared" si="51"/>
        <v>37.636228738454513</v>
      </c>
      <c r="GX38" s="20">
        <f t="shared" si="28"/>
        <v>319.58926505280823</v>
      </c>
      <c r="GY38" s="59">
        <f t="shared" si="29"/>
        <v>612.92259838614154</v>
      </c>
      <c r="GZ38" s="59">
        <f ca="1">AVERAGE(OFFSET($GY$3,0,0,'Données projet'!$E$18+1,1))-AVERAGE(OFFSET($H$3,0,0,'Données projet'!$E$18+1,1))</f>
        <v>362.57172983134313</v>
      </c>
      <c r="HA38" s="59">
        <f t="shared" si="52"/>
        <v>232.03250917542471</v>
      </c>
      <c r="HB38" s="15">
        <f>IF(ISNA(VLOOKUP(A38,'Données projet'!$A$269:$I$289,3,0)),0,VLOOKUP(A38,'Données projet'!$A$269:$I$289,3,0))</f>
        <v>4</v>
      </c>
      <c r="HC38" s="15">
        <f>IF(ISNA(VLOOKUP(A38,'Données projet'!$A$269:$I$289,4,0)),0,VLOOKUP(A38,'Données projet'!$A$269:$I$289,4,0))</f>
        <v>49</v>
      </c>
      <c r="HD38" s="16">
        <f>IF(ISNA(VLOOKUP(A38,'Données projet'!$A$269:$I$289,5,0)),0%,VLOOKUP(A38,'Données projet'!$A$269:$I$289,5,0)*VLOOKUP('Données projet'!$B$18,Paramètres!$A$1:$I$89,7,0))</f>
        <v>0.45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16.731426850676744</v>
      </c>
      <c r="HH38" s="21">
        <f>EXP(-LN(2)/25)*HH37+(1-EXP(-LN(2)/25))/(LN(2)/25)*Calculateur!HC38*Calculateur!HE38*VLOOKUP('Données projet'!$B$18,Paramètres!$A$1:$I$89,3,0)*0.475*44/12</f>
        <v>27.138327176703708</v>
      </c>
      <c r="HI38" s="21">
        <f>EXP(-LN(2)/2)*HI37+(1-EXP(-LN(2)/2))/(LN(2)/2)*HC38*HF38*VLOOKUP('Données projet'!$B$18,Paramètres!$A$1:$I$89,3,0)*0.475*44/12</f>
        <v>0.13237571674111329</v>
      </c>
      <c r="HJ38" s="22">
        <f t="shared" si="30"/>
        <v>44.002129744121568</v>
      </c>
    </row>
    <row r="39" spans="1:218" x14ac:dyDescent="0.3">
      <c r="A39" s="10">
        <f t="shared" si="31"/>
        <v>36</v>
      </c>
      <c r="B39" s="71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5">
        <f t="shared" si="1"/>
        <v>333.46465593362842</v>
      </c>
      <c r="I39" s="6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9.6</v>
      </c>
      <c r="N39" s="13">
        <f>IF('Données projet'!$A$36&gt;35,N38+M39-V38,IF(A39&lt;'Données projet'!$A$36,$K$205^A39,IF(A39='Données projet'!$A$36,'Données projet'!$B$36,N38+M39-V38)))</f>
        <v>153.60000000000002</v>
      </c>
      <c r="O39" s="13">
        <f>N39*VLOOKUP('Données projet'!$B$9,Paramètres!$A$1:$I$89,3,0)*VLOOKUP('Données projet'!$B$9,Paramètres!$A$1:$I$89,5,0)</f>
        <v>122.20416000000003</v>
      </c>
      <c r="P39" s="13">
        <f t="shared" si="33"/>
        <v>32.188537573102472</v>
      </c>
      <c r="Q39" s="20">
        <f t="shared" si="53"/>
        <v>268.90061493982017</v>
      </c>
      <c r="R39" s="59">
        <f t="shared" si="0"/>
        <v>562.23394827315349</v>
      </c>
      <c r="S39" s="59">
        <f ca="1">AVERAGE(OFFSET($R$3,0,0,'Données projet'!$E$9+1,1))-AVERAGE(OFFSET($H$3,0,0,'Données projet'!$E$9+1,1))</f>
        <v>225.2323446080772</v>
      </c>
      <c r="T39" s="59">
        <f t="shared" si="34"/>
        <v>222.29030402759292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12.796020546790656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12.796020546790656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25</v>
      </c>
      <c r="AI39" s="13">
        <f>IF('Données projet'!$A$62&gt;35,AI38+AH39-AQ38,IF(A39&lt;'Données projet'!$A$62,$AF$205^A39,IF(A39='Données projet'!$A$62,'Données projet'!$B$62,AI38+AH39-AQ38)))</f>
        <v>336.00000000000006</v>
      </c>
      <c r="AJ39" s="13">
        <f>AI39*VLOOKUP('Données projet'!$B$10,Paramètres!$A$1:$I$89,3,0)*VLOOKUP('Données projet'!$B$10,Paramètres!$A$1:$I$89,5,0)</f>
        <v>165.98400000000004</v>
      </c>
      <c r="AK39" s="13">
        <f t="shared" si="35"/>
        <v>42.189325525922285</v>
      </c>
      <c r="AL39" s="20">
        <f t="shared" si="4"/>
        <v>362.56854195764805</v>
      </c>
      <c r="AM39" s="59">
        <f t="shared" si="5"/>
        <v>655.90187529098137</v>
      </c>
      <c r="AN39" s="59">
        <f ca="1">AVERAGE(OFFSET($AM$3,0,0,'Données projet'!$E$10+1,1))-AVERAGE(OFFSET($H$3,0,0,'Données projet'!$E$10+1,1))</f>
        <v>360.05819346986135</v>
      </c>
      <c r="AO39" s="59">
        <f t="shared" si="36"/>
        <v>300.47468388351081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22.26166726647542</v>
      </c>
      <c r="AV39" s="21">
        <f>EXP(-LN(2)/25)*AV38+(1-EXP(-LN(2)/25))/(LN(2)/25)*Calculateur!AQ39*Calculateur!AS39*VLOOKUP('Données projet'!$B$10,Paramètres!$A$1:$I$89,3,0)*0.475*44/12</f>
        <v>35.823452547526344</v>
      </c>
      <c r="AW39" s="21">
        <f>EXP(-LN(2)/2)*AW38+(1-EXP(-LN(2)/2))/(LN(2)/2)*AQ39*AT39*VLOOKUP('Données projet'!$B$10,Paramètres!$A$1:$I$89,3,0)*0.475*44/12</f>
        <v>6.5545635348993065E-3</v>
      </c>
      <c r="AX39" s="21">
        <f t="shared" si="6"/>
        <v>58.091674377536663</v>
      </c>
      <c r="AY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14</v>
      </c>
      <c r="BD39" s="12">
        <f>IF('Données projet'!$A$88&gt;35,BD38+BC39-BL38,IF(A39&lt;'Données projet'!$A$88,$BA$205^A39,IF(A39='Données projet'!$A$88,'Données projet'!$B$88,BD38+BC39-BL38)))</f>
        <v>147.99999999999989</v>
      </c>
      <c r="BE39" s="13">
        <f>BD39*VLOOKUP('Données projet'!$B$11,Paramètres!$A$1:$I$89,3,0)*VLOOKUP('Données projet'!$B$11,Paramètres!$A$1:$I$89,5,0)</f>
        <v>84.655999999999935</v>
      </c>
      <c r="BF39" s="13">
        <f t="shared" si="37"/>
        <v>23.271825278660558</v>
      </c>
      <c r="BG39" s="20">
        <f t="shared" si="7"/>
        <v>187.97429569366702</v>
      </c>
      <c r="BH39" s="59">
        <f t="shared" si="8"/>
        <v>481.3076290270003</v>
      </c>
      <c r="BI39" s="59">
        <f ca="1">AVERAGE(OFFSET($BH$3,0,0,'Données projet'!$E$11+1,1))-AVERAGE(OFFSET($H$3,0,0,'Données projet'!$E$11+1,1))</f>
        <v>250.90038883668348</v>
      </c>
      <c r="BJ39" s="59">
        <f t="shared" si="38"/>
        <v>141.96132114475608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11.716666982355484</v>
      </c>
      <c r="BQ39" s="21">
        <f>EXP(-LN(2)/25)*BQ38+(1-EXP(-LN(2)/25))/(LN(2)/25)*Calculateur!BL39*Calculateur!BN39*VLOOKUP('Données projet'!$B$11,Paramètres!$A$1:$I$89,3,0)*0.475*44/12</f>
        <v>10.079625260704365</v>
      </c>
      <c r="BR39" s="21">
        <f>EXP(-LN(2)/2)*BR38+(1-EXP(-LN(2)/2))/(LN(2)/2)*BL39*BO39*VLOOKUP('Données projet'!$B$11,Paramètres!$A$1:$I$89,3,0)*0.475*44/12</f>
        <v>0.47225931377910724</v>
      </c>
      <c r="BS39" s="22">
        <f t="shared" si="9"/>
        <v>22.268551556838958</v>
      </c>
      <c r="BT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11.4</v>
      </c>
      <c r="BY39" s="12">
        <f>IF('Données projet'!$A$114&gt;35,BY38+BX39-CG38,IF(A39&lt;'Données projet'!$A$114,$BV$205^A39,IF(A39='Données projet'!$A$114,'Données projet'!$B$114,BY38+BX39-CG38)))</f>
        <v>182.39999999999998</v>
      </c>
      <c r="BZ39" s="13">
        <f>BY39*VLOOKUP('Données projet'!$B$12,Paramètres!$A$1:$I$89,3,0)*VLOOKUP('Données projet'!$B$12,Paramètres!$A$1:$I$89,5,0)</f>
        <v>145.11743999999999</v>
      </c>
      <c r="CA39" s="13">
        <f t="shared" si="39"/>
        <v>37.466878406916173</v>
      </c>
      <c r="CB39" s="20">
        <f t="shared" si="10"/>
        <v>318.00102122537896</v>
      </c>
      <c r="CC39" s="59">
        <f t="shared" si="11"/>
        <v>611.33435455871222</v>
      </c>
      <c r="CD39" s="59">
        <f ca="1">AVERAGE(OFFSET($CC$3,0,0,'Données projet'!$E$12+1,1))-AVERAGE(OFFSET($H$3,0,0,'Données projet'!$E$12+1,1))</f>
        <v>279.49721661620544</v>
      </c>
      <c r="CE39" s="59">
        <f t="shared" si="40"/>
        <v>275.18739333988754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15.995025683488322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15.995025683488322</v>
      </c>
      <c r="CO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27.4</v>
      </c>
      <c r="CT39" s="12">
        <f>IF('Données projet'!$A$140&gt;35,CT38+CS39-DB38,IF(A39&lt;'Données projet'!$A$140,$CQ$205^A39,IF(A39='Données projet'!$A$140,'Données projet'!$B$140,CT38+CS39-DB38)))</f>
        <v>370.40000000000003</v>
      </c>
      <c r="CU39" s="17">
        <f>CT39*VLOOKUP('Données projet'!$B$13,Paramètres!$A$1:$I$89,3,0)*VLOOKUP('Données projet'!$B$13,Paramètres!$A$1:$I$89,5,0)</f>
        <v>182.97760000000002</v>
      </c>
      <c r="CV39" s="13">
        <f t="shared" si="41"/>
        <v>45.984013410379262</v>
      </c>
      <c r="CW39" s="20">
        <f t="shared" si="13"/>
        <v>398.77481002307724</v>
      </c>
      <c r="CX39" s="59">
        <f t="shared" si="14"/>
        <v>692.10814335641055</v>
      </c>
      <c r="CY39" s="59">
        <f ca="1">AVERAGE(OFFSET($CX$3,0,0,'Données projet'!$E$13+1,1))-AVERAGE(OFFSET($H$3,0,0,'Données projet'!$E$13+1,1))</f>
        <v>396.27049617044378</v>
      </c>
      <c r="CZ39" s="59">
        <f t="shared" si="42"/>
        <v>335.2680289568774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24.735185851639354</v>
      </c>
      <c r="DG39" s="21">
        <f>EXP(-LN(2)/25)*DG38+(1-EXP(-LN(2)/25))/(LN(2)/25)*Calculateur!DB39*Calculateur!DD39*VLOOKUP('Données projet'!$B$13,Paramètres!$A$1:$I$89,3,0)*0.475*44/12</f>
        <v>39.803836163918156</v>
      </c>
      <c r="DH39" s="21">
        <f>EXP(-LN(2)/2)*DH38+(1-EXP(-LN(2)/2))/(LN(2)/2)*DB39*DE39*VLOOKUP('Données projet'!$B$13,Paramètres!$A$1:$I$89,3,0)*0.475*44/12</f>
        <v>4.8066799255928279E-2</v>
      </c>
      <c r="DI39" s="22">
        <f t="shared" si="15"/>
        <v>64.587088814813441</v>
      </c>
      <c r="DJ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16.600000000000001</v>
      </c>
      <c r="DO39" s="12">
        <f>IF('Données projet'!$A$166&gt;35,DO38+DN39-DW38,IF(A39&lt;'Données projet'!$A$166,$DL$205^A39,IF(A39='Données projet'!$A$166,'Données projet'!$B$166,DO38+DN39-DW38)))</f>
        <v>186.59999999999991</v>
      </c>
      <c r="DP39" s="17">
        <f>DO39*VLOOKUP('Données projet'!$B$14,Paramètres!$A$1:$I$89,3,0)*VLOOKUP('Données projet'!$B$14,Paramètres!$A$1:$I$89,5,0)</f>
        <v>106.73519999999995</v>
      </c>
      <c r="DQ39" s="13">
        <f t="shared" si="43"/>
        <v>28.560428598712875</v>
      </c>
      <c r="DR39" s="20">
        <f t="shared" si="16"/>
        <v>235.6398864760915</v>
      </c>
      <c r="DS39" s="59">
        <f t="shared" si="17"/>
        <v>528.97321980942479</v>
      </c>
      <c r="DT39" s="59">
        <f ca="1">AVERAGE(OFFSET($DS$3,0,0,'Données projet'!$E$14+1,1))-AVERAGE(OFFSET($H$3,0,0,'Données projet'!$E$14+1,1))</f>
        <v>307.43900954374504</v>
      </c>
      <c r="DU39" s="59">
        <f t="shared" si="44"/>
        <v>185.25270859048999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14.060000378826576</v>
      </c>
      <c r="EB39" s="21">
        <f>EXP(-LN(2)/25)*EB38+(1-EXP(-LN(2)/25))/(LN(2)/25)*Calculateur!DW39*Calculateur!DY39*VLOOKUP('Données projet'!$B$14,Paramètres!$A$1:$I$89,3,0)*0.475*44/12</f>
        <v>22.625338451069268</v>
      </c>
      <c r="EC39" s="21">
        <f>EXP(-LN(2)/2)*EC38+(1-EXP(-LN(2)/2))/(LN(2)/2)*DW39*DZ39*VLOOKUP('Données projet'!$B$14,Paramètres!$A$1:$I$89,3,0)*0.475*44/12</f>
        <v>4.553696771614256E-2</v>
      </c>
      <c r="ED39" s="22">
        <f t="shared" si="18"/>
        <v>36.730875797611986</v>
      </c>
      <c r="EE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>
        <f>VLOOKUP(A39,'Données projet'!$A$191:$I$211,2,0)</f>
        <v>305</v>
      </c>
      <c r="EH39" s="12">
        <f>VLOOKUP(A39,'Données projet'!$A$191:$I$211,9,0)</f>
        <v>14.6</v>
      </c>
      <c r="EI39" s="12">
        <f t="array" ref="EI39">INDEX(EH:EH,MIN(IF(ISNUMBER(EH39:EH235),ROW(EH39:EH235),"")))</f>
        <v>14.6</v>
      </c>
      <c r="EJ39" s="12">
        <f>IF('Données projet'!$A$192&gt;35,EJ38+EI39-ER38,IF(A39&lt;'Données projet'!$A$192,$EG$205^A39,IF(A39='Données projet'!$A$192,'Données projet'!$B$192,EJ38+EI39-ER38)))</f>
        <v>305.00000000000017</v>
      </c>
      <c r="EK39" s="17">
        <f>EJ39*VLOOKUP('Données projet'!$B$15,Paramètres!$A$1:$I$89,3,0)*VLOOKUP('Données projet'!$B$15,Paramètres!$A$1:$I$89,5,0)</f>
        <v>190.32000000000008</v>
      </c>
      <c r="EL39" s="13">
        <f t="shared" si="45"/>
        <v>47.610693377401923</v>
      </c>
      <c r="EM39" s="20">
        <f t="shared" si="19"/>
        <v>414.39595763230847</v>
      </c>
      <c r="EN39" s="59">
        <f t="shared" si="20"/>
        <v>707.72929096564178</v>
      </c>
      <c r="EO39" s="59">
        <f ca="1">AVERAGE(OFFSET($EN$3,0,0,'Données projet'!$E$15+1,1))-AVERAGE(OFFSET($H$3,0,0,'Données projet'!$E$15+1,1))</f>
        <v>269.77739619445515</v>
      </c>
      <c r="EP39" s="59">
        <f t="shared" si="46"/>
        <v>347.56964743629885</v>
      </c>
      <c r="EQ39" s="15">
        <f>IF(ISNA(VLOOKUP(A39,'Données projet'!$A$191:$I$211,3,0)),0,VLOOKUP(A39,'Données projet'!$A$191:$I$211,3,0))</f>
        <v>5</v>
      </c>
      <c r="ER39" s="15">
        <f>IF(ISNA(VLOOKUP(A39,'Données projet'!$A$191:$I$211,4,0)),0,VLOOKUP(A39,'Données projet'!$A$191:$I$211,4,0))</f>
        <v>58.4</v>
      </c>
      <c r="ES39" s="16">
        <f>IF(ISNA(VLOOKUP(A39,'Données projet'!$A$191:$I$211,5,0)),0%,VLOOKUP(A39,'Données projet'!$A$191:$I$211,5,0)*VLOOKUP('Données projet'!$B$15,Paramètres!$A$1:$I$89,7,0))</f>
        <v>0.6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29.005278755607325</v>
      </c>
      <c r="EW39" s="21">
        <f>EXP(-LN(2)/25)*EW38+(1-EXP(-LN(2)/25))/(LN(2)/25)*Calculateur!ER39*Calculateur!ET39*VLOOKUP('Données projet'!$B$15,Paramètres!$A$1:$I$89,3,0)*0.475*44/12</f>
        <v>77.682270989124731</v>
      </c>
      <c r="EX39" s="21">
        <f>EXP(-LN(2)/2)*EX38+(1-EXP(-LN(2)/2))/(LN(2)/2)*ER39*EU39*VLOOKUP('Données projet'!$B$15,Paramètres!$A$1:$I$89,3,0)*0.475*44/12</f>
        <v>3.1047932533733568E-3</v>
      </c>
      <c r="EY39" s="22">
        <f t="shared" si="21"/>
        <v>106.69065453798542</v>
      </c>
      <c r="EZ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13.2</v>
      </c>
      <c r="FE39" s="12">
        <f>IF('Données projet'!$A$218&gt;35,FE38+FD39-FM38,IF(A39&lt;'Données projet'!$A$218,$FB$205^A39,IF(A39='Données projet'!$A$218,'Données projet'!$B$218,FE38+FD39-FM38)))</f>
        <v>210.2</v>
      </c>
      <c r="FF39" s="17">
        <f>FE39*VLOOKUP('Données projet'!$B$16,Paramètres!$A$1:$I$89,3,0)*VLOOKUP('Données projet'!$B$16,Paramètres!$A$1:$I$89,5,0)</f>
        <v>167.23511999999999</v>
      </c>
      <c r="FG39" s="13">
        <f t="shared" si="47"/>
        <v>42.470192710511604</v>
      </c>
      <c r="FH39" s="20">
        <f t="shared" si="22"/>
        <v>365.23675297080769</v>
      </c>
      <c r="FI39" s="59">
        <f t="shared" si="23"/>
        <v>658.570086304141</v>
      </c>
      <c r="FJ39" s="59">
        <f ca="1">AVERAGE(OFFSET($FI$3,0,0,'Données projet'!$E$16+1,1))-AVERAGE(OFFSET($H$3,0,0,'Données projet'!$E$16+1,1))</f>
        <v>331.52724290297675</v>
      </c>
      <c r="FK39" s="59">
        <f t="shared" si="48"/>
        <v>322.79102610158054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19.194030820185986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19.194030820185986</v>
      </c>
      <c r="FU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29.6</v>
      </c>
      <c r="FZ39" s="12">
        <f>IF('Données projet'!$A$244&gt;35,FZ38+FY39-GH38,IF(A39&lt;'Données projet'!$A$244,$FW$205^A39,IF(A39='Données projet'!$A$244,'Données projet'!$B$244,FZ38+FY39-GH38)))</f>
        <v>405.60000000000014</v>
      </c>
      <c r="GA39" s="17">
        <f>FZ39*VLOOKUP('Données projet'!$B$17,Paramètres!$A$1:$I$89,3,0)*VLOOKUP('Données projet'!$B$17,Paramètres!$A$1:$I$89,5,0)</f>
        <v>200.36640000000006</v>
      </c>
      <c r="GB39" s="13">
        <f t="shared" si="49"/>
        <v>49.824682775783181</v>
      </c>
      <c r="GC39" s="20">
        <f t="shared" si="25"/>
        <v>435.74946916782238</v>
      </c>
      <c r="GD39" s="59">
        <f t="shared" si="26"/>
        <v>729.0828025011557</v>
      </c>
      <c r="GE39" s="59">
        <f ca="1">AVERAGE(OFFSET($GD$3,0,0,'Données projet'!$E$17+1,1))-AVERAGE(OFFSET($H$3,0,0,'Données projet'!$E$17+1,1))</f>
        <v>434.08297999735811</v>
      </c>
      <c r="GF39" s="59">
        <f t="shared" si="50"/>
        <v>371.04090283546122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27.208704436803288</v>
      </c>
      <c r="GM39" s="21">
        <f>EXP(-LN(2)/25)*GM38+(1-EXP(-LN(2)/25))/(LN(2)/25)*Calculateur!GH39*Calculateur!GJ39*VLOOKUP('Données projet'!$B$17,Paramètres!$A$1:$I$89,3,0)*0.475*44/12</f>
        <v>43.784219780309975</v>
      </c>
      <c r="GN39" s="21">
        <f>EXP(-LN(2)/2)*GN38+(1-EXP(-LN(2)/2))/(LN(2)/2)*GH39*GK39*VLOOKUP('Données projet'!$B$17,Paramètres!$A$1:$I$89,3,0)*0.475*44/12</f>
        <v>9.3948744000223405E-2</v>
      </c>
      <c r="GO39" s="21">
        <f t="shared" si="27"/>
        <v>71.086872961113485</v>
      </c>
      <c r="GP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18.8</v>
      </c>
      <c r="GU39" s="12">
        <f>IF('Données projet'!$A$270&gt;35,GU38+GT39-HC38,IF(A39&lt;'Données projet'!$A$270,$GR$205^A39,IF(A39='Données projet'!$A$270,'Données projet'!$B$270,GU38+GT39-HC38)))</f>
        <v>224.79999999999995</v>
      </c>
      <c r="GV39" s="17">
        <f>GU39*VLOOKUP('Données projet'!$B$18,Paramètres!$A$1:$I$89,3,0)*VLOOKUP('Données projet'!$B$18,Paramètres!$A$1:$I$89,5,0)</f>
        <v>128.58559999999997</v>
      </c>
      <c r="GW39" s="13">
        <f t="shared" si="51"/>
        <v>33.669325225741161</v>
      </c>
      <c r="GX39" s="20">
        <f t="shared" si="28"/>
        <v>282.59399476816583</v>
      </c>
      <c r="GY39" s="59">
        <f t="shared" si="29"/>
        <v>575.92732810149914</v>
      </c>
      <c r="GZ39" s="59">
        <f ca="1">AVERAGE(OFFSET($GY$3,0,0,'Données projet'!$E$18+1,1))-AVERAGE(OFFSET($H$3,0,0,'Données projet'!$E$18+1,1))</f>
        <v>362.57172983134313</v>
      </c>
      <c r="HA39" s="59">
        <f t="shared" si="52"/>
        <v>232.03250917542471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16.403333775297675</v>
      </c>
      <c r="HH39" s="21">
        <f>EXP(-LN(2)/25)*HH38+(1-EXP(-LN(2)/25))/(LN(2)/25)*Calculateur!HC39*Calculateur!HE39*VLOOKUP('Données projet'!$B$18,Paramètres!$A$1:$I$89,3,0)*0.475*44/12</f>
        <v>26.396228192914144</v>
      </c>
      <c r="HI39" s="21">
        <f>EXP(-LN(2)/2)*HI38+(1-EXP(-LN(2)/2))/(LN(2)/2)*HC39*HF39*VLOOKUP('Données projet'!$B$18,Paramètres!$A$1:$I$89,3,0)*0.475*44/12</f>
        <v>9.360376697207079E-2</v>
      </c>
      <c r="HJ39" s="22">
        <f t="shared" si="30"/>
        <v>42.893165735183892</v>
      </c>
    </row>
    <row r="40" spans="1:218" x14ac:dyDescent="0.3">
      <c r="A40" s="10">
        <f t="shared" si="31"/>
        <v>37</v>
      </c>
      <c r="B40" s="71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5">
        <f t="shared" si="1"/>
        <v>334.54677839758983</v>
      </c>
      <c r="I40" s="6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9.6</v>
      </c>
      <c r="N40" s="13">
        <f>IF('Données projet'!$A$36&gt;35,N39+M40-V39,IF(A40&lt;'Données projet'!$A$36,$K$205^A40,IF(A40='Données projet'!$A$36,'Données projet'!$B$36,N39+M40-V39)))</f>
        <v>163.20000000000002</v>
      </c>
      <c r="O40" s="13">
        <f>N40*VLOOKUP('Données projet'!$B$9,Paramètres!$A$1:$I$89,3,0)*VLOOKUP('Données projet'!$B$9,Paramètres!$A$1:$I$89,5,0)</f>
        <v>129.84192000000002</v>
      </c>
      <c r="P40" s="13">
        <f t="shared" si="33"/>
        <v>33.959829099416851</v>
      </c>
      <c r="Q40" s="20">
        <f t="shared" si="53"/>
        <v>285.288046348151</v>
      </c>
      <c r="R40" s="59">
        <f t="shared" si="0"/>
        <v>578.62137968148431</v>
      </c>
      <c r="S40" s="59">
        <f ca="1">AVERAGE(OFFSET($R$3,0,0,'Données projet'!$E$9+1,1))-AVERAGE(OFFSET($H$3,0,0,'Données projet'!$E$9+1,1))</f>
        <v>225.2323446080772</v>
      </c>
      <c r="T40" s="59">
        <f t="shared" si="34"/>
        <v>222.29030402759292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12.545098388669965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12.545098388669965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25</v>
      </c>
      <c r="AI40" s="13">
        <f>IF('Données projet'!$A$62&gt;35,AI39+AH40-AQ39,IF(A40&lt;'Données projet'!$A$62,$AF$205^A40,IF(A40='Données projet'!$A$62,'Données projet'!$B$62,AI39+AH40-AQ39)))</f>
        <v>361.00000000000006</v>
      </c>
      <c r="AJ40" s="13">
        <f>AI40*VLOOKUP('Données projet'!$B$10,Paramètres!$A$1:$I$89,3,0)*VLOOKUP('Données projet'!$B$10,Paramètres!$A$1:$I$89,5,0)</f>
        <v>178.33400000000006</v>
      </c>
      <c r="AK40" s="13">
        <f t="shared" si="35"/>
        <v>44.951331508120496</v>
      </c>
      <c r="AL40" s="20">
        <f t="shared" si="4"/>
        <v>388.88861904330997</v>
      </c>
      <c r="AM40" s="59">
        <f t="shared" si="5"/>
        <v>682.22195237664323</v>
      </c>
      <c r="AN40" s="59">
        <f ca="1">AVERAGE(OFFSET($AM$3,0,0,'Données projet'!$E$10+1,1))-AVERAGE(OFFSET($H$3,0,0,'Données projet'!$E$10+1,1))</f>
        <v>360.05819346986135</v>
      </c>
      <c r="AO40" s="59">
        <f t="shared" si="36"/>
        <v>300.47468388351081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21.825129549656126</v>
      </c>
      <c r="AV40" s="21">
        <f>EXP(-LN(2)/25)*AV39+(1-EXP(-LN(2)/25))/(LN(2)/25)*Calculateur!AQ40*Calculateur!AS40*VLOOKUP('Données projet'!$B$10,Paramètres!$A$1:$I$89,3,0)*0.475*44/12</f>
        <v>34.843858353740742</v>
      </c>
      <c r="AW40" s="21">
        <f>EXP(-LN(2)/2)*AW39+(1-EXP(-LN(2)/2))/(LN(2)/2)*AQ40*AT40*VLOOKUP('Données projet'!$B$10,Paramètres!$A$1:$I$89,3,0)*0.475*44/12</f>
        <v>4.6347763232453673E-3</v>
      </c>
      <c r="AX40" s="21">
        <f t="shared" si="6"/>
        <v>56.673622679720111</v>
      </c>
      <c r="AY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14</v>
      </c>
      <c r="BD40" s="12">
        <f>IF('Données projet'!$A$88&gt;35,BD39+BC40-BL39,IF(A40&lt;'Données projet'!$A$88,$BA$205^A40,IF(A40='Données projet'!$A$88,'Données projet'!$B$88,BD39+BC40-BL39)))</f>
        <v>161.99999999999989</v>
      </c>
      <c r="BE40" s="13">
        <f>BD40*VLOOKUP('Données projet'!$B$11,Paramètres!$A$1:$I$89,3,0)*VLOOKUP('Données projet'!$B$11,Paramètres!$A$1:$I$89,5,0)</f>
        <v>92.66399999999993</v>
      </c>
      <c r="BF40" s="13">
        <f t="shared" si="37"/>
        <v>25.206622814445748</v>
      </c>
      <c r="BG40" s="20">
        <f t="shared" si="7"/>
        <v>205.29133473515955</v>
      </c>
      <c r="BH40" s="59">
        <f t="shared" si="8"/>
        <v>498.62466806849284</v>
      </c>
      <c r="BI40" s="59">
        <f ca="1">AVERAGE(OFFSET($BH$3,0,0,'Données projet'!$E$11+1,1))-AVERAGE(OFFSET($H$3,0,0,'Données projet'!$E$11+1,1))</f>
        <v>250.90038883668348</v>
      </c>
      <c r="BJ40" s="59">
        <f t="shared" si="38"/>
        <v>141.96132114475608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11.486910289292698</v>
      </c>
      <c r="BQ40" s="21">
        <f>EXP(-LN(2)/25)*BQ39+(1-EXP(-LN(2)/25))/(LN(2)/25)*Calculateur!BL40*Calculateur!BN40*VLOOKUP('Données projet'!$B$11,Paramètres!$A$1:$I$89,3,0)*0.475*44/12</f>
        <v>9.803997377885949</v>
      </c>
      <c r="BR40" s="21">
        <f>EXP(-LN(2)/2)*BR39+(1-EXP(-LN(2)/2))/(LN(2)/2)*BL40*BO40*VLOOKUP('Données projet'!$B$11,Paramètres!$A$1:$I$89,3,0)*0.475*44/12</f>
        <v>0.33393776325171232</v>
      </c>
      <c r="BS40" s="22">
        <f t="shared" si="9"/>
        <v>21.624845430430359</v>
      </c>
      <c r="BT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11.4</v>
      </c>
      <c r="BY40" s="12">
        <f>IF('Données projet'!$A$114&gt;35,BY39+BX40-CG39,IF(A40&lt;'Données projet'!$A$114,$BV$205^A40,IF(A40='Données projet'!$A$114,'Données projet'!$B$114,BY39+BX40-CG39)))</f>
        <v>193.79999999999998</v>
      </c>
      <c r="BZ40" s="13">
        <f>BY40*VLOOKUP('Données projet'!$B$12,Paramètres!$A$1:$I$89,3,0)*VLOOKUP('Données projet'!$B$12,Paramètres!$A$1:$I$89,5,0)</f>
        <v>154.18727999999999</v>
      </c>
      <c r="CA40" s="13">
        <f t="shared" si="39"/>
        <v>39.528629863903078</v>
      </c>
      <c r="CB40" s="20">
        <f t="shared" si="10"/>
        <v>337.38854301296448</v>
      </c>
      <c r="CC40" s="59">
        <f t="shared" si="11"/>
        <v>630.72187634629779</v>
      </c>
      <c r="CD40" s="59">
        <f ca="1">AVERAGE(OFFSET($CC$3,0,0,'Données projet'!$E$12+1,1))-AVERAGE(OFFSET($H$3,0,0,'Données projet'!$E$12+1,1))</f>
        <v>279.49721661620544</v>
      </c>
      <c r="CE40" s="59">
        <f t="shared" si="40"/>
        <v>275.18739333988754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15.681372985837458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15.681372985837458</v>
      </c>
      <c r="CO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27.4</v>
      </c>
      <c r="CT40" s="12">
        <f>IF('Données projet'!$A$140&gt;35,CT39+CS40-DB39,IF(A40&lt;'Données projet'!$A$140,$CQ$205^A40,IF(A40='Données projet'!$A$140,'Données projet'!$B$140,CT39+CS40-DB39)))</f>
        <v>397.8</v>
      </c>
      <c r="CU40" s="17">
        <f>CT40*VLOOKUP('Données projet'!$B$13,Paramètres!$A$1:$I$89,3,0)*VLOOKUP('Données projet'!$B$13,Paramètres!$A$1:$I$89,5,0)</f>
        <v>196.51320000000004</v>
      </c>
      <c r="CV40" s="13">
        <f t="shared" si="41"/>
        <v>48.977092002823696</v>
      </c>
      <c r="CW40" s="20">
        <f t="shared" si="13"/>
        <v>427.56225857158461</v>
      </c>
      <c r="CX40" s="59">
        <f t="shared" si="14"/>
        <v>720.89559190491786</v>
      </c>
      <c r="CY40" s="59">
        <f ca="1">AVERAGE(OFFSET($CX$3,0,0,'Données projet'!$E$13+1,1))-AVERAGE(OFFSET($H$3,0,0,'Données projet'!$E$13+1,1))</f>
        <v>396.27049617044378</v>
      </c>
      <c r="CZ40" s="59">
        <f t="shared" si="42"/>
        <v>335.2680289568774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24.250143944062362</v>
      </c>
      <c r="DG40" s="21">
        <f>EXP(-LN(2)/25)*DG39+(1-EXP(-LN(2)/25))/(LN(2)/25)*Calculateur!DB40*Calculateur!DD40*VLOOKUP('Données projet'!$B$13,Paramètres!$A$1:$I$89,3,0)*0.475*44/12</f>
        <v>38.715398170823043</v>
      </c>
      <c r="DH40" s="21">
        <f>EXP(-LN(2)/2)*DH39+(1-EXP(-LN(2)/2))/(LN(2)/2)*DB40*DE40*VLOOKUP('Données projet'!$B$13,Paramètres!$A$1:$I$89,3,0)*0.475*44/12</f>
        <v>3.3988359703799383E-2</v>
      </c>
      <c r="DI40" s="22">
        <f t="shared" si="15"/>
        <v>62.999530474589207</v>
      </c>
      <c r="DJ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16.600000000000001</v>
      </c>
      <c r="DO40" s="12">
        <f>IF('Données projet'!$A$166&gt;35,DO39+DN40-DW39,IF(A40&lt;'Données projet'!$A$166,$DL$205^A40,IF(A40='Données projet'!$A$166,'Données projet'!$B$166,DO39+DN40-DW39)))</f>
        <v>203.1999999999999</v>
      </c>
      <c r="DP40" s="17">
        <f>DO40*VLOOKUP('Données projet'!$B$14,Paramètres!$A$1:$I$89,3,0)*VLOOKUP('Données projet'!$B$14,Paramètres!$A$1:$I$89,5,0)</f>
        <v>116.23039999999995</v>
      </c>
      <c r="DQ40" s="13">
        <f t="shared" si="43"/>
        <v>30.794175491293089</v>
      </c>
      <c r="DR40" s="20">
        <f t="shared" si="16"/>
        <v>256.06780231400205</v>
      </c>
      <c r="DS40" s="59">
        <f t="shared" si="17"/>
        <v>549.40113564733542</v>
      </c>
      <c r="DT40" s="59">
        <f ca="1">AVERAGE(OFFSET($DS$3,0,0,'Données projet'!$E$14+1,1))-AVERAGE(OFFSET($H$3,0,0,'Données projet'!$E$14+1,1))</f>
        <v>307.43900954374504</v>
      </c>
      <c r="DU40" s="59">
        <f t="shared" si="44"/>
        <v>185.25270859048999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13.784292347151233</v>
      </c>
      <c r="EB40" s="21">
        <f>EXP(-LN(2)/25)*EB39+(1-EXP(-LN(2)/25))/(LN(2)/25)*Calculateur!DW40*Calculateur!DY40*VLOOKUP('Données projet'!$B$14,Paramètres!$A$1:$I$89,3,0)*0.475*44/12</f>
        <v>22.006647381309939</v>
      </c>
      <c r="EC40" s="21">
        <f>EXP(-LN(2)/2)*EC39+(1-EXP(-LN(2)/2))/(LN(2)/2)*DW40*DZ40*VLOOKUP('Données projet'!$B$14,Paramètres!$A$1:$I$89,3,0)*0.475*44/12</f>
        <v>3.2199498666757295E-2</v>
      </c>
      <c r="ED40" s="22">
        <f t="shared" si="18"/>
        <v>35.823139227127925</v>
      </c>
      <c r="EE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13.9</v>
      </c>
      <c r="EJ40" s="12">
        <f>IF('Données projet'!$A$192&gt;35,EJ39+EI40-ER39,IF(A40&lt;'Données projet'!$A$192,$EG$205^A40,IF(A40='Données projet'!$A$192,'Données projet'!$B$192,EJ39+EI40-ER39)))</f>
        <v>260.50000000000017</v>
      </c>
      <c r="EK40" s="17">
        <f>EJ40*VLOOKUP('Données projet'!$B$15,Paramètres!$A$1:$I$89,3,0)*VLOOKUP('Données projet'!$B$15,Paramètres!$A$1:$I$89,5,0)</f>
        <v>162.55200000000011</v>
      </c>
      <c r="EL40" s="13">
        <f t="shared" si="45"/>
        <v>41.417594941550192</v>
      </c>
      <c r="EM40" s="20">
        <f t="shared" si="19"/>
        <v>355.24704452320003</v>
      </c>
      <c r="EN40" s="59">
        <f t="shared" si="20"/>
        <v>648.58037785653335</v>
      </c>
      <c r="EO40" s="59">
        <f ca="1">AVERAGE(OFFSET($EN$3,0,0,'Données projet'!$E$15+1,1))-AVERAGE(OFFSET($H$3,0,0,'Données projet'!$E$15+1,1))</f>
        <v>269.77739619445515</v>
      </c>
      <c r="EP40" s="59">
        <f t="shared" si="46"/>
        <v>347.56964743629885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28.436502930683019</v>
      </c>
      <c r="EW40" s="21">
        <f>EXP(-LN(2)/25)*EW39+(1-EXP(-LN(2)/25))/(LN(2)/25)*Calculateur!ER40*Calculateur!ET40*VLOOKUP('Données projet'!$B$15,Paramètres!$A$1:$I$89,3,0)*0.475*44/12</f>
        <v>75.558045203794023</v>
      </c>
      <c r="EX40" s="21">
        <f>EXP(-LN(2)/2)*EX39+(1-EXP(-LN(2)/2))/(LN(2)/2)*ER40*EU40*VLOOKUP('Données projet'!$B$15,Paramètres!$A$1:$I$89,3,0)*0.475*44/12</f>
        <v>2.1954203636425432E-3</v>
      </c>
      <c r="EY40" s="22">
        <f t="shared" si="21"/>
        <v>103.99674355484069</v>
      </c>
      <c r="EZ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13.2</v>
      </c>
      <c r="FE40" s="12">
        <f>IF('Données projet'!$A$218&gt;35,FE39+FD40-FM39,IF(A40&lt;'Données projet'!$A$218,$FB$205^A40,IF(A40='Données projet'!$A$218,'Données projet'!$B$218,FE39+FD40-FM39)))</f>
        <v>223.39999999999998</v>
      </c>
      <c r="FF40" s="17">
        <f>FE40*VLOOKUP('Données projet'!$B$16,Paramètres!$A$1:$I$89,3,0)*VLOOKUP('Données projet'!$B$16,Paramètres!$A$1:$I$89,5,0)</f>
        <v>177.73703999999998</v>
      </c>
      <c r="FG40" s="13">
        <f t="shared" si="47"/>
        <v>44.818349142210366</v>
      </c>
      <c r="FH40" s="20">
        <f t="shared" si="22"/>
        <v>387.61730275601627</v>
      </c>
      <c r="FI40" s="59">
        <f t="shared" si="23"/>
        <v>680.95063608934959</v>
      </c>
      <c r="FJ40" s="59">
        <f ca="1">AVERAGE(OFFSET($FI$3,0,0,'Données projet'!$E$16+1,1))-AVERAGE(OFFSET($H$3,0,0,'Données projet'!$E$16+1,1))</f>
        <v>331.52724290297675</v>
      </c>
      <c r="FK40" s="59">
        <f t="shared" si="48"/>
        <v>322.79102610158054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18.817647583004948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18.817647583004948</v>
      </c>
      <c r="FU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29.6</v>
      </c>
      <c r="FZ40" s="12">
        <f>IF('Données projet'!$A$244&gt;35,FZ39+FY40-GH39,IF(A40&lt;'Données projet'!$A$244,$FW$205^A40,IF(A40='Données projet'!$A$244,'Données projet'!$B$244,FZ39+FY40-GH39)))</f>
        <v>435.20000000000016</v>
      </c>
      <c r="GA40" s="17">
        <f>FZ40*VLOOKUP('Données projet'!$B$17,Paramètres!$A$1:$I$89,3,0)*VLOOKUP('Données projet'!$B$17,Paramètres!$A$1:$I$89,5,0)</f>
        <v>214.98880000000008</v>
      </c>
      <c r="GB40" s="13">
        <f t="shared" si="49"/>
        <v>53.024269883045626</v>
      </c>
      <c r="GC40" s="20">
        <f t="shared" si="25"/>
        <v>466.78943004630463</v>
      </c>
      <c r="GD40" s="59">
        <f t="shared" si="26"/>
        <v>760.12276337963795</v>
      </c>
      <c r="GE40" s="59">
        <f ca="1">AVERAGE(OFFSET($GD$3,0,0,'Données projet'!$E$17+1,1))-AVERAGE(OFFSET($H$3,0,0,'Données projet'!$E$17+1,1))</f>
        <v>434.08297999735811</v>
      </c>
      <c r="GF40" s="59">
        <f t="shared" si="50"/>
        <v>371.04090283546122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26.675158338468595</v>
      </c>
      <c r="GM40" s="21">
        <f>EXP(-LN(2)/25)*GM39+(1-EXP(-LN(2)/25))/(LN(2)/25)*Calculateur!GH40*Calculateur!GJ40*VLOOKUP('Données projet'!$B$17,Paramètres!$A$1:$I$89,3,0)*0.475*44/12</f>
        <v>42.586937987905351</v>
      </c>
      <c r="GN40" s="21">
        <f>EXP(-LN(2)/2)*GN39+(1-EXP(-LN(2)/2))/(LN(2)/2)*GH40*GK40*VLOOKUP('Données projet'!$B$17,Paramètres!$A$1:$I$89,3,0)*0.475*44/12</f>
        <v>6.6431793966516939E-2</v>
      </c>
      <c r="GO40" s="21">
        <f t="shared" si="27"/>
        <v>69.328528120340465</v>
      </c>
      <c r="GP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18.8</v>
      </c>
      <c r="GU40" s="12">
        <f>IF('Données projet'!$A$270&gt;35,GU39+GT40-HC39,IF(A40&lt;'Données projet'!$A$270,$GR$205^A40,IF(A40='Données projet'!$A$270,'Données projet'!$B$270,GU39+GT40-HC39)))</f>
        <v>243.59999999999997</v>
      </c>
      <c r="GV40" s="17">
        <f>GU40*VLOOKUP('Données projet'!$B$18,Paramètres!$A$1:$I$89,3,0)*VLOOKUP('Données projet'!$B$18,Paramètres!$A$1:$I$89,5,0)</f>
        <v>139.33919999999998</v>
      </c>
      <c r="GW40" s="13">
        <f t="shared" si="51"/>
        <v>36.145583836349658</v>
      </c>
      <c r="GX40" s="20">
        <f t="shared" si="28"/>
        <v>305.6359985149756</v>
      </c>
      <c r="GY40" s="59">
        <f t="shared" si="29"/>
        <v>598.96933184830891</v>
      </c>
      <c r="GZ40" s="59">
        <f ca="1">AVERAGE(OFFSET($GY$3,0,0,'Données projet'!$E$18+1,1))-AVERAGE(OFFSET($H$3,0,0,'Données projet'!$E$18+1,1))</f>
        <v>362.57172983134313</v>
      </c>
      <c r="HA40" s="59">
        <f t="shared" si="52"/>
        <v>232.03250917542471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16.081674405009775</v>
      </c>
      <c r="HH40" s="21">
        <f>EXP(-LN(2)/25)*HH39+(1-EXP(-LN(2)/25))/(LN(2)/25)*Calculateur!HC40*Calculateur!HE40*VLOOKUP('Données projet'!$B$18,Paramètres!$A$1:$I$89,3,0)*0.475*44/12</f>
        <v>25.674421944861596</v>
      </c>
      <c r="HI40" s="21">
        <f>EXP(-LN(2)/2)*HI39+(1-EXP(-LN(2)/2))/(LN(2)/2)*HC40*HF40*VLOOKUP('Données projet'!$B$18,Paramètres!$A$1:$I$89,3,0)*0.475*44/12</f>
        <v>6.6187858370556643E-2</v>
      </c>
      <c r="HJ40" s="22">
        <f t="shared" si="30"/>
        <v>41.822284208241925</v>
      </c>
    </row>
    <row r="41" spans="1:218" x14ac:dyDescent="0.3">
      <c r="A41" s="10">
        <f t="shared" si="31"/>
        <v>38</v>
      </c>
      <c r="B41" s="71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5">
        <f t="shared" si="1"/>
        <v>335.62813316205717</v>
      </c>
      <c r="I41" s="6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9.6</v>
      </c>
      <c r="N41" s="13">
        <f>IF('Données projet'!$A$36&gt;35,N40+M41-V40,IF(A41&lt;'Données projet'!$A$36,$K$205^A41,IF(A41='Données projet'!$A$36,'Données projet'!$B$36,N40+M41-V40)))</f>
        <v>172.8</v>
      </c>
      <c r="O41" s="13">
        <f>N41*VLOOKUP('Données projet'!$B$9,Paramètres!$A$1:$I$89,3,0)*VLOOKUP('Données projet'!$B$9,Paramètres!$A$1:$I$89,5,0)</f>
        <v>137.47968000000003</v>
      </c>
      <c r="P41" s="13">
        <f t="shared" si="33"/>
        <v>35.719026553355249</v>
      </c>
      <c r="Q41" s="20">
        <f t="shared" si="53"/>
        <v>301.65441391376049</v>
      </c>
      <c r="R41" s="59">
        <f t="shared" si="0"/>
        <v>594.98774724709381</v>
      </c>
      <c r="S41" s="59">
        <f ca="1">AVERAGE(OFFSET($R$3,0,0,'Données projet'!$E$9+1,1))-AVERAGE(OFFSET($H$3,0,0,'Données projet'!$E$9+1,1))</f>
        <v>225.2323446080772</v>
      </c>
      <c r="T41" s="59">
        <f t="shared" si="34"/>
        <v>222.29030402759292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12.299096661022617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12.299096661022617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25</v>
      </c>
      <c r="AI41" s="13">
        <f>IF('Données projet'!$A$62&gt;35,AI40+AH41-AQ40,IF(A41&lt;'Données projet'!$A$62,$AF$205^A41,IF(A41='Données projet'!$A$62,'Données projet'!$B$62,AI40+AH41-AQ40)))</f>
        <v>386.00000000000006</v>
      </c>
      <c r="AJ41" s="13">
        <f>AI41*VLOOKUP('Données projet'!$B$10,Paramètres!$A$1:$I$89,3,0)*VLOOKUP('Données projet'!$B$10,Paramètres!$A$1:$I$89,5,0)</f>
        <v>190.68400000000005</v>
      </c>
      <c r="AK41" s="13">
        <f t="shared" si="35"/>
        <v>47.691143897838018</v>
      </c>
      <c r="AL41" s="20">
        <f t="shared" si="4"/>
        <v>415.17004228873458</v>
      </c>
      <c r="AM41" s="59">
        <f t="shared" si="5"/>
        <v>708.50337562206789</v>
      </c>
      <c r="AN41" s="59">
        <f ca="1">AVERAGE(OFFSET($AM$3,0,0,'Données projet'!$E$10+1,1))-AVERAGE(OFFSET($H$3,0,0,'Données projet'!$E$10+1,1))</f>
        <v>360.05819346986135</v>
      </c>
      <c r="AO41" s="59">
        <f t="shared" si="36"/>
        <v>300.47468388351081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21.397152071201941</v>
      </c>
      <c r="AV41" s="21">
        <f>EXP(-LN(2)/25)*AV40+(1-EXP(-LN(2)/25))/(LN(2)/25)*Calculateur!AQ41*Calculateur!AS41*VLOOKUP('Données projet'!$B$10,Paramètres!$A$1:$I$89,3,0)*0.475*44/12</f>
        <v>33.891051214698827</v>
      </c>
      <c r="AW41" s="21">
        <f>EXP(-LN(2)/2)*AW40+(1-EXP(-LN(2)/2))/(LN(2)/2)*AQ41*AT41*VLOOKUP('Données projet'!$B$10,Paramètres!$A$1:$I$89,3,0)*0.475*44/12</f>
        <v>3.2772817674496533E-3</v>
      </c>
      <c r="AX41" s="21">
        <f t="shared" si="6"/>
        <v>55.291480567668216</v>
      </c>
      <c r="AY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14</v>
      </c>
      <c r="BD41" s="12">
        <f>IF('Données projet'!$A$88&gt;35,BD40+BC41-BL40,IF(A41&lt;'Données projet'!$A$88,$BA$205^A41,IF(A41='Données projet'!$A$88,'Données projet'!$B$88,BD40+BC41-BL40)))</f>
        <v>175.99999999999989</v>
      </c>
      <c r="BE41" s="13">
        <f>BD41*VLOOKUP('Données projet'!$B$11,Paramètres!$A$1:$I$89,3,0)*VLOOKUP('Données projet'!$B$11,Paramètres!$A$1:$I$89,5,0)</f>
        <v>100.67199999999994</v>
      </c>
      <c r="BF41" s="13">
        <f t="shared" si="37"/>
        <v>27.122029824032914</v>
      </c>
      <c r="BG41" s="20">
        <f t="shared" si="7"/>
        <v>222.5746019435239</v>
      </c>
      <c r="BH41" s="59">
        <f t="shared" si="8"/>
        <v>515.90793527685719</v>
      </c>
      <c r="BI41" s="59">
        <f ca="1">AVERAGE(OFFSET($BH$3,0,0,'Données projet'!$E$11+1,1))-AVERAGE(OFFSET($H$3,0,0,'Données projet'!$E$11+1,1))</f>
        <v>250.90038883668348</v>
      </c>
      <c r="BJ41" s="59">
        <f t="shared" si="38"/>
        <v>141.96132114475608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11.261658984843129</v>
      </c>
      <c r="BQ41" s="21">
        <f>EXP(-LN(2)/25)*BQ40+(1-EXP(-LN(2)/25))/(LN(2)/25)*Calculateur!BL41*Calculateur!BN41*VLOOKUP('Données projet'!$B$11,Paramètres!$A$1:$I$89,3,0)*0.475*44/12</f>
        <v>9.5359065540178438</v>
      </c>
      <c r="BR41" s="21">
        <f>EXP(-LN(2)/2)*BR40+(1-EXP(-LN(2)/2))/(LN(2)/2)*BL41*BO41*VLOOKUP('Données projet'!$B$11,Paramètres!$A$1:$I$89,3,0)*0.475*44/12</f>
        <v>0.23612965688955367</v>
      </c>
      <c r="BS41" s="22">
        <f t="shared" si="9"/>
        <v>21.033695195750525</v>
      </c>
      <c r="BT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11.4</v>
      </c>
      <c r="BY41" s="12">
        <f>IF('Données projet'!$A$114&gt;35,BY40+BX41-CG40,IF(A41&lt;'Données projet'!$A$114,$BV$205^A41,IF(A41='Données projet'!$A$114,'Données projet'!$B$114,BY40+BX41-CG40)))</f>
        <v>205.2</v>
      </c>
      <c r="BZ41" s="13">
        <f>BY41*VLOOKUP('Données projet'!$B$12,Paramètres!$A$1:$I$89,3,0)*VLOOKUP('Données projet'!$B$12,Paramètres!$A$1:$I$89,5,0)</f>
        <v>163.25712000000001</v>
      </c>
      <c r="CA41" s="13">
        <f t="shared" si="39"/>
        <v>41.576304038313076</v>
      </c>
      <c r="CB41" s="20">
        <f t="shared" si="10"/>
        <v>356.75154686672863</v>
      </c>
      <c r="CC41" s="59">
        <f t="shared" si="11"/>
        <v>650.08488020006189</v>
      </c>
      <c r="CD41" s="59">
        <f ca="1">AVERAGE(OFFSET($CC$3,0,0,'Données projet'!$E$12+1,1))-AVERAGE(OFFSET($H$3,0,0,'Données projet'!$E$12+1,1))</f>
        <v>279.49721661620544</v>
      </c>
      <c r="CE41" s="59">
        <f t="shared" si="40"/>
        <v>275.18739333988754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15.373870826278271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15.373870826278271</v>
      </c>
      <c r="CO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27.4</v>
      </c>
      <c r="CT41" s="12">
        <f>IF('Données projet'!$A$140&gt;35,CT40+CS41-DB40,IF(A41&lt;'Données projet'!$A$140,$CQ$205^A41,IF(A41='Données projet'!$A$140,'Données projet'!$B$140,CT40+CS41-DB40)))</f>
        <v>425.2</v>
      </c>
      <c r="CU41" s="17">
        <f>CT41*VLOOKUP('Données projet'!$B$13,Paramètres!$A$1:$I$89,3,0)*VLOOKUP('Données projet'!$B$13,Paramètres!$A$1:$I$89,5,0)</f>
        <v>210.0488</v>
      </c>
      <c r="CV41" s="13">
        <f t="shared" si="41"/>
        <v>51.946249581877133</v>
      </c>
      <c r="CW41" s="20">
        <f t="shared" si="13"/>
        <v>456.30804468843598</v>
      </c>
      <c r="CX41" s="59">
        <f t="shared" si="14"/>
        <v>749.64137802176924</v>
      </c>
      <c r="CY41" s="59">
        <f ca="1">AVERAGE(OFFSET($CX$3,0,0,'Données projet'!$E$13+1,1))-AVERAGE(OFFSET($H$3,0,0,'Données projet'!$E$13+1,1))</f>
        <v>396.27049617044378</v>
      </c>
      <c r="CZ41" s="59">
        <f t="shared" si="42"/>
        <v>335.2680289568774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23.774613412446602</v>
      </c>
      <c r="DG41" s="21">
        <f>EXP(-LN(2)/25)*DG40+(1-EXP(-LN(2)/25))/(LN(2)/25)*Calculateur!DB41*Calculateur!DD41*VLOOKUP('Données projet'!$B$13,Paramètres!$A$1:$I$89,3,0)*0.475*44/12</f>
        <v>37.656723571887582</v>
      </c>
      <c r="DH41" s="21">
        <f>EXP(-LN(2)/2)*DH40+(1-EXP(-LN(2)/2))/(LN(2)/2)*DB41*DE41*VLOOKUP('Données projet'!$B$13,Paramètres!$A$1:$I$89,3,0)*0.475*44/12</f>
        <v>2.4033399627964139E-2</v>
      </c>
      <c r="DI41" s="22">
        <f t="shared" si="15"/>
        <v>61.455370383962148</v>
      </c>
      <c r="DJ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16.600000000000001</v>
      </c>
      <c r="DO41" s="12">
        <f>IF('Données projet'!$A$166&gt;35,DO40+DN41-DW40,IF(A41&lt;'Données projet'!$A$166,$DL$205^A41,IF(A41='Données projet'!$A$166,'Données projet'!$B$166,DO40+DN41-DW40)))</f>
        <v>219.7999999999999</v>
      </c>
      <c r="DP41" s="17">
        <f>DO41*VLOOKUP('Données projet'!$B$14,Paramètres!$A$1:$I$89,3,0)*VLOOKUP('Données projet'!$B$14,Paramètres!$A$1:$I$89,5,0)</f>
        <v>125.72559999999996</v>
      </c>
      <c r="DQ41" s="13">
        <f t="shared" si="43"/>
        <v>33.00675739860857</v>
      </c>
      <c r="DR41" s="20">
        <f t="shared" si="16"/>
        <v>276.45885580257652</v>
      </c>
      <c r="DS41" s="59">
        <f t="shared" si="17"/>
        <v>569.79218913590989</v>
      </c>
      <c r="DT41" s="59">
        <f ca="1">AVERAGE(OFFSET($DS$3,0,0,'Données projet'!$E$14+1,1))-AVERAGE(OFFSET($H$3,0,0,'Données projet'!$E$14+1,1))</f>
        <v>307.43900954374504</v>
      </c>
      <c r="DU41" s="59">
        <f t="shared" si="44"/>
        <v>185.25270859048999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13.513990781811749</v>
      </c>
      <c r="EB41" s="21">
        <f>EXP(-LN(2)/25)*EB40+(1-EXP(-LN(2)/25))/(LN(2)/25)*Calculateur!DW41*Calculateur!DY41*VLOOKUP('Données projet'!$B$14,Paramètres!$A$1:$I$89,3,0)*0.475*44/12</f>
        <v>21.404874451388729</v>
      </c>
      <c r="EC41" s="21">
        <f>EXP(-LN(2)/2)*EC40+(1-EXP(-LN(2)/2))/(LN(2)/2)*DW41*DZ41*VLOOKUP('Données projet'!$B$14,Paramètres!$A$1:$I$89,3,0)*0.475*44/12</f>
        <v>2.276848385807128E-2</v>
      </c>
      <c r="ED41" s="22">
        <f t="shared" si="18"/>
        <v>34.941633717058551</v>
      </c>
      <c r="EE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13.9</v>
      </c>
      <c r="EJ41" s="12">
        <f>IF('Données projet'!$A$192&gt;35,EJ40+EI41-ER40,IF(A41&lt;'Données projet'!$A$192,$EG$205^A41,IF(A41='Données projet'!$A$192,'Données projet'!$B$192,EJ40+EI41-ER40)))</f>
        <v>274.40000000000015</v>
      </c>
      <c r="EK41" s="17">
        <f>EJ41*VLOOKUP('Données projet'!$B$15,Paramètres!$A$1:$I$89,3,0)*VLOOKUP('Données projet'!$B$15,Paramètres!$A$1:$I$89,5,0)</f>
        <v>171.2256000000001</v>
      </c>
      <c r="EL41" s="13">
        <f t="shared" si="45"/>
        <v>43.364402348589557</v>
      </c>
      <c r="EM41" s="20">
        <f t="shared" si="19"/>
        <v>373.74425409046029</v>
      </c>
      <c r="EN41" s="59">
        <f t="shared" si="20"/>
        <v>667.0775874237936</v>
      </c>
      <c r="EO41" s="59">
        <f ca="1">AVERAGE(OFFSET($EN$3,0,0,'Données projet'!$E$15+1,1))-AVERAGE(OFFSET($H$3,0,0,'Données projet'!$E$15+1,1))</f>
        <v>269.77739619445515</v>
      </c>
      <c r="EP41" s="59">
        <f t="shared" si="46"/>
        <v>347.56964743629885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27.878880452766481</v>
      </c>
      <c r="EW41" s="21">
        <f>EXP(-LN(2)/25)*EW40+(1-EXP(-LN(2)/25))/(LN(2)/25)*Calculateur!ER41*Calculateur!ET41*VLOOKUP('Données projet'!$B$15,Paramètres!$A$1:$I$89,3,0)*0.475*44/12</f>
        <v>73.491906484271368</v>
      </c>
      <c r="EX41" s="21">
        <f>EXP(-LN(2)/2)*EX40+(1-EXP(-LN(2)/2))/(LN(2)/2)*ER41*EU41*VLOOKUP('Données projet'!$B$15,Paramètres!$A$1:$I$89,3,0)*0.475*44/12</f>
        <v>1.5523966266866784E-3</v>
      </c>
      <c r="EY41" s="22">
        <f t="shared" si="21"/>
        <v>101.37233933366454</v>
      </c>
      <c r="EZ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13.2</v>
      </c>
      <c r="FE41" s="12">
        <f>IF('Données projet'!$A$218&gt;35,FE40+FD41-FM40,IF(A41&lt;'Données projet'!$A$218,$FB$205^A41,IF(A41='Données projet'!$A$218,'Données projet'!$B$218,FE40+FD41-FM40)))</f>
        <v>236.59999999999997</v>
      </c>
      <c r="FF41" s="17">
        <f>FE41*VLOOKUP('Données projet'!$B$16,Paramètres!$A$1:$I$89,3,0)*VLOOKUP('Données projet'!$B$16,Paramètres!$A$1:$I$89,5,0)</f>
        <v>188.23895999999999</v>
      </c>
      <c r="FG41" s="13">
        <f t="shared" si="47"/>
        <v>47.150401158990007</v>
      </c>
      <c r="FH41" s="20">
        <f t="shared" si="22"/>
        <v>409.96980401857422</v>
      </c>
      <c r="FI41" s="59">
        <f t="shared" si="23"/>
        <v>703.30313735190748</v>
      </c>
      <c r="FJ41" s="59">
        <f ca="1">AVERAGE(OFFSET($FI$3,0,0,'Données projet'!$E$16+1,1))-AVERAGE(OFFSET($H$3,0,0,'Données projet'!$E$16+1,1))</f>
        <v>331.52724290297675</v>
      </c>
      <c r="FK41" s="59">
        <f t="shared" si="48"/>
        <v>322.79102610158054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18.448644991533925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18.448644991533925</v>
      </c>
      <c r="FU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29.6</v>
      </c>
      <c r="FZ41" s="12">
        <f>IF('Données projet'!$A$244&gt;35,FZ40+FY41-GH40,IF(A41&lt;'Données projet'!$A$244,$FW$205^A41,IF(A41='Données projet'!$A$244,'Données projet'!$B$244,FZ40+FY41-GH40)))</f>
        <v>464.80000000000018</v>
      </c>
      <c r="GA41" s="17">
        <f>FZ41*VLOOKUP('Données projet'!$B$17,Paramètres!$A$1:$I$89,3,0)*VLOOKUP('Données projet'!$B$17,Paramètres!$A$1:$I$89,5,0)</f>
        <v>229.61120000000011</v>
      </c>
      <c r="GB41" s="13">
        <f t="shared" si="49"/>
        <v>56.19860560493467</v>
      </c>
      <c r="GC41" s="20">
        <f t="shared" si="25"/>
        <v>497.78541142859484</v>
      </c>
      <c r="GD41" s="59">
        <f t="shared" si="26"/>
        <v>791.11874476192816</v>
      </c>
      <c r="GE41" s="59">
        <f ca="1">AVERAGE(OFFSET($GD$3,0,0,'Données projet'!$E$17+1,1))-AVERAGE(OFFSET($H$3,0,0,'Données projet'!$E$17+1,1))</f>
        <v>434.08297999735811</v>
      </c>
      <c r="GF41" s="59">
        <f t="shared" si="50"/>
        <v>371.04090283546122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26.152074753691259</v>
      </c>
      <c r="GM41" s="21">
        <f>EXP(-LN(2)/25)*GM40+(1-EXP(-LN(2)/25))/(LN(2)/25)*Calculateur!GH41*Calculateur!GJ41*VLOOKUP('Données projet'!$B$17,Paramètres!$A$1:$I$89,3,0)*0.475*44/12</f>
        <v>41.422395929076345</v>
      </c>
      <c r="GN41" s="21">
        <f>EXP(-LN(2)/2)*GN40+(1-EXP(-LN(2)/2))/(LN(2)/2)*GH41*GK41*VLOOKUP('Données projet'!$B$17,Paramètres!$A$1:$I$89,3,0)*0.475*44/12</f>
        <v>4.6974372000111703E-2</v>
      </c>
      <c r="GO41" s="21">
        <f t="shared" si="27"/>
        <v>67.621445054767719</v>
      </c>
      <c r="GP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18.8</v>
      </c>
      <c r="GU41" s="12">
        <f>IF('Données projet'!$A$270&gt;35,GU40+GT41-HC40,IF(A41&lt;'Données projet'!$A$270,$GR$205^A41,IF(A41='Données projet'!$A$270,'Données projet'!$B$270,GU40+GT41-HC40)))</f>
        <v>262.39999999999998</v>
      </c>
      <c r="GV41" s="17">
        <f>GU41*VLOOKUP('Données projet'!$B$18,Paramètres!$A$1:$I$89,3,0)*VLOOKUP('Données projet'!$B$18,Paramètres!$A$1:$I$89,5,0)</f>
        <v>150.09279999999998</v>
      </c>
      <c r="GW41" s="13">
        <f t="shared" si="51"/>
        <v>38.599673994684856</v>
      </c>
      <c r="GX41" s="20">
        <f t="shared" si="28"/>
        <v>328.6393922074094</v>
      </c>
      <c r="GY41" s="59">
        <f t="shared" si="29"/>
        <v>621.97272554074266</v>
      </c>
      <c r="GZ41" s="59">
        <f ca="1">AVERAGE(OFFSET($GY$3,0,0,'Données projet'!$E$18+1,1))-AVERAGE(OFFSET($H$3,0,0,'Données projet'!$E$18+1,1))</f>
        <v>362.57172983134313</v>
      </c>
      <c r="HA41" s="59">
        <f t="shared" si="52"/>
        <v>232.03250917542471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15.766322578780375</v>
      </c>
      <c r="HH41" s="21">
        <f>EXP(-LN(2)/25)*HH40+(1-EXP(-LN(2)/25))/(LN(2)/25)*Calculateur!HC41*Calculateur!HE41*VLOOKUP('Données projet'!$B$18,Paramètres!$A$1:$I$89,3,0)*0.475*44/12</f>
        <v>24.972353526620186</v>
      </c>
      <c r="HI41" s="21">
        <f>EXP(-LN(2)/2)*HI40+(1-EXP(-LN(2)/2))/(LN(2)/2)*HC41*HF41*VLOOKUP('Données projet'!$B$18,Paramètres!$A$1:$I$89,3,0)*0.475*44/12</f>
        <v>4.6801883486035395E-2</v>
      </c>
      <c r="HJ41" s="22">
        <f t="shared" si="30"/>
        <v>40.785477988886591</v>
      </c>
    </row>
    <row r="42" spans="1:218" x14ac:dyDescent="0.3">
      <c r="A42" s="10">
        <f t="shared" si="31"/>
        <v>39</v>
      </c>
      <c r="B42" s="71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5">
        <f t="shared" si="1"/>
        <v>336.70874275198798</v>
      </c>
      <c r="I42" s="6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9.6</v>
      </c>
      <c r="N42" s="13">
        <f>IF('Données projet'!$A$36&gt;35,N41+M42-V41,IF(A42&lt;'Données projet'!$A$36,$K$205^A42,IF(A42='Données projet'!$A$36,'Données projet'!$B$36,N41+M42-V41)))</f>
        <v>182.4</v>
      </c>
      <c r="O42" s="13">
        <f>N42*VLOOKUP('Données projet'!$B$9,Paramètres!$A$1:$I$89,3,0)*VLOOKUP('Données projet'!$B$9,Paramètres!$A$1:$I$89,5,0)</f>
        <v>145.11744000000002</v>
      </c>
      <c r="P42" s="13">
        <f t="shared" si="33"/>
        <v>37.466878406916173</v>
      </c>
      <c r="Q42" s="20">
        <f t="shared" si="53"/>
        <v>318.00102122537902</v>
      </c>
      <c r="R42" s="59">
        <f t="shared" si="0"/>
        <v>611.33435455871233</v>
      </c>
      <c r="S42" s="59">
        <f ca="1">AVERAGE(OFFSET($R$3,0,0,'Données projet'!$E$9+1,1))-AVERAGE(OFFSET($H$3,0,0,'Données projet'!$E$9+1,1))</f>
        <v>225.2323446080772</v>
      </c>
      <c r="T42" s="59">
        <f t="shared" si="34"/>
        <v>222.29030402759292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12.057918877208195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12.057918877208195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25</v>
      </c>
      <c r="AI42" s="13">
        <f>IF('Données projet'!$A$62&gt;35,AI41+AH42-AQ41,IF(A42&lt;'Données projet'!$A$62,$AF$205^A42,IF(A42='Données projet'!$A$62,'Données projet'!$B$62,AI41+AH42-AQ41)))</f>
        <v>411.00000000000006</v>
      </c>
      <c r="AJ42" s="13">
        <f>AI42*VLOOKUP('Données projet'!$B$10,Paramètres!$A$1:$I$89,3,0)*VLOOKUP('Données projet'!$B$10,Paramètres!$A$1:$I$89,5,0)</f>
        <v>203.03400000000005</v>
      </c>
      <c r="AK42" s="13">
        <f t="shared" si="35"/>
        <v>50.410363694992562</v>
      </c>
      <c r="AL42" s="20">
        <f t="shared" si="4"/>
        <v>441.41560010211202</v>
      </c>
      <c r="AM42" s="59">
        <f t="shared" si="5"/>
        <v>734.74893343544534</v>
      </c>
      <c r="AN42" s="59">
        <f ca="1">AVERAGE(OFFSET($AM$3,0,0,'Données projet'!$E$10+1,1))-AVERAGE(OFFSET($H$3,0,0,'Données projet'!$E$10+1,1))</f>
        <v>360.05819346986135</v>
      </c>
      <c r="AO42" s="59">
        <f t="shared" si="36"/>
        <v>300.47468388351081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20.977566970059758</v>
      </c>
      <c r="AV42" s="21">
        <f>EXP(-LN(2)/25)*AV41+(1-EXP(-LN(2)/25))/(LN(2)/25)*Calculateur!AQ42*Calculateur!AS42*VLOOKUP('Données projet'!$B$10,Paramètres!$A$1:$I$89,3,0)*0.475*44/12</f>
        <v>32.964298636979962</v>
      </c>
      <c r="AW42" s="21">
        <f>EXP(-LN(2)/2)*AW41+(1-EXP(-LN(2)/2))/(LN(2)/2)*AQ42*AT42*VLOOKUP('Données projet'!$B$10,Paramètres!$A$1:$I$89,3,0)*0.475*44/12</f>
        <v>2.3173881616226836E-3</v>
      </c>
      <c r="AX42" s="21">
        <f t="shared" si="6"/>
        <v>53.944182995201338</v>
      </c>
      <c r="AY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14</v>
      </c>
      <c r="BD42" s="12">
        <f>IF('Données projet'!$A$88&gt;35,BD41+BC42-BL41,IF(A42&lt;'Données projet'!$A$88,$BA$205^A42,IF(A42='Données projet'!$A$88,'Données projet'!$B$88,BD41+BC42-BL41)))</f>
        <v>189.99999999999989</v>
      </c>
      <c r="BE42" s="13">
        <f>BD42*VLOOKUP('Données projet'!$B$11,Paramètres!$A$1:$I$89,3,0)*VLOOKUP('Données projet'!$B$11,Paramètres!$A$1:$I$89,5,0)</f>
        <v>108.67999999999994</v>
      </c>
      <c r="BF42" s="13">
        <f t="shared" si="37"/>
        <v>29.019764096784986</v>
      </c>
      <c r="BG42" s="20">
        <f t="shared" si="7"/>
        <v>239.82708913523371</v>
      </c>
      <c r="BH42" s="59">
        <f t="shared" si="8"/>
        <v>533.16042246856705</v>
      </c>
      <c r="BI42" s="59">
        <f ca="1">AVERAGE(OFFSET($BH$3,0,0,'Données projet'!$E$11+1,1))-AVERAGE(OFFSET($H$3,0,0,'Données projet'!$E$11+1,1))</f>
        <v>250.90038883668348</v>
      </c>
      <c r="BJ42" s="59">
        <f t="shared" si="38"/>
        <v>141.96132114475608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11.040824721084086</v>
      </c>
      <c r="BQ42" s="21">
        <f>EXP(-LN(2)/25)*BQ41+(1-EXP(-LN(2)/25))/(LN(2)/25)*Calculateur!BL42*Calculateur!BN42*VLOOKUP('Données projet'!$B$11,Paramètres!$A$1:$I$89,3,0)*0.475*44/12</f>
        <v>9.2751466878266946</v>
      </c>
      <c r="BR42" s="21">
        <f>EXP(-LN(2)/2)*BR41+(1-EXP(-LN(2)/2))/(LN(2)/2)*BL42*BO42*VLOOKUP('Données projet'!$B$11,Paramètres!$A$1:$I$89,3,0)*0.475*44/12</f>
        <v>0.16696888162585619</v>
      </c>
      <c r="BS42" s="22">
        <f t="shared" si="9"/>
        <v>20.482940290536636</v>
      </c>
      <c r="BT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11.4</v>
      </c>
      <c r="BY42" s="12">
        <f>IF('Données projet'!$A$114&gt;35,BY41+BX42-CG41,IF(A42&lt;'Données projet'!$A$114,$BV$205^A42,IF(A42='Données projet'!$A$114,'Données projet'!$B$114,BY41+BX42-CG41)))</f>
        <v>216.6</v>
      </c>
      <c r="BZ42" s="13">
        <f>BY42*VLOOKUP('Données projet'!$B$12,Paramètres!$A$1:$I$89,3,0)*VLOOKUP('Données projet'!$B$12,Paramètres!$A$1:$I$89,5,0)</f>
        <v>172.32695999999999</v>
      </c>
      <c r="CA42" s="13">
        <f t="shared" si="39"/>
        <v>43.61077213808133</v>
      </c>
      <c r="CB42" s="20">
        <f t="shared" si="10"/>
        <v>376.09155014049156</v>
      </c>
      <c r="CC42" s="59">
        <f t="shared" si="11"/>
        <v>669.42488347382482</v>
      </c>
      <c r="CD42" s="59">
        <f ca="1">AVERAGE(OFFSET($CC$3,0,0,'Données projet'!$E$12+1,1))-AVERAGE(OFFSET($H$3,0,0,'Données projet'!$E$12+1,1))</f>
        <v>279.49721661620544</v>
      </c>
      <c r="CE42" s="59">
        <f t="shared" si="40"/>
        <v>275.18739333988754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15.072398596510244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15.072398596510244</v>
      </c>
      <c r="CO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27.4</v>
      </c>
      <c r="CT42" s="12">
        <f>IF('Données projet'!$A$140&gt;35,CT41+CS42-DB41,IF(A42&lt;'Données projet'!$A$140,$CQ$205^A42,IF(A42='Données projet'!$A$140,'Données projet'!$B$140,CT41+CS42-DB41)))</f>
        <v>452.59999999999997</v>
      </c>
      <c r="CU42" s="17">
        <f>CT42*VLOOKUP('Données projet'!$B$13,Paramètres!$A$1:$I$89,3,0)*VLOOKUP('Données projet'!$B$13,Paramètres!$A$1:$I$89,5,0)</f>
        <v>223.58440000000002</v>
      </c>
      <c r="CV42" s="13">
        <f t="shared" si="41"/>
        <v>54.893203066121892</v>
      </c>
      <c r="CW42" s="20">
        <f t="shared" si="13"/>
        <v>485.01515867349559</v>
      </c>
      <c r="CX42" s="59">
        <f t="shared" si="14"/>
        <v>778.34849200682891</v>
      </c>
      <c r="CY42" s="59">
        <f ca="1">AVERAGE(OFFSET($CX$3,0,0,'Données projet'!$E$13+1,1))-AVERAGE(OFFSET($H$3,0,0,'Données projet'!$E$13+1,1))</f>
        <v>396.27049617044378</v>
      </c>
      <c r="CZ42" s="59">
        <f t="shared" si="42"/>
        <v>335.2680289568774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23.308407744510841</v>
      </c>
      <c r="DG42" s="21">
        <f>EXP(-LN(2)/25)*DG41+(1-EXP(-LN(2)/25))/(LN(2)/25)*Calculateur!DB42*Calculateur!DD42*VLOOKUP('Données projet'!$B$13,Paramètres!$A$1:$I$89,3,0)*0.475*44/12</f>
        <v>36.626998485533292</v>
      </c>
      <c r="DH42" s="21">
        <f>EXP(-LN(2)/2)*DH41+(1-EXP(-LN(2)/2))/(LN(2)/2)*DB42*DE42*VLOOKUP('Données projet'!$B$13,Paramètres!$A$1:$I$89,3,0)*0.475*44/12</f>
        <v>1.6994179851899691E-2</v>
      </c>
      <c r="DI42" s="22">
        <f t="shared" si="15"/>
        <v>59.952400409896036</v>
      </c>
      <c r="DJ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16.600000000000001</v>
      </c>
      <c r="DO42" s="12">
        <f>IF('Données projet'!$A$166&gt;35,DO41+DN42-DW41,IF(A42&lt;'Données projet'!$A$166,$DL$205^A42,IF(A42='Données projet'!$A$166,'Données projet'!$B$166,DO41+DN42-DW41)))</f>
        <v>236.39999999999989</v>
      </c>
      <c r="DP42" s="17">
        <f>DO42*VLOOKUP('Données projet'!$B$14,Paramètres!$A$1:$I$89,3,0)*VLOOKUP('Données projet'!$B$14,Paramètres!$A$1:$I$89,5,0)</f>
        <v>135.22079999999994</v>
      </c>
      <c r="DQ42" s="13">
        <f t="shared" si="43"/>
        <v>35.199954520451797</v>
      </c>
      <c r="DR42" s="20">
        <f t="shared" si="16"/>
        <v>296.81614745645339</v>
      </c>
      <c r="DS42" s="59">
        <f t="shared" si="17"/>
        <v>590.14948078978671</v>
      </c>
      <c r="DT42" s="59">
        <f ca="1">AVERAGE(OFFSET($DS$3,0,0,'Données projet'!$E$14+1,1))-AVERAGE(OFFSET($H$3,0,0,'Données projet'!$E$14+1,1))</f>
        <v>307.43900954374504</v>
      </c>
      <c r="DU42" s="59">
        <f t="shared" si="44"/>
        <v>185.25270859048999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13.248989665300897</v>
      </c>
      <c r="EB42" s="21">
        <f>EXP(-LN(2)/25)*EB41+(1-EXP(-LN(2)/25))/(LN(2)/25)*Calculateur!DW42*Calculateur!DY42*VLOOKUP('Données projet'!$B$14,Paramètres!$A$1:$I$89,3,0)*0.475*44/12</f>
        <v>20.819557033882077</v>
      </c>
      <c r="EC42" s="21">
        <f>EXP(-LN(2)/2)*EC41+(1-EXP(-LN(2)/2))/(LN(2)/2)*DW42*DZ42*VLOOKUP('Données projet'!$B$14,Paramètres!$A$1:$I$89,3,0)*0.475*44/12</f>
        <v>1.6099749333378648E-2</v>
      </c>
      <c r="ED42" s="22">
        <f t="shared" si="18"/>
        <v>34.084646448516352</v>
      </c>
      <c r="EE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13.9</v>
      </c>
      <c r="EJ42" s="12">
        <f>IF('Données projet'!$A$192&gt;35,EJ41+EI42-ER41,IF(A42&lt;'Données projet'!$A$192,$EG$205^A42,IF(A42='Données projet'!$A$192,'Données projet'!$B$192,EJ41+EI42-ER41)))</f>
        <v>288.30000000000013</v>
      </c>
      <c r="EK42" s="17">
        <f>EJ42*VLOOKUP('Données projet'!$B$15,Paramètres!$A$1:$I$89,3,0)*VLOOKUP('Données projet'!$B$15,Paramètres!$A$1:$I$89,5,0)</f>
        <v>179.89920000000006</v>
      </c>
      <c r="EL42" s="13">
        <f t="shared" si="45"/>
        <v>45.299759292628629</v>
      </c>
      <c r="EM42" s="20">
        <f t="shared" si="19"/>
        <v>392.22152076799495</v>
      </c>
      <c r="EN42" s="59">
        <f t="shared" si="20"/>
        <v>685.55485410132826</v>
      </c>
      <c r="EO42" s="59">
        <f ca="1">AVERAGE(OFFSET($EN$3,0,0,'Données projet'!$E$15+1,1))-AVERAGE(OFFSET($H$3,0,0,'Données projet'!$E$15+1,1))</f>
        <v>269.77739619445515</v>
      </c>
      <c r="EP42" s="59">
        <f t="shared" si="46"/>
        <v>347.56964743629885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27.332192611525759</v>
      </c>
      <c r="EW42" s="21">
        <f>EXP(-LN(2)/25)*EW41+(1-EXP(-LN(2)/25))/(LN(2)/25)*Calculateur!ER42*Calculateur!ET42*VLOOKUP('Données projet'!$B$15,Paramètres!$A$1:$I$89,3,0)*0.475*44/12</f>
        <v>71.482266436687567</v>
      </c>
      <c r="EX42" s="21">
        <f>EXP(-LN(2)/2)*EX41+(1-EXP(-LN(2)/2))/(LN(2)/2)*ER42*EU42*VLOOKUP('Données projet'!$B$15,Paramètres!$A$1:$I$89,3,0)*0.475*44/12</f>
        <v>1.0977101818212716E-3</v>
      </c>
      <c r="EY42" s="22">
        <f t="shared" si="21"/>
        <v>98.815556758395147</v>
      </c>
      <c r="EZ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13.2</v>
      </c>
      <c r="FE42" s="12">
        <f>IF('Données projet'!$A$218&gt;35,FE41+FD42-FM41,IF(A42&lt;'Données projet'!$A$218,$FB$205^A42,IF(A42='Données projet'!$A$218,'Données projet'!$B$218,FE41+FD42-FM41)))</f>
        <v>249.79999999999995</v>
      </c>
      <c r="FF42" s="17">
        <f>FE42*VLOOKUP('Données projet'!$B$16,Paramètres!$A$1:$I$89,3,0)*VLOOKUP('Données projet'!$B$16,Paramètres!$A$1:$I$89,5,0)</f>
        <v>198.74087999999998</v>
      </c>
      <c r="FG42" s="13">
        <f t="shared" si="47"/>
        <v>49.467349630825638</v>
      </c>
      <c r="FH42" s="20">
        <f t="shared" si="22"/>
        <v>432.29599994035453</v>
      </c>
      <c r="FI42" s="59">
        <f t="shared" si="23"/>
        <v>725.62933327368785</v>
      </c>
      <c r="FJ42" s="59">
        <f ca="1">AVERAGE(OFFSET($FI$3,0,0,'Données projet'!$E$16+1,1))-AVERAGE(OFFSET($H$3,0,0,'Données projet'!$E$16+1,1))</f>
        <v>331.52724290297675</v>
      </c>
      <c r="FK42" s="59">
        <f t="shared" si="48"/>
        <v>322.79102610158054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18.086878315812292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18.086878315812292</v>
      </c>
      <c r="FU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29.6</v>
      </c>
      <c r="FZ42" s="12">
        <f>IF('Données projet'!$A$244&gt;35,FZ41+FY42-GH41,IF(A42&lt;'Données projet'!$A$244,$FW$205^A42,IF(A42='Données projet'!$A$244,'Données projet'!$B$244,FZ41+FY42-GH41)))</f>
        <v>494.4000000000002</v>
      </c>
      <c r="GA42" s="17">
        <f>FZ42*VLOOKUP('Données projet'!$B$17,Paramètres!$A$1:$I$89,3,0)*VLOOKUP('Données projet'!$B$17,Paramètres!$A$1:$I$89,5,0)</f>
        <v>244.23360000000011</v>
      </c>
      <c r="GB42" s="13">
        <f t="shared" si="49"/>
        <v>59.34948107502936</v>
      </c>
      <c r="GC42" s="20">
        <f t="shared" si="25"/>
        <v>528.7405328723429</v>
      </c>
      <c r="GD42" s="59">
        <f t="shared" si="26"/>
        <v>822.07386620567627</v>
      </c>
      <c r="GE42" s="59">
        <f ca="1">AVERAGE(OFFSET($GD$3,0,0,'Données projet'!$E$17+1,1))-AVERAGE(OFFSET($H$3,0,0,'Données projet'!$E$17+1,1))</f>
        <v>434.08297999735811</v>
      </c>
      <c r="GF42" s="59">
        <f t="shared" si="50"/>
        <v>371.04090283546122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25.639248518961924</v>
      </c>
      <c r="GM42" s="21">
        <f>EXP(-LN(2)/25)*GM41+(1-EXP(-LN(2)/25))/(LN(2)/25)*Calculateur!GH42*Calculateur!GJ42*VLOOKUP('Données projet'!$B$17,Paramètres!$A$1:$I$89,3,0)*0.475*44/12</f>
        <v>40.289698334086623</v>
      </c>
      <c r="GN42" s="21">
        <f>EXP(-LN(2)/2)*GN41+(1-EXP(-LN(2)/2))/(LN(2)/2)*GH42*GK42*VLOOKUP('Données projet'!$B$17,Paramètres!$A$1:$I$89,3,0)*0.475*44/12</f>
        <v>3.3215896983258469E-2</v>
      </c>
      <c r="GO42" s="21">
        <f t="shared" si="27"/>
        <v>65.962162750031808</v>
      </c>
      <c r="GP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18.8</v>
      </c>
      <c r="GU42" s="12">
        <f>IF('Données projet'!$A$270&gt;35,GU41+GT42-HC41,IF(A42&lt;'Données projet'!$A$270,$GR$205^A42,IF(A42='Données projet'!$A$270,'Données projet'!$B$270,GU41+GT42-HC41)))</f>
        <v>281.2</v>
      </c>
      <c r="GV42" s="17">
        <f>GU42*VLOOKUP('Données projet'!$B$18,Paramètres!$A$1:$I$89,3,0)*VLOOKUP('Données projet'!$B$18,Paramètres!$A$1:$I$89,5,0)</f>
        <v>160.84639999999999</v>
      </c>
      <c r="GW42" s="13">
        <f t="shared" si="51"/>
        <v>41.033364628326851</v>
      </c>
      <c r="GX42" s="20">
        <f t="shared" si="28"/>
        <v>351.60725672766921</v>
      </c>
      <c r="GY42" s="59">
        <f t="shared" si="29"/>
        <v>644.94059006100247</v>
      </c>
      <c r="GZ42" s="59">
        <f ca="1">AVERAGE(OFFSET($GY$3,0,0,'Données projet'!$E$18+1,1))-AVERAGE(OFFSET($H$3,0,0,'Données projet'!$E$18+1,1))</f>
        <v>362.57172983134313</v>
      </c>
      <c r="HA42" s="59">
        <f t="shared" si="52"/>
        <v>232.03250917542471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15.457154609517714</v>
      </c>
      <c r="HH42" s="21">
        <f>EXP(-LN(2)/25)*HH41+(1-EXP(-LN(2)/25))/(LN(2)/25)*Calculateur!HC42*Calculateur!HE42*VLOOKUP('Données projet'!$B$18,Paramètres!$A$1:$I$89,3,0)*0.475*44/12</f>
        <v>24.289483206195762</v>
      </c>
      <c r="HI42" s="21">
        <f>EXP(-LN(2)/2)*HI41+(1-EXP(-LN(2)/2))/(LN(2)/2)*HC42*HF42*VLOOKUP('Données projet'!$B$18,Paramètres!$A$1:$I$89,3,0)*0.475*44/12</f>
        <v>3.3093929185278322E-2</v>
      </c>
      <c r="HJ42" s="22">
        <f t="shared" si="30"/>
        <v>39.779731744898754</v>
      </c>
    </row>
    <row r="43" spans="1:218" x14ac:dyDescent="0.3">
      <c r="A43" s="10">
        <f t="shared" si="31"/>
        <v>40</v>
      </c>
      <c r="B43" s="71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5">
        <f t="shared" si="1"/>
        <v>337.78862847140419</v>
      </c>
      <c r="I43" s="6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192</v>
      </c>
      <c r="L43" s="12">
        <f>VLOOKUP(A43,'Données projet'!$A$35:$I$55,9,0)</f>
        <v>9.6</v>
      </c>
      <c r="M43" s="12">
        <f t="array" ref="M43">INDEX(L:L,MIN(IF(ISNUMBER(L43:L239),ROW(L43:L239),"")))</f>
        <v>9.6</v>
      </c>
      <c r="N43" s="13">
        <f>IF('Données projet'!$A$36&gt;35,N42+M43-V42,IF(A43&lt;'Données projet'!$A$36,$K$205^A43,IF(A43='Données projet'!$A$36,'Données projet'!$B$36,N42+M43-V42)))</f>
        <v>192</v>
      </c>
      <c r="O43" s="13">
        <f>N43*VLOOKUP('Données projet'!$B$9,Paramètres!$A$1:$I$89,3,0)*VLOOKUP('Données projet'!$B$9,Paramètres!$A$1:$I$89,5,0)</f>
        <v>152.7552</v>
      </c>
      <c r="P43" s="13">
        <f t="shared" si="33"/>
        <v>39.204049895729561</v>
      </c>
      <c r="Q43" s="20">
        <f t="shared" si="53"/>
        <v>334.32902690172892</v>
      </c>
      <c r="R43" s="59">
        <f t="shared" si="0"/>
        <v>627.66236023506224</v>
      </c>
      <c r="S43" s="59">
        <f ca="1">AVERAGE(OFFSET($R$3,0,0,'Données projet'!$E$9+1,1))-AVERAGE(OFFSET($H$3,0,0,'Données projet'!$E$9+1,1))</f>
        <v>225.2323446080772</v>
      </c>
      <c r="T43" s="59">
        <f t="shared" si="34"/>
        <v>222.29030402759292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0.53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24.873431994543651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24.873431994543651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436</v>
      </c>
      <c r="AG43" s="12">
        <f>VLOOKUP(A43,'Données projet'!$A$61:$I$81,9,0)</f>
        <v>25</v>
      </c>
      <c r="AH43" s="12">
        <f t="array" ref="AH43">INDEX(AG:AG,MIN(IF(ISNUMBER(AG43:AG239),ROW(AG43:AG239),"")))</f>
        <v>25</v>
      </c>
      <c r="AI43" s="13">
        <f>IF('Données projet'!$A$62&gt;35,AI42+AH43-AQ42,IF(A43&lt;'Données projet'!$A$62,$AF$205^A43,IF(A43='Données projet'!$A$62,'Données projet'!$B$62,AI42+AH43-AQ42)))</f>
        <v>436.00000000000006</v>
      </c>
      <c r="AJ43" s="13">
        <f>AI43*VLOOKUP('Données projet'!$B$10,Paramètres!$A$1:$I$89,3,0)*VLOOKUP('Données projet'!$B$10,Paramètres!$A$1:$I$89,5,0)</f>
        <v>215.38400000000004</v>
      </c>
      <c r="AK43" s="13">
        <f t="shared" si="35"/>
        <v>53.110386125312225</v>
      </c>
      <c r="AL43" s="20">
        <f t="shared" si="4"/>
        <v>467.62772250158554</v>
      </c>
      <c r="AM43" s="59">
        <f t="shared" si="5"/>
        <v>760.96105583491885</v>
      </c>
      <c r="AN43" s="59">
        <f ca="1">AVERAGE(OFFSET($AM$3,0,0,'Données projet'!$E$10+1,1))-AVERAGE(OFFSET($H$3,0,0,'Données projet'!$E$10+1,1))</f>
        <v>360.05819346986135</v>
      </c>
      <c r="AO43" s="59">
        <f t="shared" si="36"/>
        <v>300.47468388351081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63</v>
      </c>
      <c r="AR43" s="16">
        <f>IF(ISNA(VLOOKUP(A43,'Données projet'!$A$61:$I$81,5,0)),0%,VLOOKUP(A43,'Données projet'!$A$61:$I$81,5,0)*VLOOKUP('Données projet'!$B$10,Paramètres!$A$1:$I$89,7,0))</f>
        <v>0.55000000000000004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43.273146117033491</v>
      </c>
      <c r="AV43" s="21">
        <f>EXP(-LN(2)/25)*AV42+(1-EXP(-LN(2)/25))/(LN(2)/25)*Calculateur!AQ43*Calculateur!AS43*VLOOKUP('Données projet'!$B$10,Paramètres!$A$1:$I$89,3,0)*0.475*44/12</f>
        <v>32.062888157234617</v>
      </c>
      <c r="AW43" s="21">
        <f>EXP(-LN(2)/2)*AW42+(1-EXP(-LN(2)/2))/(LN(2)/2)*AQ43*AT43*VLOOKUP('Données projet'!$B$10,Paramètres!$A$1:$I$89,3,0)*0.475*44/12</f>
        <v>1.6386408837248266E-3</v>
      </c>
      <c r="AX43" s="21">
        <f t="shared" si="6"/>
        <v>75.337672915151842</v>
      </c>
      <c r="AY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204</v>
      </c>
      <c r="BB43" s="12">
        <f>VLOOKUP(A43,'Données projet'!$A$87:$I$107,9,0)</f>
        <v>14</v>
      </c>
      <c r="BC43" s="12">
        <f t="array" ref="BC43">INDEX(BB:BB,MIN(IF(ISNUMBER(BB43:BB239),ROW(BB43:BB239),"")))</f>
        <v>14</v>
      </c>
      <c r="BD43" s="12">
        <f>IF('Données projet'!$A$88&gt;35,BD42+BC43-BL42,IF(A43&lt;'Données projet'!$A$88,$BA$205^A43,IF(A43='Données projet'!$A$88,'Données projet'!$B$88,BD42+BC43-BL42)))</f>
        <v>203.99999999999989</v>
      </c>
      <c r="BE43" s="13">
        <f>BD43*VLOOKUP('Données projet'!$B$11,Paramètres!$A$1:$I$89,3,0)*VLOOKUP('Données projet'!$B$11,Paramètres!$A$1:$I$89,5,0)</f>
        <v>116.68799999999993</v>
      </c>
      <c r="BF43" s="13">
        <f t="shared" si="37"/>
        <v>30.901275916128835</v>
      </c>
      <c r="BG43" s="20">
        <f t="shared" si="7"/>
        <v>257.05132222059092</v>
      </c>
      <c r="BH43" s="59">
        <f t="shared" si="8"/>
        <v>550.38465555392418</v>
      </c>
      <c r="BI43" s="59">
        <f ca="1">AVERAGE(OFFSET($BH$3,0,0,'Données projet'!$E$11+1,1))-AVERAGE(OFFSET($H$3,0,0,'Données projet'!$E$11+1,1))</f>
        <v>250.90038883668348</v>
      </c>
      <c r="BJ43" s="59">
        <f t="shared" si="38"/>
        <v>141.96132114475608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0.45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22.775340061596573</v>
      </c>
      <c r="BQ43" s="21">
        <f>EXP(-LN(2)/25)*BQ42+(1-EXP(-LN(2)/25))/(LN(2)/25)*Calculateur!BL43*Calculateur!BN43*VLOOKUP('Données projet'!$B$11,Paramètres!$A$1:$I$89,3,0)*0.475*44/12</f>
        <v>9.0215173138893086</v>
      </c>
      <c r="BR43" s="21">
        <f>EXP(-LN(2)/2)*BR42+(1-EXP(-LN(2)/2))/(LN(2)/2)*BL43*BO43*VLOOKUP('Données projet'!$B$11,Paramètres!$A$1:$I$89,3,0)*0.475*44/12</f>
        <v>0.11806482844477685</v>
      </c>
      <c r="BS43" s="22">
        <f t="shared" si="9"/>
        <v>31.914922203930658</v>
      </c>
      <c r="BT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228</v>
      </c>
      <c r="BW43" s="12">
        <f>VLOOKUP(A43,'Données projet'!$A$113:$I$133,9,0)</f>
        <v>11.4</v>
      </c>
      <c r="BX43" s="12">
        <f t="array" ref="BX43">INDEX(BW:BW,MIN(IF(ISNUMBER(BW43:BW239),ROW(BW43:BW239),"")))</f>
        <v>11.4</v>
      </c>
      <c r="BY43" s="12">
        <f>IF('Données projet'!$A$114&gt;35,BY42+BX43-CG42,IF(A43&lt;'Données projet'!$A$114,$BV$205^A43,IF(A43='Données projet'!$A$114,'Données projet'!$B$114,BY42+BX43-CG42)))</f>
        <v>228</v>
      </c>
      <c r="BZ43" s="13">
        <f>BY43*VLOOKUP('Données projet'!$B$12,Paramètres!$A$1:$I$89,3,0)*VLOOKUP('Données projet'!$B$12,Paramètres!$A$1:$I$89,5,0)</f>
        <v>181.39680000000001</v>
      </c>
      <c r="CA43" s="13">
        <f t="shared" si="39"/>
        <v>45.63280848550832</v>
      </c>
      <c r="CB43" s="20">
        <f t="shared" si="10"/>
        <v>395.40990144559368</v>
      </c>
      <c r="CC43" s="59">
        <f t="shared" si="11"/>
        <v>688.74323477892699</v>
      </c>
      <c r="CD43" s="59">
        <f ca="1">AVERAGE(OFFSET($CC$3,0,0,'Données projet'!$E$12+1,1))-AVERAGE(OFFSET($H$3,0,0,'Données projet'!$E$12+1,1))</f>
        <v>279.49721661620544</v>
      </c>
      <c r="CE43" s="59">
        <f t="shared" si="40"/>
        <v>275.18739333988754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35</v>
      </c>
      <c r="CH43" s="16">
        <f>IF(ISNA(VLOOKUP(A43,'Données projet'!$A$113:$I$133,5,0)),0%,VLOOKUP(A43,'Données projet'!$A$113:$I$133,5,0)*VLOOKUP('Données projet'!$B$12,Paramètres!$A$1:$I$89,7,0))</f>
        <v>0.53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31.091789993179567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31.091789993179567</v>
      </c>
      <c r="CO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480</v>
      </c>
      <c r="CR43" s="12">
        <f>VLOOKUP(A43,'Données projet'!$A$139:$I$159,9,0)</f>
        <v>27.4</v>
      </c>
      <c r="CS43" s="12">
        <f t="array" ref="CS43">INDEX(CR:CR,MIN(IF(ISNUMBER(CR43:CR239),ROW(CR43:CR239),"")))</f>
        <v>27.4</v>
      </c>
      <c r="CT43" s="12">
        <f>IF('Données projet'!$A$140&gt;35,CT42+CS43-DB42,IF(A43&lt;'Données projet'!$A$140,$CQ$205^A43,IF(A43='Données projet'!$A$140,'Données projet'!$B$140,CT42+CS43-DB42)))</f>
        <v>479.99999999999994</v>
      </c>
      <c r="CU43" s="17">
        <f>CT43*VLOOKUP('Données projet'!$B$13,Paramètres!$A$1:$I$89,3,0)*VLOOKUP('Données projet'!$B$13,Paramètres!$A$1:$I$89,5,0)</f>
        <v>237.11999999999998</v>
      </c>
      <c r="CV43" s="13">
        <f t="shared" si="41"/>
        <v>57.819449746919268</v>
      </c>
      <c r="CW43" s="20">
        <f t="shared" si="13"/>
        <v>513.6862083092177</v>
      </c>
      <c r="CX43" s="59">
        <f t="shared" si="14"/>
        <v>807.01954164255108</v>
      </c>
      <c r="CY43" s="59">
        <f ca="1">AVERAGE(OFFSET($CX$3,0,0,'Données projet'!$E$13+1,1))-AVERAGE(OFFSET($H$3,0,0,'Données projet'!$E$13+1,1))</f>
        <v>396.27049617044378</v>
      </c>
      <c r="CZ43" s="59">
        <f t="shared" si="42"/>
        <v>335.2680289568774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70</v>
      </c>
      <c r="DC43" s="16">
        <f>IF(ISNA(VLOOKUP(A43,'Données projet'!$A$139:$I$159,5,0)),0%,VLOOKUP(A43,'Données projet'!$A$139:$I$159,5,0)*VLOOKUP('Données projet'!$B$13,Paramètres!$A$1:$I$89,7,0))</f>
        <v>0.55000000000000004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48.081273463370536</v>
      </c>
      <c r="DG43" s="21">
        <f>EXP(-LN(2)/25)*DG42+(1-EXP(-LN(2)/25))/(LN(2)/25)*Calculateur!DB43*Calculateur!DD43*VLOOKUP('Données projet'!$B$13,Paramètres!$A$1:$I$89,3,0)*0.475*44/12</f>
        <v>35.625431285816248</v>
      </c>
      <c r="DH43" s="21">
        <f>EXP(-LN(2)/2)*DH42+(1-EXP(-LN(2)/2))/(LN(2)/2)*DB43*DE43*VLOOKUP('Données projet'!$B$13,Paramètres!$A$1:$I$89,3,0)*0.475*44/12</f>
        <v>1.201669981398207E-2</v>
      </c>
      <c r="DI43" s="22">
        <f t="shared" si="15"/>
        <v>83.718721449000768</v>
      </c>
      <c r="DJ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253</v>
      </c>
      <c r="DM43" s="12">
        <f>VLOOKUP(A43,'Données projet'!$A$165:$I$185,9,0)</f>
        <v>16.600000000000001</v>
      </c>
      <c r="DN43" s="12">
        <f t="array" ref="DN43">INDEX(DM:DM,MIN(IF(ISNUMBER(DM43:DM239),ROW(DM43:DM239),"")))</f>
        <v>16.600000000000001</v>
      </c>
      <c r="DO43" s="12">
        <f>IF('Données projet'!$A$166&gt;35,DO42+DN43-DW42,IF(A43&lt;'Données projet'!$A$166,$DL$205^A43,IF(A43='Données projet'!$A$166,'Données projet'!$B$166,DO42+DN43-DW42)))</f>
        <v>252.99999999999989</v>
      </c>
      <c r="DP43" s="17">
        <f>DO43*VLOOKUP('Données projet'!$B$14,Paramètres!$A$1:$I$89,3,0)*VLOOKUP('Données projet'!$B$14,Paramètres!$A$1:$I$89,5,0)</f>
        <v>144.71599999999995</v>
      </c>
      <c r="DQ43" s="13">
        <f t="shared" si="43"/>
        <v>37.375282885096105</v>
      </c>
      <c r="DR43" s="20">
        <f t="shared" si="16"/>
        <v>317.14231769154225</v>
      </c>
      <c r="DS43" s="59">
        <f t="shared" si="17"/>
        <v>610.47565102487556</v>
      </c>
      <c r="DT43" s="59">
        <f ca="1">AVERAGE(OFFSET($DS$3,0,0,'Données projet'!$E$14+1,1))-AVERAGE(OFFSET($H$3,0,0,'Données projet'!$E$14+1,1))</f>
        <v>307.43900954374504</v>
      </c>
      <c r="DU43" s="59">
        <f t="shared" si="44"/>
        <v>185.25270859048999</v>
      </c>
      <c r="DV43" s="15">
        <f>IF(ISNA(VLOOKUP(A43,'Données projet'!$A$165:$I$185,3,0)),0,VLOOKUP(A43,'Données projet'!$A$165:$I$185,3,0))</f>
        <v>5</v>
      </c>
      <c r="DW43" s="15">
        <f>IF(ISNA(VLOOKUP(A43,'Données projet'!$A$165:$I$185,4,0)),0,VLOOKUP(A43,'Données projet'!$A$165:$I$185,4,0))</f>
        <v>42</v>
      </c>
      <c r="DX43" s="16">
        <f>IF(ISNA(VLOOKUP(A43,'Données projet'!$A$165:$I$185,5,0)),0%,VLOOKUP(A43,'Données projet'!$A$165:$I$185,5,0)*VLOOKUP('Données projet'!$B$14,Paramètres!$A$1:$I$89,7,0))</f>
        <v>0.45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27.330408073915876</v>
      </c>
      <c r="EB43" s="21">
        <f>EXP(-LN(2)/25)*EB42+(1-EXP(-LN(2)/25))/(LN(2)/25)*Calculateur!DW43*Calculateur!DY43*VLOOKUP('Données projet'!$B$14,Paramètres!$A$1:$I$89,3,0)*0.475*44/12</f>
        <v>20.250245151937651</v>
      </c>
      <c r="EC43" s="21">
        <f>EXP(-LN(2)/2)*EC42+(1-EXP(-LN(2)/2))/(LN(2)/2)*DW43*DZ43*VLOOKUP('Données projet'!$B$14,Paramètres!$A$1:$I$89,3,0)*0.475*44/12</f>
        <v>1.138424192903564E-2</v>
      </c>
      <c r="ED43" s="22">
        <f t="shared" si="18"/>
        <v>47.592037467782561</v>
      </c>
      <c r="EE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13.9</v>
      </c>
      <c r="EJ43" s="12">
        <f>IF('Données projet'!$A$192&gt;35,EJ42+EI43-ER42,IF(A43&lt;'Données projet'!$A$192,$EG$205^A43,IF(A43='Données projet'!$A$192,'Données projet'!$B$192,EJ42+EI43-ER42)))</f>
        <v>302.2000000000001</v>
      </c>
      <c r="EK43" s="17">
        <f>EJ43*VLOOKUP('Données projet'!$B$15,Paramètres!$A$1:$I$89,3,0)*VLOOKUP('Données projet'!$B$15,Paramètres!$A$1:$I$89,5,0)</f>
        <v>188.57280000000006</v>
      </c>
      <c r="EL43" s="13">
        <f t="shared" si="45"/>
        <v>47.224280864708376</v>
      </c>
      <c r="EM43" s="20">
        <f t="shared" si="19"/>
        <v>410.6799158393672</v>
      </c>
      <c r="EN43" s="59">
        <f t="shared" si="20"/>
        <v>704.01324917270051</v>
      </c>
      <c r="EO43" s="59">
        <f ca="1">AVERAGE(OFFSET($EN$3,0,0,'Données projet'!$E$15+1,1))-AVERAGE(OFFSET($H$3,0,0,'Données projet'!$E$15+1,1))</f>
        <v>269.77739619445515</v>
      </c>
      <c r="EP43" s="59">
        <f t="shared" si="46"/>
        <v>347.56964743629885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26.796224985405107</v>
      </c>
      <c r="EW43" s="21">
        <f>EXP(-LN(2)/25)*EW42+(1-EXP(-LN(2)/25))/(LN(2)/25)*Calculateur!ER43*Calculateur!ET43*VLOOKUP('Données projet'!$B$15,Paramètres!$A$1:$I$89,3,0)*0.475*44/12</f>
        <v>69.527580101887324</v>
      </c>
      <c r="EX43" s="21">
        <f>EXP(-LN(2)/2)*EX42+(1-EXP(-LN(2)/2))/(LN(2)/2)*ER43*EU43*VLOOKUP('Données projet'!$B$15,Paramètres!$A$1:$I$89,3,0)*0.475*44/12</f>
        <v>7.761983133433392E-4</v>
      </c>
      <c r="EY43" s="22">
        <f t="shared" si="21"/>
        <v>96.324581285605774</v>
      </c>
      <c r="EZ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263</v>
      </c>
      <c r="FC43" s="12">
        <f>VLOOKUP(A43,'Données projet'!$A$217:$I$237,9,0)</f>
        <v>13.2</v>
      </c>
      <c r="FD43" s="12">
        <f t="array" ref="FD43">INDEX(FC:FC,MIN(IF(ISNUMBER(FC43:FC239),ROW(FC43:FC239),"")))</f>
        <v>13.2</v>
      </c>
      <c r="FE43" s="12">
        <f>IF('Données projet'!$A$218&gt;35,FE42+FD43-FM42,IF(A43&lt;'Données projet'!$A$218,$FB$205^A43,IF(A43='Données projet'!$A$218,'Données projet'!$B$218,FE42+FD43-FM42)))</f>
        <v>262.99999999999994</v>
      </c>
      <c r="FF43" s="17">
        <f>FE43*VLOOKUP('Données projet'!$B$16,Paramètres!$A$1:$I$89,3,0)*VLOOKUP('Données projet'!$B$16,Paramètres!$A$1:$I$89,5,0)</f>
        <v>209.24279999999996</v>
      </c>
      <c r="FG43" s="13">
        <f t="shared" si="47"/>
        <v>51.770083677016814</v>
      </c>
      <c r="FH43" s="20">
        <f t="shared" si="22"/>
        <v>454.59743907080411</v>
      </c>
      <c r="FI43" s="59">
        <f t="shared" si="23"/>
        <v>747.93077240413743</v>
      </c>
      <c r="FJ43" s="59">
        <f ca="1">AVERAGE(OFFSET($FI$3,0,0,'Données projet'!$E$16+1,1))-AVERAGE(OFFSET($H$3,0,0,'Données projet'!$E$16+1,1))</f>
        <v>331.52724290297675</v>
      </c>
      <c r="FK43" s="59">
        <f t="shared" si="48"/>
        <v>322.79102610158054</v>
      </c>
      <c r="FL43" s="15">
        <f>IF(ISNA(VLOOKUP(A43,'Données projet'!$A$217:$I$237,3,0)),0,VLOOKUP(A43,'Données projet'!$A$217:$I$237,3,0))</f>
        <v>7</v>
      </c>
      <c r="FM43" s="15">
        <f>IF(ISNA(VLOOKUP(A43,'Données projet'!$A$217:$I$237,4,0)),0,VLOOKUP(A43,'Données projet'!$A$217:$I$237,4,0))</f>
        <v>40</v>
      </c>
      <c r="FN43" s="16">
        <f>IF(ISNA(VLOOKUP(A43,'Données projet'!$A$217:$I$237,5,0)),0%,VLOOKUP(A43,'Données projet'!$A$217:$I$237,5,0)*VLOOKUP('Données projet'!$B$16,Paramètres!$A$1:$I$89,7,0))</f>
        <v>0.53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36.377865023821677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36.377865023821677</v>
      </c>
      <c r="FU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524</v>
      </c>
      <c r="FX43" s="12">
        <f>VLOOKUP(A43,'Données projet'!$A$243:$I$263,9,0)</f>
        <v>29.6</v>
      </c>
      <c r="FY43" s="12">
        <f t="array" ref="FY43">INDEX(FX:FX,MIN(IF(ISNUMBER(FX43:FX239),ROW(FX43:FX239),"")))</f>
        <v>29.6</v>
      </c>
      <c r="FZ43" s="12">
        <f>IF('Données projet'!$A$244&gt;35,FZ42+FY43-GH42,IF(A43&lt;'Données projet'!$A$244,$FW$205^A43,IF(A43='Données projet'!$A$244,'Données projet'!$B$244,FZ42+FY43-GH42)))</f>
        <v>524.00000000000023</v>
      </c>
      <c r="GA43" s="17">
        <f>FZ43*VLOOKUP('Données projet'!$B$17,Paramètres!$A$1:$I$89,3,0)*VLOOKUP('Données projet'!$B$17,Paramètres!$A$1:$I$89,5,0)</f>
        <v>258.85600000000011</v>
      </c>
      <c r="GB43" s="13">
        <f t="shared" si="49"/>
        <v>62.478460837483958</v>
      </c>
      <c r="GC43" s="20">
        <f t="shared" si="25"/>
        <v>559.65751929195142</v>
      </c>
      <c r="GD43" s="59">
        <f t="shared" si="26"/>
        <v>852.99085262528479</v>
      </c>
      <c r="GE43" s="59">
        <f ca="1">AVERAGE(OFFSET($GD$3,0,0,'Données projet'!$E$17+1,1))-AVERAGE(OFFSET($H$3,0,0,'Données projet'!$E$17+1,1))</f>
        <v>434.08297999735811</v>
      </c>
      <c r="GF43" s="59">
        <f t="shared" si="50"/>
        <v>371.04090283546122</v>
      </c>
      <c r="GG43" s="15">
        <f>IF(ISNA(VLOOKUP(A43,'Données projet'!$A$243:$I$263,3,0)),0,VLOOKUP(A43,'Données projet'!$A$243:$I$263,3,0))</f>
        <v>5</v>
      </c>
      <c r="GH43" s="15">
        <f>IF(ISNA(VLOOKUP(A43,'Données projet'!$A$243:$I$263,4,0)),0,VLOOKUP(A43,'Données projet'!$A$243:$I$263,4,0))</f>
        <v>77</v>
      </c>
      <c r="GI43" s="16">
        <f>IF(ISNA(VLOOKUP(A43,'Données projet'!$A$243:$I$263,5,0)),0%,VLOOKUP(A43,'Données projet'!$A$243:$I$263,5,0)*VLOOKUP('Données projet'!$B$17,Paramètres!$A$1:$I$89,7,0))</f>
        <v>0.55000000000000004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52.889400809707595</v>
      </c>
      <c r="GM43" s="21">
        <f>EXP(-LN(2)/25)*GM42+(1-EXP(-LN(2)/25))/(LN(2)/25)*Calculateur!GH43*Calculateur!GJ43*VLOOKUP('Données projet'!$B$17,Paramètres!$A$1:$I$89,3,0)*0.475*44/12</f>
        <v>39.187974414397871</v>
      </c>
      <c r="GN43" s="21">
        <f>EXP(-LN(2)/2)*GN42+(1-EXP(-LN(2)/2))/(LN(2)/2)*GH43*GK43*VLOOKUP('Données projet'!$B$17,Paramètres!$A$1:$I$89,3,0)*0.475*44/12</f>
        <v>2.3487186000055851E-2</v>
      </c>
      <c r="GO43" s="21">
        <f t="shared" si="27"/>
        <v>92.10086241010552</v>
      </c>
      <c r="GP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300</v>
      </c>
      <c r="GS43" s="12">
        <f>VLOOKUP(A43,'Données projet'!$A$269:$I$289,9,0)</f>
        <v>18.8</v>
      </c>
      <c r="GT43" s="12">
        <f t="array" ref="GT43">INDEX(GS:GS,MIN(IF(ISNUMBER(GS43:GS239),ROW(GS43:GS239),"")))</f>
        <v>18.8</v>
      </c>
      <c r="GU43" s="12">
        <f>IF('Données projet'!$A$270&gt;35,GU42+GT43-HC42,IF(A43&lt;'Données projet'!$A$270,$GR$205^A43,IF(A43='Données projet'!$A$270,'Données projet'!$B$270,GU42+GT43-HC42)))</f>
        <v>300</v>
      </c>
      <c r="GV43" s="17">
        <f>GU43*VLOOKUP('Données projet'!$B$18,Paramètres!$A$1:$I$89,3,0)*VLOOKUP('Données projet'!$B$18,Paramètres!$A$1:$I$89,5,0)</f>
        <v>171.6</v>
      </c>
      <c r="GW43" s="13">
        <f t="shared" si="51"/>
        <v>43.44817475464852</v>
      </c>
      <c r="GX43" s="20">
        <f t="shared" si="28"/>
        <v>374.54223769767958</v>
      </c>
      <c r="GY43" s="59">
        <f t="shared" si="29"/>
        <v>667.8755710310129</v>
      </c>
      <c r="GZ43" s="59">
        <f ca="1">AVERAGE(OFFSET($GY$3,0,0,'Données projet'!$E$18+1,1))-AVERAGE(OFFSET($H$3,0,0,'Données projet'!$E$18+1,1))</f>
        <v>362.57172983134313</v>
      </c>
      <c r="HA43" s="59">
        <f t="shared" si="52"/>
        <v>232.03250917542471</v>
      </c>
      <c r="HB43" s="15">
        <f>IF(ISNA(VLOOKUP(A43,'Données projet'!$A$269:$I$289,3,0)),0,VLOOKUP(A43,'Données projet'!$A$269:$I$289,3,0))</f>
        <v>5</v>
      </c>
      <c r="HC43" s="15">
        <f>IF(ISNA(VLOOKUP(A43,'Données projet'!$A$269:$I$289,4,0)),0,VLOOKUP(A43,'Données projet'!$A$269:$I$289,4,0))</f>
        <v>49</v>
      </c>
      <c r="HD43" s="16">
        <f>IF(ISNA(VLOOKUP(A43,'Données projet'!$A$269:$I$289,5,0)),0%,VLOOKUP(A43,'Données projet'!$A$269:$I$289,5,0)*VLOOKUP('Données projet'!$B$18,Paramètres!$A$1:$I$89,7,0))</f>
        <v>0.45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31.885476086235194</v>
      </c>
      <c r="HH43" s="21">
        <f>EXP(-LN(2)/25)*HH42+(1-EXP(-LN(2)/25))/(LN(2)/25)*Calculateur!HC43*Calculateur!HE43*VLOOKUP('Données projet'!$B$18,Paramètres!$A$1:$I$89,3,0)*0.475*44/12</f>
        <v>23.625286010593932</v>
      </c>
      <c r="HI43" s="21">
        <f>EXP(-LN(2)/2)*HI42+(1-EXP(-LN(2)/2))/(LN(2)/2)*HC43*HF43*VLOOKUP('Données projet'!$B$18,Paramètres!$A$1:$I$89,3,0)*0.475*44/12</f>
        <v>2.3400941743017697E-2</v>
      </c>
      <c r="HJ43" s="22">
        <f t="shared" si="30"/>
        <v>55.534163038572146</v>
      </c>
    </row>
    <row r="44" spans="1:218" x14ac:dyDescent="0.3">
      <c r="A44" s="10">
        <f t="shared" si="31"/>
        <v>41</v>
      </c>
      <c r="B44" s="71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5">
        <f t="shared" si="1"/>
        <v>338.86781049841682</v>
      </c>
      <c r="I44" s="6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8.1999999999999993</v>
      </c>
      <c r="N44" s="13">
        <f>IF('Données projet'!$A$36&gt;35,N43+M44-V43,IF(A44&lt;'Données projet'!$A$36,$K$205^A44,IF(A44='Données projet'!$A$36,'Données projet'!$B$36,N43+M44-V43)))</f>
        <v>172.2</v>
      </c>
      <c r="O44" s="13">
        <f>N44*VLOOKUP('Données projet'!$B$9,Paramètres!$A$1:$I$89,3,0)*VLOOKUP('Données projet'!$B$9,Paramètres!$A$1:$I$89,5,0)</f>
        <v>137.00232</v>
      </c>
      <c r="P44" s="13">
        <f t="shared" si="33"/>
        <v>35.609416420931346</v>
      </c>
      <c r="Q44" s="20">
        <f t="shared" si="53"/>
        <v>300.63210759978875</v>
      </c>
      <c r="R44" s="59">
        <f t="shared" si="0"/>
        <v>593.96544093312207</v>
      </c>
      <c r="S44" s="59">
        <f ca="1">AVERAGE(OFFSET($R$3,0,0,'Données projet'!$E$9+1,1))-AVERAGE(OFFSET($H$3,0,0,'Données projet'!$E$9+1,1))</f>
        <v>225.2323446080772</v>
      </c>
      <c r="T44" s="59">
        <f t="shared" si="34"/>
        <v>222.29030402759292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24.385679164426126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24.385679164426126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24.2</v>
      </c>
      <c r="AI44" s="13">
        <f>IF('Données projet'!$A$62&gt;35,AI43+AH44-AQ43,IF(A44&lt;'Données projet'!$A$62,$AF$205^A44,IF(A44='Données projet'!$A$62,'Données projet'!$B$62,AI43+AH44-AQ43)))</f>
        <v>397.20000000000005</v>
      </c>
      <c r="AJ44" s="13">
        <f>AI44*VLOOKUP('Données projet'!$B$10,Paramètres!$A$1:$I$89,3,0)*VLOOKUP('Données projet'!$B$10,Paramètres!$A$1:$I$89,5,0)</f>
        <v>196.21680000000001</v>
      </c>
      <c r="AK44" s="13">
        <f t="shared" si="35"/>
        <v>48.911813029173217</v>
      </c>
      <c r="AL44" s="20">
        <f t="shared" si="4"/>
        <v>426.93233435914334</v>
      </c>
      <c r="AM44" s="59">
        <f t="shared" si="5"/>
        <v>720.26566769247665</v>
      </c>
      <c r="AN44" s="59">
        <f ca="1">AVERAGE(OFFSET($AM$3,0,0,'Données projet'!$E$10+1,1))-AVERAGE(OFFSET($H$3,0,0,'Données projet'!$E$10+1,1))</f>
        <v>360.05819346986135</v>
      </c>
      <c r="AO44" s="59">
        <f t="shared" si="36"/>
        <v>300.47468388351081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42.424586115691405</v>
      </c>
      <c r="AV44" s="21">
        <f>EXP(-LN(2)/25)*AV43+(1-EXP(-LN(2)/25))/(LN(2)/25)*Calculateur!AQ44*Calculateur!AS44*VLOOKUP('Données projet'!$B$10,Paramètres!$A$1:$I$89,3,0)*0.475*44/12</f>
        <v>31.186126794461028</v>
      </c>
      <c r="AW44" s="21">
        <f>EXP(-LN(2)/2)*AW43+(1-EXP(-LN(2)/2))/(LN(2)/2)*AQ44*AT44*VLOOKUP('Données projet'!$B$10,Paramètres!$A$1:$I$89,3,0)*0.475*44/12</f>
        <v>1.1586940808113418E-3</v>
      </c>
      <c r="AX44" s="21">
        <f t="shared" si="6"/>
        <v>73.611871604233244</v>
      </c>
      <c r="AY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14.4</v>
      </c>
      <c r="BD44" s="12">
        <f>IF('Données projet'!$A$88&gt;35,BD43+BC44-BL43,IF(A44&lt;'Données projet'!$A$88,$BA$205^A44,IF(A44='Données projet'!$A$88,'Données projet'!$B$88,BD43+BC44-BL43)))</f>
        <v>183.39999999999989</v>
      </c>
      <c r="BE44" s="13">
        <f>BD44*VLOOKUP('Données projet'!$B$11,Paramètres!$A$1:$I$89,3,0)*VLOOKUP('Données projet'!$B$11,Paramètres!$A$1:$I$89,5,0)</f>
        <v>104.90479999999995</v>
      </c>
      <c r="BF44" s="13">
        <f t="shared" si="37"/>
        <v>28.127222266794369</v>
      </c>
      <c r="BG44" s="20">
        <f t="shared" si="7"/>
        <v>231.6974387813334</v>
      </c>
      <c r="BH44" s="59">
        <f t="shared" si="8"/>
        <v>525.03077211466666</v>
      </c>
      <c r="BI44" s="59">
        <f ca="1">AVERAGE(OFFSET($BH$3,0,0,'Données projet'!$E$11+1,1))-AVERAGE(OFFSET($H$3,0,0,'Données projet'!$E$11+1,1))</f>
        <v>250.90038883668348</v>
      </c>
      <c r="BJ44" s="59">
        <f t="shared" si="38"/>
        <v>141.96132114475608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22.328729534574421</v>
      </c>
      <c r="BQ44" s="21">
        <f>EXP(-LN(2)/25)*BQ43+(1-EXP(-LN(2)/25))/(LN(2)/25)*Calculateur!BL44*Calculateur!BN44*VLOOKUP('Données projet'!$B$11,Paramètres!$A$1:$I$89,3,0)*0.475*44/12</f>
        <v>8.7748234485200296</v>
      </c>
      <c r="BR44" s="21">
        <f>EXP(-LN(2)/2)*BR43+(1-EXP(-LN(2)/2))/(LN(2)/2)*BL44*BO44*VLOOKUP('Données projet'!$B$11,Paramètres!$A$1:$I$89,3,0)*0.475*44/12</f>
        <v>8.3484440812928107E-2</v>
      </c>
      <c r="BS44" s="22">
        <f t="shared" si="9"/>
        <v>31.18703742390738</v>
      </c>
      <c r="BT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9.8000000000000007</v>
      </c>
      <c r="BY44" s="12">
        <f>IF('Données projet'!$A$114&gt;35,BY43+BX44-CG43,IF(A44&lt;'Données projet'!$A$114,$BV$205^A44,IF(A44='Données projet'!$A$114,'Données projet'!$B$114,BY43+BX44-CG43)))</f>
        <v>202.8</v>
      </c>
      <c r="BZ44" s="13">
        <f>BY44*VLOOKUP('Données projet'!$B$12,Paramètres!$A$1:$I$89,3,0)*VLOOKUP('Données projet'!$B$12,Paramètres!$A$1:$I$89,5,0)</f>
        <v>161.34768000000003</v>
      </c>
      <c r="CA44" s="13">
        <f t="shared" si="39"/>
        <v>41.146339844316657</v>
      </c>
      <c r="CB44" s="20">
        <f t="shared" si="10"/>
        <v>352.6770845621848</v>
      </c>
      <c r="CC44" s="59">
        <f t="shared" si="11"/>
        <v>646.01041789551812</v>
      </c>
      <c r="CD44" s="59">
        <f ca="1">AVERAGE(OFFSET($CC$3,0,0,'Données projet'!$E$12+1,1))-AVERAGE(OFFSET($H$3,0,0,'Données projet'!$E$12+1,1))</f>
        <v>279.49721661620544</v>
      </c>
      <c r="CE44" s="59">
        <f t="shared" si="40"/>
        <v>275.18739333988754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30.48209895553266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30.48209895553266</v>
      </c>
      <c r="CO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26</v>
      </c>
      <c r="CT44" s="12">
        <f>IF('Données projet'!$A$140&gt;35,CT43+CS44-DB43,IF(A44&lt;'Données projet'!$A$140,$CQ$205^A44,IF(A44='Données projet'!$A$140,'Données projet'!$B$140,CT43+CS44-DB43)))</f>
        <v>435.99999999999994</v>
      </c>
      <c r="CU44" s="17">
        <f>CT44*VLOOKUP('Données projet'!$B$13,Paramètres!$A$1:$I$89,3,0)*VLOOKUP('Données projet'!$B$13,Paramètres!$A$1:$I$89,5,0)</f>
        <v>215.38399999999999</v>
      </c>
      <c r="CV44" s="13">
        <f t="shared" si="41"/>
        <v>53.110386125312175</v>
      </c>
      <c r="CW44" s="20">
        <f t="shared" si="13"/>
        <v>467.62772250158537</v>
      </c>
      <c r="CX44" s="59">
        <f t="shared" si="14"/>
        <v>760.96105583491862</v>
      </c>
      <c r="CY44" s="59">
        <f ca="1">AVERAGE(OFFSET($CX$3,0,0,'Données projet'!$E$13+1,1))-AVERAGE(OFFSET($H$3,0,0,'Données projet'!$E$13+1,1))</f>
        <v>396.27049617044378</v>
      </c>
      <c r="CZ44" s="59">
        <f t="shared" si="42"/>
        <v>335.2680289568774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47.138429017434881</v>
      </c>
      <c r="DG44" s="21">
        <f>EXP(-LN(2)/25)*DG43+(1-EXP(-LN(2)/25))/(LN(2)/25)*Calculateur!DB44*Calculateur!DD44*VLOOKUP('Données projet'!$B$13,Paramètres!$A$1:$I$89,3,0)*0.475*44/12</f>
        <v>34.651251993845591</v>
      </c>
      <c r="DH44" s="21">
        <f>EXP(-LN(2)/2)*DH43+(1-EXP(-LN(2)/2))/(LN(2)/2)*DB44*DE44*VLOOKUP('Données projet'!$B$13,Paramètres!$A$1:$I$89,3,0)*0.475*44/12</f>
        <v>8.4970899259498456E-3</v>
      </c>
      <c r="DI44" s="22">
        <f t="shared" si="15"/>
        <v>81.798178101206418</v>
      </c>
      <c r="DJ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16.8</v>
      </c>
      <c r="DO44" s="12">
        <f>IF('Données projet'!$A$166&gt;35,DO43+DN44-DW43,IF(A44&lt;'Données projet'!$A$166,$DL$205^A44,IF(A44='Données projet'!$A$166,'Données projet'!$B$166,DO43+DN44-DW43)))</f>
        <v>227.7999999999999</v>
      </c>
      <c r="DP44" s="17">
        <f>DO44*VLOOKUP('Données projet'!$B$14,Paramètres!$A$1:$I$89,3,0)*VLOOKUP('Données projet'!$B$14,Paramètres!$A$1:$I$89,5,0)</f>
        <v>130.30159999999995</v>
      </c>
      <c r="DQ44" s="13">
        <f t="shared" si="43"/>
        <v>34.066040835325218</v>
      </c>
      <c r="DR44" s="20">
        <f t="shared" si="16"/>
        <v>286.27364112152469</v>
      </c>
      <c r="DS44" s="59">
        <f t="shared" si="17"/>
        <v>579.606974454858</v>
      </c>
      <c r="DT44" s="59">
        <f ca="1">AVERAGE(OFFSET($DS$3,0,0,'Données projet'!$E$14+1,1))-AVERAGE(OFFSET($H$3,0,0,'Données projet'!$E$14+1,1))</f>
        <v>307.43900954374504</v>
      </c>
      <c r="DU44" s="59">
        <f t="shared" si="44"/>
        <v>185.25270859048999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26.794475441489293</v>
      </c>
      <c r="EB44" s="21">
        <f>EXP(-LN(2)/25)*EB43+(1-EXP(-LN(2)/25))/(LN(2)/25)*Calculateur!DW44*Calculateur!DY44*VLOOKUP('Données projet'!$B$14,Paramètres!$A$1:$I$89,3,0)*0.475*44/12</f>
        <v>19.696501133343805</v>
      </c>
      <c r="EC44" s="21">
        <f>EXP(-LN(2)/2)*EC43+(1-EXP(-LN(2)/2))/(LN(2)/2)*DW44*DZ44*VLOOKUP('Données projet'!$B$14,Paramètres!$A$1:$I$89,3,0)*0.475*44/12</f>
        <v>8.0498746666893238E-3</v>
      </c>
      <c r="ED44" s="22">
        <f t="shared" si="18"/>
        <v>46.499026449499787</v>
      </c>
      <c r="EE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13.9</v>
      </c>
      <c r="EJ44" s="12">
        <f>IF('Données projet'!$A$192&gt;35,EJ43+EI44-ER43,IF(A44&lt;'Données projet'!$A$192,$EG$205^A44,IF(A44='Données projet'!$A$192,'Données projet'!$B$192,EJ43+EI44-ER43)))</f>
        <v>316.10000000000008</v>
      </c>
      <c r="EK44" s="17">
        <f>EJ44*VLOOKUP('Données projet'!$B$15,Paramètres!$A$1:$I$89,3,0)*VLOOKUP('Données projet'!$B$15,Paramètres!$A$1:$I$89,5,0)</f>
        <v>197.24640000000005</v>
      </c>
      <c r="EL44" s="13">
        <f t="shared" si="45"/>
        <v>49.138522374247245</v>
      </c>
      <c r="EM44" s="20">
        <f t="shared" si="19"/>
        <v>429.12040646848072</v>
      </c>
      <c r="EN44" s="59">
        <f t="shared" si="20"/>
        <v>722.45373980181398</v>
      </c>
      <c r="EO44" s="59">
        <f ca="1">AVERAGE(OFFSET($EN$3,0,0,'Données projet'!$E$15+1,1))-AVERAGE(OFFSET($H$3,0,0,'Données projet'!$E$15+1,1))</f>
        <v>269.77739619445515</v>
      </c>
      <c r="EP44" s="59">
        <f t="shared" si="46"/>
        <v>347.56964743629885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26.270767357524711</v>
      </c>
      <c r="EW44" s="21">
        <f>EXP(-LN(2)/25)*EW43+(1-EXP(-LN(2)/25))/(LN(2)/25)*Calculateur!ER44*Calculateur!ET44*VLOOKUP('Données projet'!$B$15,Paramètres!$A$1:$I$89,3,0)*0.475*44/12</f>
        <v>67.62634476770468</v>
      </c>
      <c r="EX44" s="21">
        <f>EXP(-LN(2)/2)*EX43+(1-EXP(-LN(2)/2))/(LN(2)/2)*ER44*EU44*VLOOKUP('Données projet'!$B$15,Paramètres!$A$1:$I$89,3,0)*0.475*44/12</f>
        <v>5.4885509091063579E-4</v>
      </c>
      <c r="EY44" s="22">
        <f t="shared" si="21"/>
        <v>93.89766098032031</v>
      </c>
      <c r="EZ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11.4</v>
      </c>
      <c r="FE44" s="12">
        <f>IF('Données projet'!$A$218&gt;35,FE43+FD44-FM43,IF(A44&lt;'Données projet'!$A$218,$FB$205^A44,IF(A44='Données projet'!$A$218,'Données projet'!$B$218,FE43+FD44-FM43)))</f>
        <v>234.39999999999992</v>
      </c>
      <c r="FF44" s="17">
        <f>FE44*VLOOKUP('Données projet'!$B$16,Paramètres!$A$1:$I$89,3,0)*VLOOKUP('Données projet'!$B$16,Paramètres!$A$1:$I$89,5,0)</f>
        <v>186.48863999999995</v>
      </c>
      <c r="FG44" s="13">
        <f t="shared" si="47"/>
        <v>46.762800221578807</v>
      </c>
      <c r="FH44" s="20">
        <f t="shared" si="22"/>
        <v>406.24625838591629</v>
      </c>
      <c r="FI44" s="59">
        <f t="shared" si="23"/>
        <v>699.57959171924961</v>
      </c>
      <c r="FJ44" s="59">
        <f ca="1">AVERAGE(OFFSET($FI$3,0,0,'Données projet'!$E$16+1,1))-AVERAGE(OFFSET($H$3,0,0,'Données projet'!$E$16+1,1))</f>
        <v>331.52724290297675</v>
      </c>
      <c r="FK44" s="59">
        <f t="shared" si="48"/>
        <v>322.79102610158054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35.664517279011285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35.664517279011285</v>
      </c>
      <c r="FU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28.2</v>
      </c>
      <c r="FZ44" s="12">
        <f>IF('Données projet'!$A$244&gt;35,FZ43+FY44-GH43,IF(A44&lt;'Données projet'!$A$244,$FW$205^A44,IF(A44='Données projet'!$A$244,'Données projet'!$B$244,FZ43+FY44-GH43)))</f>
        <v>475.20000000000027</v>
      </c>
      <c r="GA44" s="17">
        <f>FZ44*VLOOKUP('Données projet'!$B$17,Paramètres!$A$1:$I$89,3,0)*VLOOKUP('Données projet'!$B$17,Paramètres!$A$1:$I$89,5,0)</f>
        <v>234.74880000000016</v>
      </c>
      <c r="GB44" s="13">
        <f t="shared" si="49"/>
        <v>57.308258637037845</v>
      </c>
      <c r="GC44" s="20">
        <f t="shared" si="25"/>
        <v>508.66604379284121</v>
      </c>
      <c r="GD44" s="59">
        <f t="shared" si="26"/>
        <v>801.99937712617452</v>
      </c>
      <c r="GE44" s="59">
        <f ca="1">AVERAGE(OFFSET($GD$3,0,0,'Données projet'!$E$17+1,1))-AVERAGE(OFFSET($H$3,0,0,'Données projet'!$E$17+1,1))</f>
        <v>434.08297999735811</v>
      </c>
      <c r="GF44" s="59">
        <f t="shared" si="50"/>
        <v>371.04090283546122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51.852271919178378</v>
      </c>
      <c r="GM44" s="21">
        <f>EXP(-LN(2)/25)*GM43+(1-EXP(-LN(2)/25))/(LN(2)/25)*Calculateur!GH44*Calculateur!GJ44*VLOOKUP('Données projet'!$B$17,Paramètres!$A$1:$I$89,3,0)*0.475*44/12</f>
        <v>38.11637719323015</v>
      </c>
      <c r="GN44" s="21">
        <f>EXP(-LN(2)/2)*GN43+(1-EXP(-LN(2)/2))/(LN(2)/2)*GH44*GK44*VLOOKUP('Données projet'!$B$17,Paramètres!$A$1:$I$89,3,0)*0.475*44/12</f>
        <v>1.6607948491629235E-2</v>
      </c>
      <c r="GO44" s="21">
        <f t="shared" si="27"/>
        <v>89.985257060900153</v>
      </c>
      <c r="GP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18.8</v>
      </c>
      <c r="GU44" s="12">
        <f>IF('Données projet'!$A$270&gt;35,GU43+GT44-HC43,IF(A44&lt;'Données projet'!$A$270,$GR$205^A44,IF(A44='Données projet'!$A$270,'Données projet'!$B$270,GU43+GT44-HC43)))</f>
        <v>269.8</v>
      </c>
      <c r="GV44" s="17">
        <f>GU44*VLOOKUP('Données projet'!$B$18,Paramètres!$A$1:$I$89,3,0)*VLOOKUP('Données projet'!$B$18,Paramètres!$A$1:$I$89,5,0)</f>
        <v>154.32560000000001</v>
      </c>
      <c r="GW44" s="13">
        <f t="shared" si="51"/>
        <v>39.559961367244483</v>
      </c>
      <c r="GX44" s="20">
        <f t="shared" si="28"/>
        <v>337.68401938128414</v>
      </c>
      <c r="GY44" s="59">
        <f t="shared" si="29"/>
        <v>631.01735271461746</v>
      </c>
      <c r="GZ44" s="59">
        <f ca="1">AVERAGE(OFFSET($GY$3,0,0,'Données projet'!$E$18+1,1))-AVERAGE(OFFSET($H$3,0,0,'Données projet'!$E$18+1,1))</f>
        <v>362.57172983134313</v>
      </c>
      <c r="HA44" s="59">
        <f t="shared" si="52"/>
        <v>232.03250917542471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31.260221348404183</v>
      </c>
      <c r="HH44" s="21">
        <f>EXP(-LN(2)/25)*HH43+(1-EXP(-LN(2)/25))/(LN(2)/25)*Calculateur!HC44*Calculateur!HE44*VLOOKUP('Données projet'!$B$18,Paramètres!$A$1:$I$89,3,0)*0.475*44/12</f>
        <v>22.979251322234447</v>
      </c>
      <c r="HI44" s="21">
        <f>EXP(-LN(2)/2)*HI43+(1-EXP(-LN(2)/2))/(LN(2)/2)*HC44*HF44*VLOOKUP('Données projet'!$B$18,Paramètres!$A$1:$I$89,3,0)*0.475*44/12</f>
        <v>1.6546964592639161E-2</v>
      </c>
      <c r="HJ44" s="22">
        <f t="shared" si="30"/>
        <v>54.256019635231276</v>
      </c>
    </row>
    <row r="45" spans="1:218" x14ac:dyDescent="0.3">
      <c r="A45" s="10">
        <f t="shared" si="31"/>
        <v>42</v>
      </c>
      <c r="B45" s="71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5">
        <f t="shared" si="1"/>
        <v>339.94630797071898</v>
      </c>
      <c r="I45" s="6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8.1999999999999993</v>
      </c>
      <c r="N45" s="13">
        <f>IF('Données projet'!$A$36&gt;35,N44+M45-V44,IF(A45&lt;'Données projet'!$A$36,$K$205^A45,IF(A45='Données projet'!$A$36,'Données projet'!$B$36,N44+M45-V44)))</f>
        <v>180.39999999999998</v>
      </c>
      <c r="O45" s="13">
        <f>N45*VLOOKUP('Données projet'!$B$9,Paramètres!$A$1:$I$89,3,0)*VLOOKUP('Données projet'!$B$9,Paramètres!$A$1:$I$89,5,0)</f>
        <v>143.52624</v>
      </c>
      <c r="P45" s="13">
        <f t="shared" si="33"/>
        <v>37.103644337236275</v>
      </c>
      <c r="Q45" s="20">
        <f t="shared" si="53"/>
        <v>314.59704855401981</v>
      </c>
      <c r="R45" s="59">
        <f t="shared" si="0"/>
        <v>607.93038188735318</v>
      </c>
      <c r="S45" s="59">
        <f ca="1">AVERAGE(OFFSET($R$3,0,0,'Données projet'!$E$9+1,1))-AVERAGE(OFFSET($H$3,0,0,'Données projet'!$E$9+1,1))</f>
        <v>225.2323446080772</v>
      </c>
      <c r="T45" s="59">
        <f t="shared" si="34"/>
        <v>222.29030402759292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23.907490869807354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23.907490869807354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24.2</v>
      </c>
      <c r="AI45" s="13">
        <f>IF('Données projet'!$A$62&gt;35,AI44+AH45-AQ44,IF(A45&lt;'Données projet'!$A$62,$AF$205^A45,IF(A45='Données projet'!$A$62,'Données projet'!$B$62,AI44+AH45-AQ44)))</f>
        <v>421.40000000000003</v>
      </c>
      <c r="AJ45" s="13">
        <f>AI45*VLOOKUP('Données projet'!$B$10,Paramètres!$A$1:$I$89,3,0)*VLOOKUP('Données projet'!$B$10,Paramètres!$A$1:$I$89,5,0)</f>
        <v>208.17160000000001</v>
      </c>
      <c r="AK45" s="13">
        <f t="shared" si="35"/>
        <v>51.535831173514723</v>
      </c>
      <c r="AL45" s="20">
        <f t="shared" si="4"/>
        <v>452.32377596053817</v>
      </c>
      <c r="AM45" s="59">
        <f t="shared" si="5"/>
        <v>745.65710929387149</v>
      </c>
      <c r="AN45" s="59">
        <f ca="1">AVERAGE(OFFSET($AM$3,0,0,'Données projet'!$E$10+1,1))-AVERAGE(OFFSET($H$3,0,0,'Données projet'!$E$10+1,1))</f>
        <v>360.05819346986135</v>
      </c>
      <c r="AO45" s="59">
        <f t="shared" si="36"/>
        <v>300.47468388351081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41.592665858405141</v>
      </c>
      <c r="AV45" s="21">
        <f>EXP(-LN(2)/25)*AV44+(1-EXP(-LN(2)/25))/(LN(2)/25)*Calculateur!AQ45*Calculateur!AS45*VLOOKUP('Données projet'!$B$10,Paramètres!$A$1:$I$89,3,0)*0.475*44/12</f>
        <v>30.333340517259359</v>
      </c>
      <c r="AW45" s="21">
        <f>EXP(-LN(2)/2)*AW44+(1-EXP(-LN(2)/2))/(LN(2)/2)*AQ45*AT45*VLOOKUP('Données projet'!$B$10,Paramètres!$A$1:$I$89,3,0)*0.475*44/12</f>
        <v>8.1932044186241331E-4</v>
      </c>
      <c r="AX45" s="21">
        <f t="shared" si="6"/>
        <v>71.926825696106363</v>
      </c>
      <c r="AY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14.4</v>
      </c>
      <c r="BD45" s="12">
        <f>IF('Données projet'!$A$88&gt;35,BD44+BC45-BL44,IF(A45&lt;'Données projet'!$A$88,$BA$205^A45,IF(A45='Données projet'!$A$88,'Données projet'!$B$88,BD44+BC45-BL44)))</f>
        <v>197.7999999999999</v>
      </c>
      <c r="BE45" s="13">
        <f>BD45*VLOOKUP('Données projet'!$B$11,Paramètres!$A$1:$I$89,3,0)*VLOOKUP('Données projet'!$B$11,Paramètres!$A$1:$I$89,5,0)</f>
        <v>113.14159999999994</v>
      </c>
      <c r="BF45" s="13">
        <f t="shared" si="37"/>
        <v>30.069952587741991</v>
      </c>
      <c r="BG45" s="20">
        <f t="shared" si="7"/>
        <v>249.4267874236505</v>
      </c>
      <c r="BH45" s="59">
        <f t="shared" si="8"/>
        <v>542.76012075698384</v>
      </c>
      <c r="BI45" s="59">
        <f ca="1">AVERAGE(OFFSET($BH$3,0,0,'Données projet'!$E$11+1,1))-AVERAGE(OFFSET($H$3,0,0,'Données projet'!$E$11+1,1))</f>
        <v>250.90038883668348</v>
      </c>
      <c r="BJ45" s="59">
        <f t="shared" si="38"/>
        <v>141.96132114475608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21.890876767581652</v>
      </c>
      <c r="BQ45" s="21">
        <f>EXP(-LN(2)/25)*BQ44+(1-EXP(-LN(2)/25))/(LN(2)/25)*Calculateur!BL45*Calculateur!BN45*VLOOKUP('Données projet'!$B$11,Paramètres!$A$1:$I$89,3,0)*0.475*44/12</f>
        <v>8.534875439872339</v>
      </c>
      <c r="BR45" s="21">
        <f>EXP(-LN(2)/2)*BR44+(1-EXP(-LN(2)/2))/(LN(2)/2)*BL45*BO45*VLOOKUP('Données projet'!$B$11,Paramètres!$A$1:$I$89,3,0)*0.475*44/12</f>
        <v>5.9032414222388439E-2</v>
      </c>
      <c r="BS45" s="22">
        <f t="shared" si="9"/>
        <v>30.484784621676379</v>
      </c>
      <c r="BT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9.8000000000000007</v>
      </c>
      <c r="BY45" s="12">
        <f>IF('Données projet'!$A$114&gt;35,BY44+BX45-CG44,IF(A45&lt;'Données projet'!$A$114,$BV$205^A45,IF(A45='Données projet'!$A$114,'Données projet'!$B$114,BY44+BX45-CG44)))</f>
        <v>212.60000000000002</v>
      </c>
      <c r="BZ45" s="13">
        <f>BY45*VLOOKUP('Données projet'!$B$12,Paramètres!$A$1:$I$89,3,0)*VLOOKUP('Données projet'!$B$12,Paramètres!$A$1:$I$89,5,0)</f>
        <v>169.14456000000004</v>
      </c>
      <c r="CA45" s="13">
        <f t="shared" si="39"/>
        <v>42.898377267189964</v>
      </c>
      <c r="CB45" s="20">
        <f t="shared" si="10"/>
        <v>369.30811574035596</v>
      </c>
      <c r="CC45" s="59">
        <f t="shared" si="11"/>
        <v>662.64144907368927</v>
      </c>
      <c r="CD45" s="59">
        <f ca="1">AVERAGE(OFFSET($CC$3,0,0,'Données projet'!$E$12+1,1))-AVERAGE(OFFSET($H$3,0,0,'Données projet'!$E$12+1,1))</f>
        <v>279.49721661620544</v>
      </c>
      <c r="CE45" s="59">
        <f t="shared" si="40"/>
        <v>275.18739333988754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29.884363587259195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29.884363587259195</v>
      </c>
      <c r="CO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26</v>
      </c>
      <c r="CT45" s="12">
        <f>IF('Données projet'!$A$140&gt;35,CT44+CS45-DB44,IF(A45&lt;'Données projet'!$A$140,$CQ$205^A45,IF(A45='Données projet'!$A$140,'Données projet'!$B$140,CT44+CS45-DB44)))</f>
        <v>461.99999999999994</v>
      </c>
      <c r="CU45" s="17">
        <f>CT45*VLOOKUP('Données projet'!$B$13,Paramètres!$A$1:$I$89,3,0)*VLOOKUP('Données projet'!$B$13,Paramètres!$A$1:$I$89,5,0)</f>
        <v>228.22799999999998</v>
      </c>
      <c r="CV45" s="13">
        <f t="shared" si="41"/>
        <v>55.899361406374432</v>
      </c>
      <c r="CW45" s="20">
        <f t="shared" si="13"/>
        <v>494.85515444943547</v>
      </c>
      <c r="CX45" s="59">
        <f t="shared" si="14"/>
        <v>788.18848778276879</v>
      </c>
      <c r="CY45" s="59">
        <f ca="1">AVERAGE(OFFSET($CX$3,0,0,'Données projet'!$E$13+1,1))-AVERAGE(OFFSET($H$3,0,0,'Données projet'!$E$13+1,1))</f>
        <v>396.27049617044378</v>
      </c>
      <c r="CZ45" s="59">
        <f t="shared" si="42"/>
        <v>335.2680289568774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46.214073176005698</v>
      </c>
      <c r="DG45" s="21">
        <f>EXP(-LN(2)/25)*DG44+(1-EXP(-LN(2)/25))/(LN(2)/25)*Calculateur!DB45*Calculateur!DD45*VLOOKUP('Données projet'!$B$13,Paramètres!$A$1:$I$89,3,0)*0.475*44/12</f>
        <v>33.703711685843736</v>
      </c>
      <c r="DH45" s="21">
        <f>EXP(-LN(2)/2)*DH44+(1-EXP(-LN(2)/2))/(LN(2)/2)*DB45*DE45*VLOOKUP('Données projet'!$B$13,Paramètres!$A$1:$I$89,3,0)*0.475*44/12</f>
        <v>6.0083499069910349E-3</v>
      </c>
      <c r="DI45" s="22">
        <f t="shared" si="15"/>
        <v>79.923793211756433</v>
      </c>
      <c r="DJ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16.8</v>
      </c>
      <c r="DO45" s="12">
        <f>IF('Données projet'!$A$166&gt;35,DO44+DN45-DW44,IF(A45&lt;'Données projet'!$A$166,$DL$205^A45,IF(A45='Données projet'!$A$166,'Données projet'!$B$166,DO44+DN45-DW44)))</f>
        <v>244.59999999999991</v>
      </c>
      <c r="DP45" s="17">
        <f>DO45*VLOOKUP('Données projet'!$B$14,Paramètres!$A$1:$I$89,3,0)*VLOOKUP('Données projet'!$B$14,Paramètres!$A$1:$I$89,5,0)</f>
        <v>139.91119999999995</v>
      </c>
      <c r="DQ45" s="13">
        <f t="shared" si="43"/>
        <v>36.27666191083685</v>
      </c>
      <c r="DR45" s="20">
        <f t="shared" si="16"/>
        <v>306.86052616137408</v>
      </c>
      <c r="DS45" s="59">
        <f t="shared" si="17"/>
        <v>600.19385949470734</v>
      </c>
      <c r="DT45" s="59">
        <f ca="1">AVERAGE(OFFSET($DS$3,0,0,'Données projet'!$E$14+1,1))-AVERAGE(OFFSET($H$3,0,0,'Données projet'!$E$14+1,1))</f>
        <v>307.43900954374504</v>
      </c>
      <c r="DU45" s="59">
        <f t="shared" si="44"/>
        <v>185.25270859048999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26.269052121097968</v>
      </c>
      <c r="EB45" s="21">
        <f>EXP(-LN(2)/25)*EB44+(1-EXP(-LN(2)/25))/(LN(2)/25)*Calculateur!DW45*Calculateur!DY45*VLOOKUP('Données projet'!$B$14,Paramètres!$A$1:$I$89,3,0)*0.475*44/12</f>
        <v>19.15789927405854</v>
      </c>
      <c r="EC45" s="21">
        <f>EXP(-LN(2)/2)*EC44+(1-EXP(-LN(2)/2))/(LN(2)/2)*DW45*DZ45*VLOOKUP('Données projet'!$B$14,Paramètres!$A$1:$I$89,3,0)*0.475*44/12</f>
        <v>5.6921209645178199E-3</v>
      </c>
      <c r="ED45" s="22">
        <f t="shared" si="18"/>
        <v>45.432643516121026</v>
      </c>
      <c r="EE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>
        <f>VLOOKUP(A45,'Données projet'!$A$191:$I$211,2,0)</f>
        <v>330</v>
      </c>
      <c r="EH45" s="12">
        <f>VLOOKUP(A45,'Données projet'!$A$191:$I$211,9,0)</f>
        <v>13.9</v>
      </c>
      <c r="EI45" s="12">
        <f t="array" ref="EI45">INDEX(EH:EH,MIN(IF(ISNUMBER(EH45:EH241),ROW(EH45:EH241),"")))</f>
        <v>13.9</v>
      </c>
      <c r="EJ45" s="12">
        <f>IF('Données projet'!$A$192&gt;35,EJ44+EI45-ER44,IF(A45&lt;'Données projet'!$A$192,$EG$205^A45,IF(A45='Données projet'!$A$192,'Données projet'!$B$192,EJ44+EI45-ER44)))</f>
        <v>330.00000000000006</v>
      </c>
      <c r="EK45" s="17">
        <f>EJ45*VLOOKUP('Données projet'!$B$15,Paramètres!$A$1:$I$89,3,0)*VLOOKUP('Données projet'!$B$15,Paramètres!$A$1:$I$89,5,0)</f>
        <v>205.92000000000004</v>
      </c>
      <c r="EL45" s="13">
        <f t="shared" si="45"/>
        <v>51.042987531485686</v>
      </c>
      <c r="EM45" s="20">
        <f t="shared" si="19"/>
        <v>447.54386995067097</v>
      </c>
      <c r="EN45" s="59">
        <f t="shared" si="20"/>
        <v>740.87720328400428</v>
      </c>
      <c r="EO45" s="59">
        <f ca="1">AVERAGE(OFFSET($EN$3,0,0,'Données projet'!$E$15+1,1))-AVERAGE(OFFSET($H$3,0,0,'Données projet'!$E$15+1,1))</f>
        <v>269.77739619445515</v>
      </c>
      <c r="EP45" s="59">
        <f t="shared" si="46"/>
        <v>347.56964743629885</v>
      </c>
      <c r="EQ45" s="15">
        <f>IF(ISNA(VLOOKUP(A45,'Données projet'!$A$191:$I$211,3,0)),0,VLOOKUP(A45,'Données projet'!$A$191:$I$211,3,0))</f>
        <v>6</v>
      </c>
      <c r="ER45" s="15">
        <f>IF(ISNA(VLOOKUP(A45,'Données projet'!$A$191:$I$211,4,0)),0,VLOOKUP(A45,'Données projet'!$A$191:$I$211,4,0))</f>
        <v>54.6</v>
      </c>
      <c r="ES45" s="16">
        <f>IF(ISNA(VLOOKUP(A45,'Données projet'!$A$191:$I$211,5,0)),0%,VLOOKUP(A45,'Données projet'!$A$191:$I$211,5,0)*VLOOKUP('Données projet'!$B$15,Paramètres!$A$1:$I$89,7,0))</f>
        <v>0.6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52.873562606793925</v>
      </c>
      <c r="EW45" s="21">
        <f>EXP(-LN(2)/25)*EW44+(1-EXP(-LN(2)/25))/(LN(2)/25)*Calculateur!ER45*Calculateur!ET45*VLOOKUP('Données projet'!$B$15,Paramètres!$A$1:$I$89,3,0)*0.475*44/12</f>
        <v>65.77709881371689</v>
      </c>
      <c r="EX45" s="21">
        <f>EXP(-LN(2)/2)*EX44+(1-EXP(-LN(2)/2))/(LN(2)/2)*ER45*EU45*VLOOKUP('Données projet'!$B$15,Paramètres!$A$1:$I$89,3,0)*0.475*44/12</f>
        <v>3.880991566716696E-4</v>
      </c>
      <c r="EY45" s="22">
        <f t="shared" si="21"/>
        <v>118.65104951966748</v>
      </c>
      <c r="EZ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11.4</v>
      </c>
      <c r="FE45" s="12">
        <f>IF('Données projet'!$A$218&gt;35,FE44+FD45-FM44,IF(A45&lt;'Données projet'!$A$218,$FB$205^A45,IF(A45='Données projet'!$A$218,'Données projet'!$B$218,FE44+FD45-FM44)))</f>
        <v>245.79999999999993</v>
      </c>
      <c r="FF45" s="17">
        <f>FE45*VLOOKUP('Données projet'!$B$16,Paramètres!$A$1:$I$89,3,0)*VLOOKUP('Données projet'!$B$16,Paramètres!$A$1:$I$89,5,0)</f>
        <v>195.55847999999995</v>
      </c>
      <c r="FG45" s="13">
        <f t="shared" si="47"/>
        <v>48.766783903364477</v>
      </c>
      <c r="FH45" s="20">
        <f t="shared" si="22"/>
        <v>425.53316796502639</v>
      </c>
      <c r="FI45" s="59">
        <f t="shared" si="23"/>
        <v>718.86650129835971</v>
      </c>
      <c r="FJ45" s="59">
        <f ca="1">AVERAGE(OFFSET($FI$3,0,0,'Données projet'!$E$16+1,1))-AVERAGE(OFFSET($H$3,0,0,'Données projet'!$E$16+1,1))</f>
        <v>331.52724290297675</v>
      </c>
      <c r="FK45" s="59">
        <f t="shared" si="48"/>
        <v>322.79102610158054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34.965157848377466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34.965157848377466</v>
      </c>
      <c r="FU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28.2</v>
      </c>
      <c r="FZ45" s="12">
        <f>IF('Données projet'!$A$244&gt;35,FZ44+FY45-GH44,IF(A45&lt;'Données projet'!$A$244,$FW$205^A45,IF(A45='Données projet'!$A$244,'Données projet'!$B$244,FZ44+FY45-GH44)))</f>
        <v>503.40000000000026</v>
      </c>
      <c r="GA45" s="17">
        <f>FZ45*VLOOKUP('Données projet'!$B$17,Paramètres!$A$1:$I$89,3,0)*VLOOKUP('Données projet'!$B$17,Paramètres!$A$1:$I$89,5,0)</f>
        <v>248.67960000000016</v>
      </c>
      <c r="GB45" s="13">
        <f t="shared" si="49"/>
        <v>60.303109981559402</v>
      </c>
      <c r="GC45" s="20">
        <f t="shared" si="25"/>
        <v>538.14488655121613</v>
      </c>
      <c r="GD45" s="59">
        <f t="shared" si="26"/>
        <v>831.47821988454939</v>
      </c>
      <c r="GE45" s="59">
        <f ca="1">AVERAGE(OFFSET($GD$3,0,0,'Données projet'!$E$17+1,1))-AVERAGE(OFFSET($H$3,0,0,'Données projet'!$E$17+1,1))</f>
        <v>434.08297999735811</v>
      </c>
      <c r="GF45" s="59">
        <f t="shared" si="50"/>
        <v>371.04090283546122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50.835480493606276</v>
      </c>
      <c r="GM45" s="21">
        <f>EXP(-LN(2)/25)*GM44+(1-EXP(-LN(2)/25))/(LN(2)/25)*Calculateur!GH45*Calculateur!GJ45*VLOOKUP('Données projet'!$B$17,Paramètres!$A$1:$I$89,3,0)*0.475*44/12</f>
        <v>37.074082854428113</v>
      </c>
      <c r="GN45" s="21">
        <f>EXP(-LN(2)/2)*GN44+(1-EXP(-LN(2)/2))/(LN(2)/2)*GH45*GK45*VLOOKUP('Données projet'!$B$17,Paramètres!$A$1:$I$89,3,0)*0.475*44/12</f>
        <v>1.1743593000027926E-2</v>
      </c>
      <c r="GO45" s="21">
        <f t="shared" si="27"/>
        <v>87.92130694103443</v>
      </c>
      <c r="GP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18.8</v>
      </c>
      <c r="GU45" s="12">
        <f>IF('Données projet'!$A$270&gt;35,GU44+GT45-HC44,IF(A45&lt;'Données projet'!$A$270,$GR$205^A45,IF(A45='Données projet'!$A$270,'Données projet'!$B$270,GU44+GT45-HC44)))</f>
        <v>288.60000000000002</v>
      </c>
      <c r="GV45" s="17">
        <f>GU45*VLOOKUP('Données projet'!$B$18,Paramètres!$A$1:$I$89,3,0)*VLOOKUP('Données projet'!$B$18,Paramètres!$A$1:$I$89,5,0)</f>
        <v>165.07920000000001</v>
      </c>
      <c r="GW45" s="13">
        <f t="shared" si="51"/>
        <v>41.986051122111817</v>
      </c>
      <c r="GX45" s="20">
        <f t="shared" si="28"/>
        <v>360.63864570434475</v>
      </c>
      <c r="GY45" s="59">
        <f t="shared" si="29"/>
        <v>653.97197903767801</v>
      </c>
      <c r="GZ45" s="59">
        <f ca="1">AVERAGE(OFFSET($GY$3,0,0,'Données projet'!$E$18+1,1))-AVERAGE(OFFSET($H$3,0,0,'Données projet'!$E$18+1,1))</f>
        <v>362.57172983134313</v>
      </c>
      <c r="HA45" s="59">
        <f t="shared" si="52"/>
        <v>232.03250917542471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30.647227474614304</v>
      </c>
      <c r="HH45" s="21">
        <f>EXP(-LN(2)/25)*HH44+(1-EXP(-LN(2)/25))/(LN(2)/25)*Calculateur!HC45*Calculateur!HE45*VLOOKUP('Données projet'!$B$18,Paramètres!$A$1:$I$89,3,0)*0.475*44/12</f>
        <v>22.350882486401638</v>
      </c>
      <c r="HI45" s="21">
        <f>EXP(-LN(2)/2)*HI44+(1-EXP(-LN(2)/2))/(LN(2)/2)*HC45*HF45*VLOOKUP('Données projet'!$B$18,Paramètres!$A$1:$I$89,3,0)*0.475*44/12</f>
        <v>1.1700470871508849E-2</v>
      </c>
      <c r="HJ45" s="22">
        <f t="shared" si="30"/>
        <v>53.009810431887452</v>
      </c>
    </row>
    <row r="46" spans="1:218" x14ac:dyDescent="0.3">
      <c r="A46" s="10">
        <f t="shared" si="31"/>
        <v>43</v>
      </c>
      <c r="B46" s="71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5">
        <f t="shared" si="1"/>
        <v>341.02413906270732</v>
      </c>
      <c r="I46" s="6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8.1999999999999993</v>
      </c>
      <c r="N46" s="13">
        <f>IF('Données projet'!$A$36&gt;35,N45+M46-V45,IF(A46&lt;'Données projet'!$A$36,$K$205^A46,IF(A46='Données projet'!$A$36,'Données projet'!$B$36,N45+M46-V45)))</f>
        <v>188.59999999999997</v>
      </c>
      <c r="O46" s="13">
        <f>N46*VLOOKUP('Données projet'!$B$9,Paramètres!$A$1:$I$89,3,0)*VLOOKUP('Données projet'!$B$9,Paramètres!$A$1:$I$89,5,0)</f>
        <v>150.05015999999998</v>
      </c>
      <c r="P46" s="13">
        <f t="shared" si="33"/>
        <v>38.589984439024569</v>
      </c>
      <c r="Q46" s="20">
        <f t="shared" si="53"/>
        <v>328.54825156463437</v>
      </c>
      <c r="R46" s="59">
        <f t="shared" si="0"/>
        <v>621.88158489796774</v>
      </c>
      <c r="S46" s="59">
        <f ca="1">AVERAGE(OFFSET($R$3,0,0,'Données projet'!$E$9+1,1))-AVERAGE(OFFSET($H$3,0,0,'Données projet'!$E$9+1,1))</f>
        <v>225.2323446080772</v>
      </c>
      <c r="T46" s="59">
        <f t="shared" si="34"/>
        <v>222.29030402759292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23.438679555979999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23.438679555979999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24.2</v>
      </c>
      <c r="AI46" s="13">
        <f>IF('Données projet'!$A$62&gt;35,AI45+AH46-AQ45,IF(A46&lt;'Données projet'!$A$62,$AF$205^A46,IF(A46='Données projet'!$A$62,'Données projet'!$B$62,AI45+AH46-AQ45)))</f>
        <v>445.6</v>
      </c>
      <c r="AJ46" s="13">
        <f>AI46*VLOOKUP('Données projet'!$B$10,Paramètres!$A$1:$I$89,3,0)*VLOOKUP('Données projet'!$B$10,Paramètres!$A$1:$I$89,5,0)</f>
        <v>220.12640000000002</v>
      </c>
      <c r="AK46" s="13">
        <f t="shared" si="35"/>
        <v>54.142357217636885</v>
      </c>
      <c r="AL46" s="20">
        <f t="shared" si="4"/>
        <v>477.68475215405095</v>
      </c>
      <c r="AM46" s="59">
        <f t="shared" si="5"/>
        <v>771.01808548738427</v>
      </c>
      <c r="AN46" s="59">
        <f ca="1">AVERAGE(OFFSET($AM$3,0,0,'Données projet'!$E$10+1,1))-AVERAGE(OFFSET($H$3,0,0,'Données projet'!$E$10+1,1))</f>
        <v>360.05819346986135</v>
      </c>
      <c r="AO46" s="59">
        <f t="shared" si="36"/>
        <v>300.47468388351081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40.777059049943006</v>
      </c>
      <c r="AV46" s="21">
        <f>EXP(-LN(2)/25)*AV45+(1-EXP(-LN(2)/25))/(LN(2)/25)*Calculateur!AQ46*Calculateur!AS46*VLOOKUP('Données projet'!$B$10,Paramètres!$A$1:$I$89,3,0)*0.475*44/12</f>
        <v>29.50387372565385</v>
      </c>
      <c r="AW46" s="21">
        <f>EXP(-LN(2)/2)*AW45+(1-EXP(-LN(2)/2))/(LN(2)/2)*AQ46*AT46*VLOOKUP('Données projet'!$B$10,Paramètres!$A$1:$I$89,3,0)*0.475*44/12</f>
        <v>5.7934704040567091E-4</v>
      </c>
      <c r="AX46" s="21">
        <f t="shared" si="6"/>
        <v>70.281512122637253</v>
      </c>
      <c r="AY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14.4</v>
      </c>
      <c r="BD46" s="12">
        <f>IF('Données projet'!$A$88&gt;35,BD45+BC46-BL45,IF(A46&lt;'Données projet'!$A$88,$BA$205^A46,IF(A46='Données projet'!$A$88,'Données projet'!$B$88,BD45+BC46-BL45)))</f>
        <v>212.1999999999999</v>
      </c>
      <c r="BE46" s="13">
        <f>BD46*VLOOKUP('Données projet'!$B$11,Paramètres!$A$1:$I$89,3,0)*VLOOKUP('Données projet'!$B$11,Paramètres!$A$1:$I$89,5,0)</f>
        <v>121.37839999999994</v>
      </c>
      <c r="BF46" s="13">
        <f t="shared" si="37"/>
        <v>31.996274448164218</v>
      </c>
      <c r="BG46" s="20">
        <f t="shared" si="7"/>
        <v>267.1275579972193</v>
      </c>
      <c r="BH46" s="59">
        <f t="shared" si="8"/>
        <v>560.46089133055261</v>
      </c>
      <c r="BI46" s="59">
        <f ca="1">AVERAGE(OFFSET($BH$3,0,0,'Données projet'!$E$11+1,1))-AVERAGE(OFFSET($H$3,0,0,'Données projet'!$E$11+1,1))</f>
        <v>250.90038883668348</v>
      </c>
      <c r="BJ46" s="59">
        <f t="shared" si="38"/>
        <v>141.96132114475608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21.461610026285793</v>
      </c>
      <c r="BQ46" s="21">
        <f>EXP(-LN(2)/25)*BQ45+(1-EXP(-LN(2)/25))/(LN(2)/25)*Calculateur!BL46*Calculateur!BN46*VLOOKUP('Données projet'!$B$11,Paramètres!$A$1:$I$89,3,0)*0.475*44/12</f>
        <v>8.3014888221394365</v>
      </c>
      <c r="BR46" s="21">
        <f>EXP(-LN(2)/2)*BR45+(1-EXP(-LN(2)/2))/(LN(2)/2)*BL46*BO46*VLOOKUP('Données projet'!$B$11,Paramètres!$A$1:$I$89,3,0)*0.475*44/12</f>
        <v>4.174222040646406E-2</v>
      </c>
      <c r="BS46" s="22">
        <f t="shared" si="9"/>
        <v>29.804841068831696</v>
      </c>
      <c r="BT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9.8000000000000007</v>
      </c>
      <c r="BY46" s="12">
        <f>IF('Données projet'!$A$114&gt;35,BY45+BX46-CG45,IF(A46&lt;'Données projet'!$A$114,$BV$205^A46,IF(A46='Données projet'!$A$114,'Données projet'!$B$114,BY45+BX46-CG45)))</f>
        <v>222.40000000000003</v>
      </c>
      <c r="BZ46" s="13">
        <f>BY46*VLOOKUP('Données projet'!$B$12,Paramètres!$A$1:$I$89,3,0)*VLOOKUP('Données projet'!$B$12,Paramètres!$A$1:$I$89,5,0)</f>
        <v>176.94144000000003</v>
      </c>
      <c r="CA46" s="13">
        <f t="shared" si="39"/>
        <v>44.641035679901449</v>
      </c>
      <c r="CB46" s="20">
        <f t="shared" si="10"/>
        <v>385.92281180916171</v>
      </c>
      <c r="CC46" s="59">
        <f t="shared" si="11"/>
        <v>679.25614514249503</v>
      </c>
      <c r="CD46" s="59">
        <f ca="1">AVERAGE(OFFSET($CC$3,0,0,'Données projet'!$E$12+1,1))-AVERAGE(OFFSET($H$3,0,0,'Données projet'!$E$12+1,1))</f>
        <v>279.49721661620544</v>
      </c>
      <c r="CE46" s="59">
        <f t="shared" si="40"/>
        <v>275.18739333988754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29.298349444974999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29.298349444974999</v>
      </c>
      <c r="CO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26</v>
      </c>
      <c r="CT46" s="12">
        <f>IF('Données projet'!$A$140&gt;35,CT45+CS46-DB45,IF(A46&lt;'Données projet'!$A$140,$CQ$205^A46,IF(A46='Données projet'!$A$140,'Données projet'!$B$140,CT45+CS46-DB45)))</f>
        <v>487.99999999999994</v>
      </c>
      <c r="CU46" s="17">
        <f>CT46*VLOOKUP('Données projet'!$B$13,Paramètres!$A$1:$I$89,3,0)*VLOOKUP('Données projet'!$B$13,Paramètres!$A$1:$I$89,5,0)</f>
        <v>241.07199999999997</v>
      </c>
      <c r="CV46" s="13">
        <f t="shared" si="41"/>
        <v>58.670116645035129</v>
      </c>
      <c r="CW46" s="20">
        <f t="shared" si="13"/>
        <v>522.05085315676945</v>
      </c>
      <c r="CX46" s="59">
        <f t="shared" si="14"/>
        <v>815.38418649010282</v>
      </c>
      <c r="CY46" s="59">
        <f ca="1">AVERAGE(OFFSET($CX$3,0,0,'Données projet'!$E$13+1,1))-AVERAGE(OFFSET($H$3,0,0,'Données projet'!$E$13+1,1))</f>
        <v>396.27049617044378</v>
      </c>
      <c r="CZ46" s="59">
        <f t="shared" si="42"/>
        <v>335.2680289568774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45.307843388825546</v>
      </c>
      <c r="DG46" s="21">
        <f>EXP(-LN(2)/25)*DG45+(1-EXP(-LN(2)/25))/(LN(2)/25)*Calculateur!DB46*Calculateur!DD46*VLOOKUP('Données projet'!$B$13,Paramètres!$A$1:$I$89,3,0)*0.475*44/12</f>
        <v>32.782081917393171</v>
      </c>
      <c r="DH46" s="21">
        <f>EXP(-LN(2)/2)*DH45+(1-EXP(-LN(2)/2))/(LN(2)/2)*DB46*DE46*VLOOKUP('Données projet'!$B$13,Paramètres!$A$1:$I$89,3,0)*0.475*44/12</f>
        <v>4.2485449629749228E-3</v>
      </c>
      <c r="DI46" s="22">
        <f t="shared" si="15"/>
        <v>78.094173851181694</v>
      </c>
      <c r="DJ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16.8</v>
      </c>
      <c r="DO46" s="12">
        <f>IF('Données projet'!$A$166&gt;35,DO45+DN46-DW45,IF(A46&lt;'Données projet'!$A$166,$DL$205^A46,IF(A46='Données projet'!$A$166,'Données projet'!$B$166,DO45+DN46-DW45)))</f>
        <v>261.39999999999992</v>
      </c>
      <c r="DP46" s="17">
        <f>DO46*VLOOKUP('Données projet'!$B$14,Paramètres!$A$1:$I$89,3,0)*VLOOKUP('Données projet'!$B$14,Paramètres!$A$1:$I$89,5,0)</f>
        <v>149.52079999999995</v>
      </c>
      <c r="DQ46" s="13">
        <f t="shared" si="43"/>
        <v>38.469665429479107</v>
      </c>
      <c r="DR46" s="20">
        <f t="shared" si="16"/>
        <v>327.41672728967603</v>
      </c>
      <c r="DS46" s="59">
        <f t="shared" si="17"/>
        <v>620.7500606230094</v>
      </c>
      <c r="DT46" s="59">
        <f ca="1">AVERAGE(OFFSET($DS$3,0,0,'Données projet'!$E$14+1,1))-AVERAGE(OFFSET($H$3,0,0,'Données projet'!$E$14+1,1))</f>
        <v>307.43900954374504</v>
      </c>
      <c r="DU46" s="59">
        <f t="shared" si="44"/>
        <v>185.25270859048999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25.753932031542934</v>
      </c>
      <c r="EB46" s="21">
        <f>EXP(-LN(2)/25)*EB45+(1-EXP(-LN(2)/25))/(LN(2)/25)*Calculateur!DW46*Calculateur!DY46*VLOOKUP('Données projet'!$B$14,Paramètres!$A$1:$I$89,3,0)*0.475*44/12</f>
        <v>18.634025510939271</v>
      </c>
      <c r="EC46" s="21">
        <f>EXP(-LN(2)/2)*EC45+(1-EXP(-LN(2)/2))/(LN(2)/2)*DW46*DZ46*VLOOKUP('Données projet'!$B$14,Paramètres!$A$1:$I$89,3,0)*0.475*44/12</f>
        <v>4.0249373333446619E-3</v>
      </c>
      <c r="ED46" s="22">
        <f t="shared" si="18"/>
        <v>44.391982479815553</v>
      </c>
      <c r="EE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12.933333333333337</v>
      </c>
      <c r="EJ46" s="12">
        <f>IF('Données projet'!$A$192&gt;35,EJ45+EI46-ER45,IF(A46&lt;'Données projet'!$A$192,$EG$205^A46,IF(A46='Données projet'!$A$192,'Données projet'!$B$192,EJ45+EI46-ER45)))</f>
        <v>288.33333333333337</v>
      </c>
      <c r="EK46" s="17">
        <f>EJ46*VLOOKUP('Données projet'!$B$15,Paramètres!$A$1:$I$89,3,0)*VLOOKUP('Données projet'!$B$15,Paramètres!$A$1:$I$89,5,0)</f>
        <v>179.92000000000002</v>
      </c>
      <c r="EL46" s="13">
        <f t="shared" si="45"/>
        <v>45.304387180011844</v>
      </c>
      <c r="EM46" s="20">
        <f t="shared" si="19"/>
        <v>392.26580767185396</v>
      </c>
      <c r="EN46" s="59">
        <f t="shared" si="20"/>
        <v>685.59914100518722</v>
      </c>
      <c r="EO46" s="59">
        <f ca="1">AVERAGE(OFFSET($EN$3,0,0,'Données projet'!$E$15+1,1))-AVERAGE(OFFSET($H$3,0,0,'Données projet'!$E$15+1,1))</f>
        <v>269.77739619445515</v>
      </c>
      <c r="EP46" s="59">
        <f t="shared" si="46"/>
        <v>347.56964743629885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51.836744293763495</v>
      </c>
      <c r="EW46" s="21">
        <f>EXP(-LN(2)/25)*EW45+(1-EXP(-LN(2)/25))/(LN(2)/25)*Calculateur!ER46*Calculateur!ET46*VLOOKUP('Données projet'!$B$15,Paramètres!$A$1:$I$89,3,0)*0.475*44/12</f>
        <v>63.978420587588509</v>
      </c>
      <c r="EX46" s="21">
        <f>EXP(-LN(2)/2)*EX45+(1-EXP(-LN(2)/2))/(LN(2)/2)*ER46*EU46*VLOOKUP('Données projet'!$B$15,Paramètres!$A$1:$I$89,3,0)*0.475*44/12</f>
        <v>2.744275454553179E-4</v>
      </c>
      <c r="EY46" s="22">
        <f t="shared" si="21"/>
        <v>115.81543930889745</v>
      </c>
      <c r="EZ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11.4</v>
      </c>
      <c r="FE46" s="12">
        <f>IF('Données projet'!$A$218&gt;35,FE45+FD46-FM45,IF(A46&lt;'Données projet'!$A$218,$FB$205^A46,IF(A46='Données projet'!$A$218,'Données projet'!$B$218,FE45+FD46-FM45)))</f>
        <v>257.19999999999993</v>
      </c>
      <c r="FF46" s="17">
        <f>FE46*VLOOKUP('Données projet'!$B$16,Paramètres!$A$1:$I$89,3,0)*VLOOKUP('Données projet'!$B$16,Paramètres!$A$1:$I$89,5,0)</f>
        <v>204.62831999999995</v>
      </c>
      <c r="FG46" s="13">
        <f t="shared" si="47"/>
        <v>50.759974072251445</v>
      </c>
      <c r="FH46" s="20">
        <f t="shared" si="22"/>
        <v>444.80127884250447</v>
      </c>
      <c r="FI46" s="59">
        <f t="shared" si="23"/>
        <v>738.13461217583779</v>
      </c>
      <c r="FJ46" s="59">
        <f ca="1">AVERAGE(OFFSET($FI$3,0,0,'Données projet'!$E$16+1,1))-AVERAGE(OFFSET($H$3,0,0,'Données projet'!$E$16+1,1))</f>
        <v>331.52724290297675</v>
      </c>
      <c r="FK46" s="59">
        <f t="shared" si="48"/>
        <v>322.79102610158054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34.279512429611238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34.279512429611238</v>
      </c>
      <c r="FU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28.2</v>
      </c>
      <c r="FZ46" s="12">
        <f>IF('Données projet'!$A$244&gt;35,FZ45+FY46-GH45,IF(A46&lt;'Données projet'!$A$244,$FW$205^A46,IF(A46='Données projet'!$A$244,'Données projet'!$B$244,FZ45+FY46-GH45)))</f>
        <v>531.60000000000025</v>
      </c>
      <c r="GA46" s="17">
        <f>FZ46*VLOOKUP('Données projet'!$B$17,Paramètres!$A$1:$I$89,3,0)*VLOOKUP('Données projet'!$B$17,Paramètres!$A$1:$I$89,5,0)</f>
        <v>262.61040000000014</v>
      </c>
      <c r="GB46" s="13">
        <f t="shared" si="49"/>
        <v>63.278485817210225</v>
      </c>
      <c r="GC46" s="20">
        <f t="shared" si="25"/>
        <v>567.58980946497468</v>
      </c>
      <c r="GD46" s="59">
        <f t="shared" si="26"/>
        <v>860.92314279830794</v>
      </c>
      <c r="GE46" s="59">
        <f ca="1">AVERAGE(OFFSET($GD$3,0,0,'Données projet'!$E$17+1,1))-AVERAGE(OFFSET($H$3,0,0,'Données projet'!$E$17+1,1))</f>
        <v>434.08297999735811</v>
      </c>
      <c r="GF46" s="59">
        <f t="shared" si="50"/>
        <v>371.04090283546122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49.838627727708115</v>
      </c>
      <c r="GM46" s="21">
        <f>EXP(-LN(2)/25)*GM45+(1-EXP(-LN(2)/25))/(LN(2)/25)*Calculateur!GH46*Calculateur!GJ46*VLOOKUP('Données projet'!$B$17,Paramètres!$A$1:$I$89,3,0)*0.475*44/12</f>
        <v>36.060290109132495</v>
      </c>
      <c r="GN46" s="21">
        <f>EXP(-LN(2)/2)*GN45+(1-EXP(-LN(2)/2))/(LN(2)/2)*GH46*GK46*VLOOKUP('Données projet'!$B$17,Paramètres!$A$1:$I$89,3,0)*0.475*44/12</f>
        <v>8.3039742458146173E-3</v>
      </c>
      <c r="GO46" s="21">
        <f t="shared" si="27"/>
        <v>85.90722181108643</v>
      </c>
      <c r="GP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18.8</v>
      </c>
      <c r="GU46" s="12">
        <f>IF('Données projet'!$A$270&gt;35,GU45+GT46-HC45,IF(A46&lt;'Données projet'!$A$270,$GR$205^A46,IF(A46='Données projet'!$A$270,'Données projet'!$B$270,GU45+GT46-HC45)))</f>
        <v>307.40000000000003</v>
      </c>
      <c r="GV46" s="17">
        <f>GU46*VLOOKUP('Données projet'!$B$18,Paramètres!$A$1:$I$89,3,0)*VLOOKUP('Données projet'!$B$18,Paramètres!$A$1:$I$89,5,0)</f>
        <v>175.83280000000005</v>
      </c>
      <c r="GW46" s="13">
        <f t="shared" si="51"/>
        <v>44.393800843059971</v>
      </c>
      <c r="GX46" s="20">
        <f t="shared" si="28"/>
        <v>383.56132980166285</v>
      </c>
      <c r="GY46" s="59">
        <f t="shared" si="29"/>
        <v>676.89466313499611</v>
      </c>
      <c r="GZ46" s="59">
        <f ca="1">AVERAGE(OFFSET($GY$3,0,0,'Données projet'!$E$18+1,1))-AVERAGE(OFFSET($H$3,0,0,'Données projet'!$E$18+1,1))</f>
        <v>362.57172983134313</v>
      </c>
      <c r="HA46" s="59">
        <f t="shared" si="52"/>
        <v>232.03250917542471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30.0462540368001</v>
      </c>
      <c r="HH46" s="21">
        <f>EXP(-LN(2)/25)*HH45+(1-EXP(-LN(2)/25))/(LN(2)/25)*Calculateur!HC46*Calculateur!HE46*VLOOKUP('Données projet'!$B$18,Paramètres!$A$1:$I$89,3,0)*0.475*44/12</f>
        <v>21.739696429429159</v>
      </c>
      <c r="HI46" s="21">
        <f>EXP(-LN(2)/2)*HI45+(1-EXP(-LN(2)/2))/(LN(2)/2)*HC46*HF46*VLOOKUP('Données projet'!$B$18,Paramètres!$A$1:$I$89,3,0)*0.475*44/12</f>
        <v>8.2734822963195804E-3</v>
      </c>
      <c r="HJ46" s="22">
        <f t="shared" si="30"/>
        <v>51.794223948525577</v>
      </c>
    </row>
    <row r="47" spans="1:218" x14ac:dyDescent="0.3">
      <c r="A47" s="10">
        <f t="shared" si="31"/>
        <v>44</v>
      </c>
      <c r="B47" s="71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5">
        <f t="shared" si="1"/>
        <v>342.1013210552274</v>
      </c>
      <c r="I47" s="6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8.1999999999999993</v>
      </c>
      <c r="N47" s="13">
        <f>IF('Données projet'!$A$36&gt;35,N46+M47-V46,IF(A47&lt;'Données projet'!$A$36,$K$205^A47,IF(A47='Données projet'!$A$36,'Données projet'!$B$36,N46+M47-V46)))</f>
        <v>196.79999999999995</v>
      </c>
      <c r="O47" s="13">
        <f>N47*VLOOKUP('Données projet'!$B$9,Paramètres!$A$1:$I$89,3,0)*VLOOKUP('Données projet'!$B$9,Paramètres!$A$1:$I$89,5,0)</f>
        <v>156.57407999999998</v>
      </c>
      <c r="P47" s="13">
        <f t="shared" si="33"/>
        <v>40.068818872547467</v>
      </c>
      <c r="Q47" s="20">
        <f t="shared" si="53"/>
        <v>342.48638220302013</v>
      </c>
      <c r="R47" s="59">
        <f t="shared" si="0"/>
        <v>635.81971553635344</v>
      </c>
      <c r="S47" s="59">
        <f ca="1">AVERAGE(OFFSET($R$3,0,0,'Données projet'!$E$9+1,1))-AVERAGE(OFFSET($H$3,0,0,'Données projet'!$E$9+1,1))</f>
        <v>225.2323446080772</v>
      </c>
      <c r="T47" s="59">
        <f t="shared" si="34"/>
        <v>222.29030402759292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22.979061346070129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22.979061346070129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24.2</v>
      </c>
      <c r="AI47" s="13">
        <f>IF('Données projet'!$A$62&gt;35,AI46+AH47-AQ46,IF(A47&lt;'Données projet'!$A$62,$AF$205^A47,IF(A47='Données projet'!$A$62,'Données projet'!$B$62,AI46+AH47-AQ46)))</f>
        <v>469.8</v>
      </c>
      <c r="AJ47" s="13">
        <f>AI47*VLOOKUP('Données projet'!$B$10,Paramètres!$A$1:$I$89,3,0)*VLOOKUP('Données projet'!$B$10,Paramètres!$A$1:$I$89,5,0)</f>
        <v>232.0812</v>
      </c>
      <c r="AK47" s="13">
        <f t="shared" si="35"/>
        <v>56.732449436321581</v>
      </c>
      <c r="AL47" s="20">
        <f t="shared" si="4"/>
        <v>503.0171061015933</v>
      </c>
      <c r="AM47" s="59">
        <f t="shared" si="5"/>
        <v>796.35043943492656</v>
      </c>
      <c r="AN47" s="59">
        <f ca="1">AVERAGE(OFFSET($AM$3,0,0,'Données projet'!$E$10+1,1))-AVERAGE(OFFSET($H$3,0,0,'Données projet'!$E$10+1,1))</f>
        <v>360.05819346986135</v>
      </c>
      <c r="AO47" s="59">
        <f t="shared" si="36"/>
        <v>300.47468388351081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39.977445793523785</v>
      </c>
      <c r="AV47" s="21">
        <f>EXP(-LN(2)/25)*AV46+(1-EXP(-LN(2)/25))/(LN(2)/25)*Calculateur!AQ47*Calculateur!AS47*VLOOKUP('Données projet'!$B$10,Paramètres!$A$1:$I$89,3,0)*0.475*44/12</f>
        <v>28.69708874708456</v>
      </c>
      <c r="AW47" s="21">
        <f>EXP(-LN(2)/2)*AW46+(1-EXP(-LN(2)/2))/(LN(2)/2)*AQ47*AT47*VLOOKUP('Données projet'!$B$10,Paramètres!$A$1:$I$89,3,0)*0.475*44/12</f>
        <v>4.0966022093120666E-4</v>
      </c>
      <c r="AX47" s="21">
        <f t="shared" si="6"/>
        <v>68.674944200829273</v>
      </c>
      <c r="AY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14.4</v>
      </c>
      <c r="BD47" s="12">
        <f>IF('Données projet'!$A$88&gt;35,BD46+BC47-BL46,IF(A47&lt;'Données projet'!$A$88,$BA$205^A47,IF(A47='Données projet'!$A$88,'Données projet'!$B$88,BD46+BC47-BL46)))</f>
        <v>226.59999999999991</v>
      </c>
      <c r="BE47" s="13">
        <f>BD47*VLOOKUP('Données projet'!$B$11,Paramètres!$A$1:$I$89,3,0)*VLOOKUP('Données projet'!$B$11,Paramètres!$A$1:$I$89,5,0)</f>
        <v>129.61519999999996</v>
      </c>
      <c r="BF47" s="13">
        <f t="shared" si="37"/>
        <v>33.907428015722559</v>
      </c>
      <c r="BG47" s="20">
        <f t="shared" si="7"/>
        <v>284.80191046071667</v>
      </c>
      <c r="BH47" s="59">
        <f t="shared" si="8"/>
        <v>578.13524379404998</v>
      </c>
      <c r="BI47" s="59">
        <f ca="1">AVERAGE(OFFSET($BH$3,0,0,'Données projet'!$E$11+1,1))-AVERAGE(OFFSET($H$3,0,0,'Données projet'!$E$11+1,1))</f>
        <v>250.90038883668348</v>
      </c>
      <c r="BJ47" s="59">
        <f t="shared" si="38"/>
        <v>141.96132114475608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21.040760943959885</v>
      </c>
      <c r="BQ47" s="21">
        <f>EXP(-LN(2)/25)*BQ46+(1-EXP(-LN(2)/25))/(LN(2)/25)*Calculateur!BL47*Calculateur!BN47*VLOOKUP('Données projet'!$B$11,Paramètres!$A$1:$I$89,3,0)*0.475*44/12</f>
        <v>8.074484173741709</v>
      </c>
      <c r="BR47" s="21">
        <f>EXP(-LN(2)/2)*BR46+(1-EXP(-LN(2)/2))/(LN(2)/2)*BL47*BO47*VLOOKUP('Données projet'!$B$11,Paramètres!$A$1:$I$89,3,0)*0.475*44/12</f>
        <v>2.9516207111194223E-2</v>
      </c>
      <c r="BS47" s="22">
        <f t="shared" si="9"/>
        <v>29.144761324812787</v>
      </c>
      <c r="BT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9.8000000000000007</v>
      </c>
      <c r="BY47" s="12">
        <f>IF('Données projet'!$A$114&gt;35,BY46+BX47-CG46,IF(A47&lt;'Données projet'!$A$114,$BV$205^A47,IF(A47='Données projet'!$A$114,'Données projet'!$B$114,BY46+BX47-CG46)))</f>
        <v>232.20000000000005</v>
      </c>
      <c r="BZ47" s="13">
        <f>BY47*VLOOKUP('Données projet'!$B$12,Paramètres!$A$1:$I$89,3,0)*VLOOKUP('Données projet'!$B$12,Paramètres!$A$1:$I$89,5,0)</f>
        <v>184.73832000000004</v>
      </c>
      <c r="CA47" s="13">
        <f t="shared" si="39"/>
        <v>46.374775595471988</v>
      </c>
      <c r="CB47" s="20">
        <f t="shared" si="10"/>
        <v>402.52197482878046</v>
      </c>
      <c r="CC47" s="59">
        <f t="shared" si="11"/>
        <v>695.85530816211372</v>
      </c>
      <c r="CD47" s="59">
        <f ca="1">AVERAGE(OFFSET($CC$3,0,0,'Données projet'!$E$12+1,1))-AVERAGE(OFFSET($H$3,0,0,'Données projet'!$E$12+1,1))</f>
        <v>279.49721661620544</v>
      </c>
      <c r="CE47" s="59">
        <f t="shared" si="40"/>
        <v>275.18739333988754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28.723826682587664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28.723826682587664</v>
      </c>
      <c r="CO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26</v>
      </c>
      <c r="CT47" s="12">
        <f>IF('Données projet'!$A$140&gt;35,CT46+CS47-DB46,IF(A47&lt;'Données projet'!$A$140,$CQ$205^A47,IF(A47='Données projet'!$A$140,'Données projet'!$B$140,CT46+CS47-DB46)))</f>
        <v>514</v>
      </c>
      <c r="CU47" s="17">
        <f>CT47*VLOOKUP('Données projet'!$B$13,Paramètres!$A$1:$I$89,3,0)*VLOOKUP('Données projet'!$B$13,Paramètres!$A$1:$I$89,5,0)</f>
        <v>253.916</v>
      </c>
      <c r="CV47" s="13">
        <f t="shared" si="41"/>
        <v>61.423733271550354</v>
      </c>
      <c r="CW47" s="20">
        <f t="shared" si="13"/>
        <v>549.21670211461685</v>
      </c>
      <c r="CX47" s="59">
        <f t="shared" si="14"/>
        <v>842.55003544795022</v>
      </c>
      <c r="CY47" s="59">
        <f ca="1">AVERAGE(OFFSET($CX$3,0,0,'Données projet'!$E$13+1,1))-AVERAGE(OFFSET($H$3,0,0,'Données projet'!$E$13+1,1))</f>
        <v>396.27049617044378</v>
      </c>
      <c r="CZ47" s="59">
        <f t="shared" si="42"/>
        <v>335.2680289568774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44.419384215026412</v>
      </c>
      <c r="DG47" s="21">
        <f>EXP(-LN(2)/25)*DG46+(1-EXP(-LN(2)/25))/(LN(2)/25)*Calculateur!DB47*Calculateur!DD47*VLOOKUP('Données projet'!$B$13,Paramètres!$A$1:$I$89,3,0)*0.475*44/12</f>
        <v>31.88565416342729</v>
      </c>
      <c r="DH47" s="21">
        <f>EXP(-LN(2)/2)*DH46+(1-EXP(-LN(2)/2))/(LN(2)/2)*DB47*DE47*VLOOKUP('Données projet'!$B$13,Paramètres!$A$1:$I$89,3,0)*0.475*44/12</f>
        <v>3.0041749534955174E-3</v>
      </c>
      <c r="DI47" s="22">
        <f t="shared" si="15"/>
        <v>76.308042553407191</v>
      </c>
      <c r="DJ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16.8</v>
      </c>
      <c r="DO47" s="12">
        <f>IF('Données projet'!$A$166&gt;35,DO46+DN47-DW46,IF(A47&lt;'Données projet'!$A$166,$DL$205^A47,IF(A47='Données projet'!$A$166,'Données projet'!$B$166,DO46+DN47-DW46)))</f>
        <v>278.19999999999993</v>
      </c>
      <c r="DP47" s="17">
        <f>DO47*VLOOKUP('Données projet'!$B$14,Paramètres!$A$1:$I$89,3,0)*VLOOKUP('Données projet'!$B$14,Paramètres!$A$1:$I$89,5,0)</f>
        <v>159.13039999999998</v>
      </c>
      <c r="DQ47" s="13">
        <f t="shared" si="43"/>
        <v>40.646312530866012</v>
      </c>
      <c r="DR47" s="20">
        <f t="shared" si="16"/>
        <v>347.94444099125826</v>
      </c>
      <c r="DS47" s="59">
        <f t="shared" si="17"/>
        <v>641.27777432459152</v>
      </c>
      <c r="DT47" s="59">
        <f ca="1">AVERAGE(OFFSET($DS$3,0,0,'Données projet'!$E$14+1,1))-AVERAGE(OFFSET($H$3,0,0,'Données projet'!$E$14+1,1))</f>
        <v>307.43900954374504</v>
      </c>
      <c r="DU47" s="59">
        <f t="shared" si="44"/>
        <v>185.25270859048999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25.248913132751845</v>
      </c>
      <c r="EB47" s="21">
        <f>EXP(-LN(2)/25)*EB46+(1-EXP(-LN(2)/25))/(LN(2)/25)*Calculateur!DW47*Calculateur!DY47*VLOOKUP('Données projet'!$B$14,Paramètres!$A$1:$I$89,3,0)*0.475*44/12</f>
        <v>18.124477103421825</v>
      </c>
      <c r="EC47" s="21">
        <f>EXP(-LN(2)/2)*EC46+(1-EXP(-LN(2)/2))/(LN(2)/2)*DW47*DZ47*VLOOKUP('Données projet'!$B$14,Paramètres!$A$1:$I$89,3,0)*0.475*44/12</f>
        <v>2.84606048225891E-3</v>
      </c>
      <c r="ED47" s="22">
        <f t="shared" si="18"/>
        <v>43.376236296655925</v>
      </c>
      <c r="EE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12.933333333333337</v>
      </c>
      <c r="EJ47" s="12">
        <f>IF('Données projet'!$A$192&gt;35,EJ46+EI47-ER46,IF(A47&lt;'Données projet'!$A$192,$EG$205^A47,IF(A47='Données projet'!$A$192,'Données projet'!$B$192,EJ46+EI47-ER46)))</f>
        <v>301.26666666666671</v>
      </c>
      <c r="EK47" s="17">
        <f>EJ47*VLOOKUP('Données projet'!$B$15,Paramètres!$A$1:$I$89,3,0)*VLOOKUP('Données projet'!$B$15,Paramètres!$A$1:$I$89,5,0)</f>
        <v>187.99040000000002</v>
      </c>
      <c r="EL47" s="13">
        <f t="shared" si="45"/>
        <v>47.095384246362833</v>
      </c>
      <c r="EM47" s="20">
        <f t="shared" si="19"/>
        <v>409.44107422908195</v>
      </c>
      <c r="EN47" s="59">
        <f t="shared" si="20"/>
        <v>702.77440756241526</v>
      </c>
      <c r="EO47" s="59">
        <f ca="1">AVERAGE(OFFSET($EN$3,0,0,'Données projet'!$E$15+1,1))-AVERAGE(OFFSET($H$3,0,0,'Données projet'!$E$15+1,1))</f>
        <v>269.77739619445515</v>
      </c>
      <c r="EP47" s="59">
        <f t="shared" si="46"/>
        <v>347.56964743629885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50.820257355454864</v>
      </c>
      <c r="EW47" s="21">
        <f>EXP(-LN(2)/25)*EW46+(1-EXP(-LN(2)/25))/(LN(2)/25)*Calculateur!ER47*Calculateur!ET47*VLOOKUP('Données projet'!$B$15,Paramètres!$A$1:$I$89,3,0)*0.475*44/12</f>
        <v>62.228927312141984</v>
      </c>
      <c r="EX47" s="21">
        <f>EXP(-LN(2)/2)*EX46+(1-EXP(-LN(2)/2))/(LN(2)/2)*ER47*EU47*VLOOKUP('Données projet'!$B$15,Paramètres!$A$1:$I$89,3,0)*0.475*44/12</f>
        <v>1.940495783358348E-4</v>
      </c>
      <c r="EY47" s="22">
        <f t="shared" si="21"/>
        <v>113.04937871717519</v>
      </c>
      <c r="EZ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11.4</v>
      </c>
      <c r="FE47" s="12">
        <f>IF('Données projet'!$A$218&gt;35,FE46+FD47-FM46,IF(A47&lt;'Données projet'!$A$218,$FB$205^A47,IF(A47='Données projet'!$A$218,'Données projet'!$B$218,FE46+FD47-FM46)))</f>
        <v>268.59999999999991</v>
      </c>
      <c r="FF47" s="17">
        <f>FE47*VLOOKUP('Données projet'!$B$16,Paramètres!$A$1:$I$89,3,0)*VLOOKUP('Données projet'!$B$16,Paramètres!$A$1:$I$89,5,0)</f>
        <v>213.69815999999994</v>
      </c>
      <c r="FG47" s="13">
        <f t="shared" si="47"/>
        <v>52.742903801874164</v>
      </c>
      <c r="FH47" s="20">
        <f t="shared" si="22"/>
        <v>464.05151945493071</v>
      </c>
      <c r="FI47" s="59">
        <f t="shared" si="23"/>
        <v>757.38485278826397</v>
      </c>
      <c r="FJ47" s="59">
        <f ca="1">AVERAGE(OFFSET($FI$3,0,0,'Données projet'!$E$16+1,1))-AVERAGE(OFFSET($H$3,0,0,'Données projet'!$E$16+1,1))</f>
        <v>331.52724290297675</v>
      </c>
      <c r="FK47" s="59">
        <f t="shared" si="48"/>
        <v>322.79102610158054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33.607312099304608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33.607312099304608</v>
      </c>
      <c r="FU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28.2</v>
      </c>
      <c r="FZ47" s="12">
        <f>IF('Données projet'!$A$244&gt;35,FZ46+FY47-GH46,IF(A47&lt;'Données projet'!$A$244,$FW$205^A47,IF(A47='Données projet'!$A$244,'Données projet'!$B$244,FZ46+FY47-GH46)))</f>
        <v>559.8000000000003</v>
      </c>
      <c r="GA47" s="17">
        <f>FZ47*VLOOKUP('Données projet'!$B$17,Paramètres!$A$1:$I$89,3,0)*VLOOKUP('Données projet'!$B$17,Paramètres!$A$1:$I$89,5,0)</f>
        <v>276.54120000000012</v>
      </c>
      <c r="GB47" s="13">
        <f t="shared" si="49"/>
        <v>66.235537078709044</v>
      </c>
      <c r="GC47" s="20">
        <f t="shared" si="25"/>
        <v>597.00281707875183</v>
      </c>
      <c r="GD47" s="59">
        <f t="shared" si="26"/>
        <v>890.33615041208509</v>
      </c>
      <c r="GE47" s="59">
        <f ca="1">AVERAGE(OFFSET($GD$3,0,0,'Données projet'!$E$17+1,1))-AVERAGE(OFFSET($H$3,0,0,'Données projet'!$E$17+1,1))</f>
        <v>434.08297999735811</v>
      </c>
      <c r="GF47" s="59">
        <f t="shared" si="50"/>
        <v>371.04090283546122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48.861322636529067</v>
      </c>
      <c r="GM47" s="21">
        <f>EXP(-LN(2)/25)*GM46+(1-EXP(-LN(2)/25))/(LN(2)/25)*Calculateur!GH47*Calculateur!GJ47*VLOOKUP('Données projet'!$B$17,Paramètres!$A$1:$I$89,3,0)*0.475*44/12</f>
        <v>35.07421957977003</v>
      </c>
      <c r="GN47" s="21">
        <f>EXP(-LN(2)/2)*GN46+(1-EXP(-LN(2)/2))/(LN(2)/2)*GH47*GK47*VLOOKUP('Données projet'!$B$17,Paramètres!$A$1:$I$89,3,0)*0.475*44/12</f>
        <v>5.8717965000139628E-3</v>
      </c>
      <c r="GO47" s="21">
        <f t="shared" si="27"/>
        <v>83.941414012799115</v>
      </c>
      <c r="GP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18.8</v>
      </c>
      <c r="GU47" s="12">
        <f>IF('Données projet'!$A$270&gt;35,GU46+GT47-HC46,IF(A47&lt;'Données projet'!$A$270,$GR$205^A47,IF(A47='Données projet'!$A$270,'Données projet'!$B$270,GU46+GT47-HC46)))</f>
        <v>326.20000000000005</v>
      </c>
      <c r="GV47" s="17">
        <f>GU47*VLOOKUP('Données projet'!$B$18,Paramètres!$A$1:$I$89,3,0)*VLOOKUP('Données projet'!$B$18,Paramètres!$A$1:$I$89,5,0)</f>
        <v>186.58640000000003</v>
      </c>
      <c r="GW47" s="13">
        <f t="shared" si="51"/>
        <v>46.784459888812691</v>
      </c>
      <c r="GX47" s="20">
        <f t="shared" si="28"/>
        <v>406.45424763968214</v>
      </c>
      <c r="GY47" s="59">
        <f t="shared" si="29"/>
        <v>699.78758097301545</v>
      </c>
      <c r="GZ47" s="59">
        <f ca="1">AVERAGE(OFFSET($GY$3,0,0,'Données projet'!$E$18+1,1))-AVERAGE(OFFSET($H$3,0,0,'Données projet'!$E$18+1,1))</f>
        <v>362.57172983134313</v>
      </c>
      <c r="HA47" s="59">
        <f t="shared" si="52"/>
        <v>232.03250917542471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29.45706532154383</v>
      </c>
      <c r="HH47" s="21">
        <f>EXP(-LN(2)/25)*HH46+(1-EXP(-LN(2)/25))/(LN(2)/25)*Calculateur!HC47*Calculateur!HE47*VLOOKUP('Données projet'!$B$18,Paramètres!$A$1:$I$89,3,0)*0.475*44/12</f>
        <v>21.145223287325472</v>
      </c>
      <c r="HI47" s="21">
        <f>EXP(-LN(2)/2)*HI46+(1-EXP(-LN(2)/2))/(LN(2)/2)*HC47*HF47*VLOOKUP('Données projet'!$B$18,Paramètres!$A$1:$I$89,3,0)*0.475*44/12</f>
        <v>5.8502354357544244E-3</v>
      </c>
      <c r="HJ47" s="22">
        <f t="shared" si="30"/>
        <v>50.608138844305053</v>
      </c>
    </row>
    <row r="48" spans="1:218" x14ac:dyDescent="0.3">
      <c r="A48" s="10">
        <f t="shared" si="31"/>
        <v>45</v>
      </c>
      <c r="B48" s="71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5">
        <f t="shared" si="1"/>
        <v>343.17787039879954</v>
      </c>
      <c r="I48" s="6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205</v>
      </c>
      <c r="L48" s="12">
        <f>VLOOKUP(A48,'Données projet'!$A$35:$I$55,9,0)</f>
        <v>8.1999999999999993</v>
      </c>
      <c r="M48" s="12">
        <f t="array" ref="M48">INDEX(L:L,MIN(IF(ISNUMBER(L48:L244),ROW(L48:L244),"")))</f>
        <v>8.1999999999999993</v>
      </c>
      <c r="N48" s="13">
        <f>IF('Données projet'!$A$36&gt;35,N47+M48-V47,IF(A48&lt;'Données projet'!$A$36,$K$205^A48,IF(A48='Données projet'!$A$36,'Données projet'!$B$36,N47+M48-V47)))</f>
        <v>204.99999999999994</v>
      </c>
      <c r="O48" s="13">
        <f>N48*VLOOKUP('Données projet'!$B$9,Paramètres!$A$1:$I$89,3,0)*VLOOKUP('Données projet'!$B$9,Paramètres!$A$1:$I$89,5,0)</f>
        <v>163.09799999999996</v>
      </c>
      <c r="P48" s="13">
        <f t="shared" si="33"/>
        <v>41.540496136845142</v>
      </c>
      <c r="Q48" s="20">
        <f t="shared" si="53"/>
        <v>356.4120474383385</v>
      </c>
      <c r="R48" s="59">
        <f t="shared" si="0"/>
        <v>649.74538077167176</v>
      </c>
      <c r="S48" s="59">
        <f ca="1">AVERAGE(OFFSET($R$3,0,0,'Données projet'!$E$9+1,1))-AVERAGE(OFFSET($H$3,0,0,'Données projet'!$E$9+1,1))</f>
        <v>225.2323446080772</v>
      </c>
      <c r="T48" s="59">
        <f t="shared" si="34"/>
        <v>222.29030402759292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22</v>
      </c>
      <c r="W48" s="16">
        <f>IF(ISNA(VLOOKUP(A48,'Données projet'!$A$35:$I$55,5,0)),0%,VLOOKUP(A48,'Données projet'!$A$35:$I$55,5,0)*VLOOKUP('Données projet'!$B$9,Paramètres!$A$1:$I$89,7,0))</f>
        <v>0.53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32.783568616848967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32.783568616848967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494</v>
      </c>
      <c r="AG48" s="12">
        <f>VLOOKUP(A48,'Données projet'!$A$61:$I$81,9,0)</f>
        <v>24.2</v>
      </c>
      <c r="AH48" s="12">
        <f t="array" ref="AH48">INDEX(AG:AG,MIN(IF(ISNUMBER(AG48:AG244),ROW(AG48:AG244),"")))</f>
        <v>24.2</v>
      </c>
      <c r="AI48" s="13">
        <f>IF('Données projet'!$A$62&gt;35,AI47+AH48-AQ47,IF(A48&lt;'Données projet'!$A$62,$AF$205^A48,IF(A48='Données projet'!$A$62,'Données projet'!$B$62,AI47+AH48-AQ47)))</f>
        <v>494</v>
      </c>
      <c r="AJ48" s="13">
        <f>AI48*VLOOKUP('Données projet'!$B$10,Paramètres!$A$1:$I$89,3,0)*VLOOKUP('Données projet'!$B$10,Paramètres!$A$1:$I$89,5,0)</f>
        <v>244.036</v>
      </c>
      <c r="AK48" s="13">
        <f t="shared" si="35"/>
        <v>59.307050920061414</v>
      </c>
      <c r="AL48" s="20">
        <f t="shared" si="4"/>
        <v>528.32248035244027</v>
      </c>
      <c r="AM48" s="59">
        <f t="shared" si="5"/>
        <v>821.65581368577364</v>
      </c>
      <c r="AN48" s="59">
        <f ca="1">AVERAGE(OFFSET($AM$3,0,0,'Données projet'!$E$10+1,1))-AVERAGE(OFFSET($H$3,0,0,'Données projet'!$E$10+1,1))</f>
        <v>360.05819346986135</v>
      </c>
      <c r="AO48" s="59">
        <f t="shared" si="36"/>
        <v>300.47468388351081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63</v>
      </c>
      <c r="AR48" s="16">
        <f>IF(ISNA(VLOOKUP(A48,'Données projet'!$A$61:$I$81,5,0)),0%,VLOOKUP(A48,'Données projet'!$A$61:$I$81,5,0)*VLOOKUP('Données projet'!$B$10,Paramètres!$A$1:$I$89,7,0))</f>
        <v>0.55000000000000004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61.900448905551173</v>
      </c>
      <c r="AV48" s="21">
        <f>EXP(-LN(2)/25)*AV47+(1-EXP(-LN(2)/25))/(LN(2)/25)*Calculateur!AQ48*Calculateur!AS48*VLOOKUP('Données projet'!$B$10,Paramètres!$A$1:$I$89,3,0)*0.475*44/12</f>
        <v>27.912365346181225</v>
      </c>
      <c r="AW48" s="21">
        <f>EXP(-LN(2)/2)*AW47+(1-EXP(-LN(2)/2))/(LN(2)/2)*AQ48*AT48*VLOOKUP('Données projet'!$B$10,Paramètres!$A$1:$I$89,3,0)*0.475*44/12</f>
        <v>2.8967352020283545E-4</v>
      </c>
      <c r="AX48" s="21">
        <f t="shared" si="6"/>
        <v>89.813103925252591</v>
      </c>
      <c r="AY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241</v>
      </c>
      <c r="BB48" s="12">
        <f>VLOOKUP(A48,'Données projet'!$A$87:$I$107,9,0)</f>
        <v>14.4</v>
      </c>
      <c r="BC48" s="12">
        <f t="array" ref="BC48">INDEX(BB:BB,MIN(IF(ISNUMBER(BB48:BB244),ROW(BB48:BB244),"")))</f>
        <v>14.4</v>
      </c>
      <c r="BD48" s="12">
        <f>IF('Données projet'!$A$88&gt;35,BD47+BC48-BL47,IF(A48&lt;'Données projet'!$A$88,$BA$205^A48,IF(A48='Données projet'!$A$88,'Données projet'!$B$88,BD47+BC48-BL47)))</f>
        <v>240.99999999999991</v>
      </c>
      <c r="BE48" s="13">
        <f>BD48*VLOOKUP('Données projet'!$B$11,Paramètres!$A$1:$I$89,3,0)*VLOOKUP('Données projet'!$B$11,Paramètres!$A$1:$I$89,5,0)</f>
        <v>137.85199999999995</v>
      </c>
      <c r="BF48" s="13">
        <f t="shared" si="37"/>
        <v>35.8044869269062</v>
      </c>
      <c r="BG48" s="20">
        <f t="shared" si="7"/>
        <v>302.45171473102818</v>
      </c>
      <c r="BH48" s="59">
        <f t="shared" si="8"/>
        <v>595.78504806436149</v>
      </c>
      <c r="BI48" s="59">
        <f ca="1">AVERAGE(OFFSET($BH$3,0,0,'Données projet'!$E$11+1,1))-AVERAGE(OFFSET($H$3,0,0,'Données projet'!$E$11+1,1))</f>
        <v>250.90038883668348</v>
      </c>
      <c r="BJ48" s="59">
        <f t="shared" si="38"/>
        <v>141.96132114475608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35</v>
      </c>
      <c r="BM48" s="16">
        <f>IF(ISNA(VLOOKUP(A48,'Données projet'!$A$87:$I$107,5,0)),0%,VLOOKUP(A48,'Données projet'!$A$87:$I$107,5,0)*VLOOKUP('Données projet'!$B$11,Paramètres!$A$1:$I$89,7,0))</f>
        <v>0.45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32.579183634500609</v>
      </c>
      <c r="BQ48" s="21">
        <f>EXP(-LN(2)/25)*BQ47+(1-EXP(-LN(2)/25))/(LN(2)/25)*Calculateur!BL48*Calculateur!BN48*VLOOKUP('Données projet'!$B$11,Paramètres!$A$1:$I$89,3,0)*0.475*44/12</f>
        <v>7.8536869793920738</v>
      </c>
      <c r="BR48" s="21">
        <f>EXP(-LN(2)/2)*BR47+(1-EXP(-LN(2)/2))/(LN(2)/2)*BL48*BO48*VLOOKUP('Données projet'!$B$11,Paramètres!$A$1:$I$89,3,0)*0.475*44/12</f>
        <v>2.0871110203232034E-2</v>
      </c>
      <c r="BS48" s="22">
        <f t="shared" si="9"/>
        <v>40.453741724095913</v>
      </c>
      <c r="BT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242</v>
      </c>
      <c r="BW48" s="12">
        <f>VLOOKUP(A48,'Données projet'!$A$113:$I$133,9,0)</f>
        <v>9.8000000000000007</v>
      </c>
      <c r="BX48" s="12">
        <f t="array" ref="BX48">INDEX(BW:BW,MIN(IF(ISNUMBER(BW48:BW244),ROW(BW48:BW244),"")))</f>
        <v>9.8000000000000007</v>
      </c>
      <c r="BY48" s="12">
        <f>IF('Données projet'!$A$114&gt;35,BY47+BX48-CG47,IF(A48&lt;'Données projet'!$A$114,$BV$205^A48,IF(A48='Données projet'!$A$114,'Données projet'!$B$114,BY47+BX48-CG47)))</f>
        <v>242.00000000000006</v>
      </c>
      <c r="BZ48" s="13">
        <f>BY48*VLOOKUP('Données projet'!$B$12,Paramètres!$A$1:$I$89,3,0)*VLOOKUP('Données projet'!$B$12,Paramètres!$A$1:$I$89,5,0)</f>
        <v>192.53520000000006</v>
      </c>
      <c r="CA48" s="13">
        <f t="shared" si="39"/>
        <v>48.100016456123079</v>
      </c>
      <c r="CB48" s="20">
        <f t="shared" si="10"/>
        <v>419.10633532774779</v>
      </c>
      <c r="CC48" s="59">
        <f t="shared" si="11"/>
        <v>712.4396686610811</v>
      </c>
      <c r="CD48" s="59">
        <f ca="1">AVERAGE(OFFSET($CC$3,0,0,'Données projet'!$E$12+1,1))-AVERAGE(OFFSET($H$3,0,0,'Données projet'!$E$12+1,1))</f>
        <v>279.49721661620544</v>
      </c>
      <c r="CE48" s="59">
        <f t="shared" si="40"/>
        <v>275.18739333988754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24</v>
      </c>
      <c r="CH48" s="16">
        <f>IF(ISNA(VLOOKUP(A48,'Données projet'!$A$113:$I$133,5,0)),0%,VLOOKUP(A48,'Données projet'!$A$113:$I$133,5,0)*VLOOKUP('Données projet'!$B$12,Paramètres!$A$1:$I$89,7,0))</f>
        <v>0.53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39.34796557707206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39.34796557707206</v>
      </c>
      <c r="CO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540</v>
      </c>
      <c r="CR48" s="12">
        <f>VLOOKUP(A48,'Données projet'!$A$139:$I$159,9,0)</f>
        <v>26</v>
      </c>
      <c r="CS48" s="12">
        <f t="array" ref="CS48">INDEX(CR:CR,MIN(IF(ISNUMBER(CR48:CR244),ROW(CR48:CR244),"")))</f>
        <v>26</v>
      </c>
      <c r="CT48" s="12">
        <f>IF('Données projet'!$A$140&gt;35,CT47+CS48-DB47,IF(A48&lt;'Données projet'!$A$140,$CQ$205^A48,IF(A48='Données projet'!$A$140,'Données projet'!$B$140,CT47+CS48-DB47)))</f>
        <v>540</v>
      </c>
      <c r="CU48" s="17">
        <f>CT48*VLOOKUP('Données projet'!$B$13,Paramètres!$A$1:$I$89,3,0)*VLOOKUP('Données projet'!$B$13,Paramètres!$A$1:$I$89,5,0)</f>
        <v>266.76</v>
      </c>
      <c r="CV48" s="13">
        <f t="shared" si="41"/>
        <v>64.161177130842304</v>
      </c>
      <c r="CW48" s="20">
        <f t="shared" si="13"/>
        <v>576.35438350288371</v>
      </c>
      <c r="CX48" s="59">
        <f t="shared" si="14"/>
        <v>869.68771683621708</v>
      </c>
      <c r="CY48" s="59">
        <f ca="1">AVERAGE(OFFSET($CX$3,0,0,'Données projet'!$E$13+1,1))-AVERAGE(OFFSET($H$3,0,0,'Données projet'!$E$13+1,1))</f>
        <v>396.27049617044378</v>
      </c>
      <c r="CZ48" s="59">
        <f t="shared" si="42"/>
        <v>335.2680289568774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70</v>
      </c>
      <c r="DC48" s="16">
        <f>IF(ISNA(VLOOKUP(A48,'Données projet'!$A$139:$I$159,5,0)),0%,VLOOKUP(A48,'Données projet'!$A$139:$I$159,5,0)*VLOOKUP('Données projet'!$B$13,Paramètres!$A$1:$I$89,7,0))</f>
        <v>0.55000000000000004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68.778276561723501</v>
      </c>
      <c r="DG48" s="21">
        <f>EXP(-LN(2)/25)*DG47+(1-EXP(-LN(2)/25))/(LN(2)/25)*Calculateur!DB48*Calculateur!DD48*VLOOKUP('Données projet'!$B$13,Paramètres!$A$1:$I$89,3,0)*0.475*44/12</f>
        <v>31.013739273534693</v>
      </c>
      <c r="DH48" s="21">
        <f>EXP(-LN(2)/2)*DH47+(1-EXP(-LN(2)/2))/(LN(2)/2)*DB48*DE48*VLOOKUP('Données projet'!$B$13,Paramètres!$A$1:$I$89,3,0)*0.475*44/12</f>
        <v>2.1242724814874614E-3</v>
      </c>
      <c r="DI48" s="22">
        <f t="shared" si="15"/>
        <v>99.794140107739679</v>
      </c>
      <c r="DJ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295</v>
      </c>
      <c r="DM48" s="12">
        <f>VLOOKUP(A48,'Données projet'!$A$165:$I$185,9,0)</f>
        <v>16.8</v>
      </c>
      <c r="DN48" s="12">
        <f t="array" ref="DN48">INDEX(DM:DM,MIN(IF(ISNUMBER(DM48:DM244),ROW(DM48:DM244),"")))</f>
        <v>16.8</v>
      </c>
      <c r="DO48" s="12">
        <f>IF('Données projet'!$A$166&gt;35,DO47+DN48-DW47,IF(A48&lt;'Données projet'!$A$166,$DL$205^A48,IF(A48='Données projet'!$A$166,'Données projet'!$B$166,DO47+DN48-DW47)))</f>
        <v>294.99999999999994</v>
      </c>
      <c r="DP48" s="17">
        <f>DO48*VLOOKUP('Données projet'!$B$14,Paramètres!$A$1:$I$89,3,0)*VLOOKUP('Données projet'!$B$14,Paramètres!$A$1:$I$89,5,0)</f>
        <v>168.73999999999998</v>
      </c>
      <c r="DQ48" s="13">
        <f t="shared" si="43"/>
        <v>42.807703432658492</v>
      </c>
      <c r="DR48" s="20">
        <f t="shared" si="16"/>
        <v>368.44558347854678</v>
      </c>
      <c r="DS48" s="59">
        <f t="shared" si="17"/>
        <v>661.77891681188009</v>
      </c>
      <c r="DT48" s="59">
        <f ca="1">AVERAGE(OFFSET($DS$3,0,0,'Données projet'!$E$14+1,1))-AVERAGE(OFFSET($H$3,0,0,'Données projet'!$E$14+1,1))</f>
        <v>307.43900954374504</v>
      </c>
      <c r="DU48" s="59">
        <f t="shared" si="44"/>
        <v>185.25270859048999</v>
      </c>
      <c r="DV48" s="15">
        <f>IF(ISNA(VLOOKUP(A48,'Données projet'!$A$165:$I$185,3,0)),0,VLOOKUP(A48,'Données projet'!$A$165:$I$185,3,0))</f>
        <v>6</v>
      </c>
      <c r="DW48" s="15">
        <f>IF(ISNA(VLOOKUP(A48,'Données projet'!$A$165:$I$185,4,0)),0,VLOOKUP(A48,'Données projet'!$A$165:$I$185,4,0))</f>
        <v>42</v>
      </c>
      <c r="DX48" s="16">
        <f>IF(ISNA(VLOOKUP(A48,'Données projet'!$A$165:$I$185,5,0)),0%,VLOOKUP(A48,'Données projet'!$A$165:$I$185,5,0)*VLOOKUP('Données projet'!$B$14,Paramètres!$A$1:$I$89,7,0))</f>
        <v>0.45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39.095020361400714</v>
      </c>
      <c r="EB48" s="21">
        <f>EXP(-LN(2)/25)*EB47+(1-EXP(-LN(2)/25))/(LN(2)/25)*Calculateur!DW48*Calculateur!DY48*VLOOKUP('Données projet'!$B$14,Paramètres!$A$1:$I$89,3,0)*0.475*44/12</f>
        <v>17.628862323903927</v>
      </c>
      <c r="EC48" s="21">
        <f>EXP(-LN(2)/2)*EC47+(1-EXP(-LN(2)/2))/(LN(2)/2)*DW48*DZ48*VLOOKUP('Données projet'!$B$14,Paramètres!$A$1:$I$89,3,0)*0.475*44/12</f>
        <v>2.012468666672331E-3</v>
      </c>
      <c r="ED48" s="22">
        <f t="shared" si="18"/>
        <v>56.725895153971315</v>
      </c>
      <c r="EE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12.933333333333337</v>
      </c>
      <c r="EJ48" s="12">
        <f>IF('Données projet'!$A$192&gt;35,EJ47+EI48-ER47,IF(A48&lt;'Données projet'!$A$192,$EG$205^A48,IF(A48='Données projet'!$A$192,'Données projet'!$B$192,EJ47+EI48-ER47)))</f>
        <v>314.20000000000005</v>
      </c>
      <c r="EK48" s="17">
        <f>EJ48*VLOOKUP('Données projet'!$B$15,Paramètres!$A$1:$I$89,3,0)*VLOOKUP('Données projet'!$B$15,Paramètres!$A$1:$I$89,5,0)</f>
        <v>196.0608</v>
      </c>
      <c r="EL48" s="13">
        <f t="shared" si="45"/>
        <v>48.877451065142239</v>
      </c>
      <c r="EM48" s="20">
        <f t="shared" si="19"/>
        <v>426.60078727178939</v>
      </c>
      <c r="EN48" s="59">
        <f t="shared" si="20"/>
        <v>719.93412060512264</v>
      </c>
      <c r="EO48" s="59">
        <f ca="1">AVERAGE(OFFSET($EN$3,0,0,'Données projet'!$E$15+1,1))-AVERAGE(OFFSET($H$3,0,0,'Données projet'!$E$15+1,1))</f>
        <v>269.77739619445515</v>
      </c>
      <c r="EP48" s="59">
        <f t="shared" si="46"/>
        <v>347.56964743629885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49.823703106010655</v>
      </c>
      <c r="EW48" s="21">
        <f>EXP(-LN(2)/25)*EW47+(1-EXP(-LN(2)/25))/(LN(2)/25)*Calculateur!ER48*Calculateur!ET48*VLOOKUP('Données projet'!$B$15,Paramètres!$A$1:$I$89,3,0)*0.475*44/12</f>
        <v>60.527274022314401</v>
      </c>
      <c r="EX48" s="21">
        <f>EXP(-LN(2)/2)*EX47+(1-EXP(-LN(2)/2))/(LN(2)/2)*ER48*EU48*VLOOKUP('Données projet'!$B$15,Paramètres!$A$1:$I$89,3,0)*0.475*44/12</f>
        <v>1.3721377272765895E-4</v>
      </c>
      <c r="EY48" s="22">
        <f t="shared" si="21"/>
        <v>110.35111434209779</v>
      </c>
      <c r="EZ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280</v>
      </c>
      <c r="FC48" s="12">
        <f>VLOOKUP(A48,'Données projet'!$A$217:$I$237,9,0)</f>
        <v>11.4</v>
      </c>
      <c r="FD48" s="12">
        <f t="array" ref="FD48">INDEX(FC:FC,MIN(IF(ISNUMBER(FC48:FC244),ROW(FC48:FC244),"")))</f>
        <v>11.4</v>
      </c>
      <c r="FE48" s="12">
        <f>IF('Données projet'!$A$218&gt;35,FE47+FD48-FM47,IF(A48&lt;'Données projet'!$A$218,$FB$205^A48,IF(A48='Données projet'!$A$218,'Données projet'!$B$218,FE47+FD48-FM47)))</f>
        <v>279.99999999999989</v>
      </c>
      <c r="FF48" s="17">
        <f>FE48*VLOOKUP('Données projet'!$B$16,Paramètres!$A$1:$I$89,3,0)*VLOOKUP('Données projet'!$B$16,Paramètres!$A$1:$I$89,5,0)</f>
        <v>222.76799999999994</v>
      </c>
      <c r="FG48" s="13">
        <f t="shared" si="47"/>
        <v>54.716058356609508</v>
      </c>
      <c r="FH48" s="20">
        <f t="shared" si="22"/>
        <v>483.28473497109485</v>
      </c>
      <c r="FI48" s="59">
        <f t="shared" si="23"/>
        <v>776.61806830442811</v>
      </c>
      <c r="FJ48" s="59">
        <f ca="1">AVERAGE(OFFSET($FI$3,0,0,'Données projet'!$E$16+1,1))-AVERAGE(OFFSET($H$3,0,0,'Données projet'!$E$16+1,1))</f>
        <v>331.52724290297675</v>
      </c>
      <c r="FK48" s="59">
        <f t="shared" si="48"/>
        <v>322.79102610158054</v>
      </c>
      <c r="FL48" s="15">
        <f>IF(ISNA(VLOOKUP(A48,'Données projet'!$A$217:$I$237,3,0)),0,VLOOKUP(A48,'Données projet'!$A$217:$I$237,3,0))</f>
        <v>8</v>
      </c>
      <c r="FM48" s="15">
        <f>IF(ISNA(VLOOKUP(A48,'Données projet'!$A$217:$I$237,4,0)),0,VLOOKUP(A48,'Données projet'!$A$217:$I$237,4,0))</f>
        <v>26</v>
      </c>
      <c r="FN48" s="16">
        <f>IF(ISNA(VLOOKUP(A48,'Données projet'!$A$217:$I$237,5,0)),0%,VLOOKUP(A48,'Données projet'!$A$217:$I$237,5,0)*VLOOKUP('Données projet'!$B$16,Paramètres!$A$1:$I$89,7,0))</f>
        <v>0.53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45.067971791392978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45.067971791392978</v>
      </c>
      <c r="FU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588</v>
      </c>
      <c r="FX48" s="12">
        <f>VLOOKUP(A48,'Données projet'!$A$243:$I$263,9,0)</f>
        <v>28.2</v>
      </c>
      <c r="FY48" s="12">
        <f t="array" ref="FY48">INDEX(FX:FX,MIN(IF(ISNUMBER(FX48:FX244),ROW(FX48:FX244),"")))</f>
        <v>28.2</v>
      </c>
      <c r="FZ48" s="12">
        <f>IF('Données projet'!$A$244&gt;35,FZ47+FY48-GH47,IF(A48&lt;'Données projet'!$A$244,$FW$205^A48,IF(A48='Données projet'!$A$244,'Données projet'!$B$244,FZ47+FY48-GH47)))</f>
        <v>588.00000000000034</v>
      </c>
      <c r="GA48" s="17">
        <f>FZ48*VLOOKUP('Données projet'!$B$17,Paramètres!$A$1:$I$89,3,0)*VLOOKUP('Données projet'!$B$17,Paramètres!$A$1:$I$89,5,0)</f>
        <v>290.47200000000021</v>
      </c>
      <c r="GB48" s="13">
        <f t="shared" si="49"/>
        <v>69.175292193663694</v>
      </c>
      <c r="GC48" s="20">
        <f t="shared" si="25"/>
        <v>626.38570057063134</v>
      </c>
      <c r="GD48" s="59">
        <f t="shared" si="26"/>
        <v>919.7190339039646</v>
      </c>
      <c r="GE48" s="59">
        <f ca="1">AVERAGE(OFFSET($GD$3,0,0,'Données projet'!$E$17+1,1))-AVERAGE(OFFSET($H$3,0,0,'Données projet'!$E$17+1,1))</f>
        <v>434.08297999735811</v>
      </c>
      <c r="GF48" s="59">
        <f t="shared" si="50"/>
        <v>371.04090283546122</v>
      </c>
      <c r="GG48" s="15">
        <f>IF(ISNA(VLOOKUP(A48,'Données projet'!$A$243:$I$263,3,0)),0,VLOOKUP(A48,'Données projet'!$A$243:$I$263,3,0))</f>
        <v>6</v>
      </c>
      <c r="GH48" s="15">
        <f>IF(ISNA(VLOOKUP(A48,'Données projet'!$A$243:$I$263,4,0)),0,VLOOKUP(A48,'Données projet'!$A$243:$I$263,4,0))</f>
        <v>77</v>
      </c>
      <c r="GI48" s="16">
        <f>IF(ISNA(VLOOKUP(A48,'Données projet'!$A$243:$I$263,5,0)),0%,VLOOKUP(A48,'Données projet'!$A$243:$I$263,5,0)*VLOOKUP('Données projet'!$B$17,Paramètres!$A$1:$I$89,7,0))</f>
        <v>0.55000000000000004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75.656104217895873</v>
      </c>
      <c r="GM48" s="21">
        <f>EXP(-LN(2)/25)*GM47+(1-EXP(-LN(2)/25))/(LN(2)/25)*Calculateur!GH48*Calculateur!GJ48*VLOOKUP('Données projet'!$B$17,Paramètres!$A$1:$I$89,3,0)*0.475*44/12</f>
        <v>34.115113200888175</v>
      </c>
      <c r="GN48" s="21">
        <f>EXP(-LN(2)/2)*GN47+(1-EXP(-LN(2)/2))/(LN(2)/2)*GH48*GK48*VLOOKUP('Données projet'!$B$17,Paramètres!$A$1:$I$89,3,0)*0.475*44/12</f>
        <v>4.1519871229073087E-3</v>
      </c>
      <c r="GO48" s="21">
        <f t="shared" si="27"/>
        <v>109.77536940590696</v>
      </c>
      <c r="GP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>
        <f>VLOOKUP(A48,'Données projet'!$A$269:$I$289,2,0)</f>
        <v>345</v>
      </c>
      <c r="GS48" s="12">
        <f>VLOOKUP(A48,'Données projet'!$A$269:$I$289,9,0)</f>
        <v>18.8</v>
      </c>
      <c r="GT48" s="12">
        <f t="array" ref="GT48">INDEX(GS:GS,MIN(IF(ISNUMBER(GS48:GS244),ROW(GS48:GS244),"")))</f>
        <v>18.8</v>
      </c>
      <c r="GU48" s="12">
        <f>IF('Données projet'!$A$270&gt;35,GU47+GT48-HC47,IF(A48&lt;'Données projet'!$A$270,$GR$205^A48,IF(A48='Données projet'!$A$270,'Données projet'!$B$270,GU47+GT48-HC47)))</f>
        <v>345.00000000000006</v>
      </c>
      <c r="GV48" s="17">
        <f>GU48*VLOOKUP('Données projet'!$B$18,Paramètres!$A$1:$I$89,3,0)*VLOOKUP('Données projet'!$B$18,Paramètres!$A$1:$I$89,5,0)</f>
        <v>197.34000000000006</v>
      </c>
      <c r="GW48" s="13">
        <f t="shared" si="51"/>
        <v>49.15912547427002</v>
      </c>
      <c r="GX48" s="20">
        <f t="shared" si="28"/>
        <v>429.3193102010203</v>
      </c>
      <c r="GY48" s="59">
        <f t="shared" si="29"/>
        <v>722.65264353435361</v>
      </c>
      <c r="GZ48" s="59">
        <f ca="1">AVERAGE(OFFSET($GY$3,0,0,'Données projet'!$E$18+1,1))-AVERAGE(OFFSET($H$3,0,0,'Données projet'!$E$18+1,1))</f>
        <v>362.57172983134313</v>
      </c>
      <c r="HA48" s="59">
        <f t="shared" si="52"/>
        <v>232.03250917542471</v>
      </c>
      <c r="HB48" s="15">
        <f>IF(ISNA(VLOOKUP(A48,'Données projet'!$A$269:$I$289,3,0)),0,VLOOKUP(A48,'Données projet'!$A$269:$I$289,3,0))</f>
        <v>6</v>
      </c>
      <c r="HC48" s="15">
        <f>IF(ISNA(VLOOKUP(A48,'Données projet'!$A$269:$I$289,4,0)),0,VLOOKUP(A48,'Données projet'!$A$269:$I$289,4,0))</f>
        <v>49</v>
      </c>
      <c r="HD48" s="16">
        <f>IF(ISNA(VLOOKUP(A48,'Données projet'!$A$269:$I$289,5,0)),0%,VLOOKUP(A48,'Données projet'!$A$269:$I$289,5,0)*VLOOKUP('Données projet'!$B$18,Paramètres!$A$1:$I$89,7,0))</f>
        <v>0.45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45.610857088300847</v>
      </c>
      <c r="HH48" s="21">
        <f>EXP(-LN(2)/25)*HH47+(1-EXP(-LN(2)/25))/(LN(2)/25)*Calculateur!HC48*Calculateur!HE48*VLOOKUP('Données projet'!$B$18,Paramètres!$A$1:$I$89,3,0)*0.475*44/12</f>
        <v>20.567006044554592</v>
      </c>
      <c r="HI48" s="21">
        <f>EXP(-LN(2)/2)*HI47+(1-EXP(-LN(2)/2))/(LN(2)/2)*HC48*HF48*VLOOKUP('Données projet'!$B$18,Paramètres!$A$1:$I$89,3,0)*0.475*44/12</f>
        <v>4.1367411481597902E-3</v>
      </c>
      <c r="HJ48" s="22">
        <f t="shared" si="30"/>
        <v>66.181999874003594</v>
      </c>
    </row>
    <row r="49" spans="1:218" x14ac:dyDescent="0.3">
      <c r="A49" s="10">
        <f t="shared" si="31"/>
        <v>46</v>
      </c>
      <c r="B49" s="71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5">
        <f t="shared" si="1"/>
        <v>344.25380277106626</v>
      </c>
      <c r="I49" s="6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7.2</v>
      </c>
      <c r="N49" s="13">
        <f>IF('Données projet'!$A$36&gt;35,N48+M49-V48,IF(A49&lt;'Données projet'!$A$36,$K$205^A49,IF(A49='Données projet'!$A$36,'Données projet'!$B$36,N48+M49-V48)))</f>
        <v>190.19999999999993</v>
      </c>
      <c r="O49" s="13">
        <f>N49*VLOOKUP('Données projet'!$B$9,Paramètres!$A$1:$I$89,3,0)*VLOOKUP('Données projet'!$B$9,Paramètres!$A$1:$I$89,5,0)</f>
        <v>151.32311999999996</v>
      </c>
      <c r="P49" s="13">
        <f t="shared" si="33"/>
        <v>38.879115530839606</v>
      </c>
      <c r="Q49" s="20">
        <f t="shared" si="53"/>
        <v>331.26889354954557</v>
      </c>
      <c r="R49" s="59">
        <f t="shared" si="0"/>
        <v>624.60222688287888</v>
      </c>
      <c r="S49" s="59">
        <f ca="1">AVERAGE(OFFSET($R$3,0,0,'Données projet'!$E$9+1,1))-AVERAGE(OFFSET($H$3,0,0,'Données projet'!$E$9+1,1))</f>
        <v>225.2323446080772</v>
      </c>
      <c r="T49" s="59">
        <f t="shared" si="34"/>
        <v>222.29030402759292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32.140702832274975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32.140702832274975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22.8</v>
      </c>
      <c r="AI49" s="13">
        <f>IF('Données projet'!$A$62&gt;35,AI48+AH49-AQ48,IF(A49&lt;'Données projet'!$A$62,$AF$205^A49,IF(A49='Données projet'!$A$62,'Données projet'!$B$62,AI48+AH49-AQ48)))</f>
        <v>453.79999999999995</v>
      </c>
      <c r="AJ49" s="13">
        <f>AI49*VLOOKUP('Données projet'!$B$10,Paramètres!$A$1:$I$89,3,0)*VLOOKUP('Données projet'!$B$10,Paramètres!$A$1:$I$89,5,0)</f>
        <v>224.1772</v>
      </c>
      <c r="AK49" s="13">
        <f t="shared" si="35"/>
        <v>55.021783243983286</v>
      </c>
      <c r="AL49" s="20">
        <f t="shared" si="4"/>
        <v>486.27156248327083</v>
      </c>
      <c r="AM49" s="59">
        <f t="shared" si="5"/>
        <v>779.60489581660408</v>
      </c>
      <c r="AN49" s="59">
        <f ca="1">AVERAGE(OFFSET($AM$3,0,0,'Données projet'!$E$10+1,1))-AVERAGE(OFFSET($H$3,0,0,'Données projet'!$E$10+1,1))</f>
        <v>360.05819346986135</v>
      </c>
      <c r="AO49" s="59">
        <f t="shared" si="36"/>
        <v>300.47468388351081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60.686618858059099</v>
      </c>
      <c r="AV49" s="21">
        <f>EXP(-LN(2)/25)*AV48+(1-EXP(-LN(2)/25))/(LN(2)/25)*Calculateur!AQ49*Calculateur!AS49*VLOOKUP('Données projet'!$B$10,Paramètres!$A$1:$I$89,3,0)*0.475*44/12</f>
        <v>27.1491002479424</v>
      </c>
      <c r="AW49" s="21">
        <f>EXP(-LN(2)/2)*AW48+(1-EXP(-LN(2)/2))/(LN(2)/2)*AQ49*AT49*VLOOKUP('Données projet'!$B$10,Paramètres!$A$1:$I$89,3,0)*0.475*44/12</f>
        <v>2.0483011046560333E-4</v>
      </c>
      <c r="AX49" s="21">
        <f t="shared" si="6"/>
        <v>87.835923936111968</v>
      </c>
      <c r="AY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14.2</v>
      </c>
      <c r="BD49" s="12">
        <f>IF('Données projet'!$A$88&gt;35,BD48+BC49-BL48,IF(A49&lt;'Données projet'!$A$88,$BA$205^A49,IF(A49='Données projet'!$A$88,'Données projet'!$B$88,BD48+BC49-BL48)))</f>
        <v>220.1999999999999</v>
      </c>
      <c r="BE49" s="13">
        <f>BD49*VLOOKUP('Données projet'!$B$11,Paramètres!$A$1:$I$89,3,0)*VLOOKUP('Données projet'!$B$11,Paramètres!$A$1:$I$89,5,0)</f>
        <v>125.95439999999995</v>
      </c>
      <c r="BF49" s="13">
        <f t="shared" si="37"/>
        <v>33.059826887154777</v>
      </c>
      <c r="BG49" s="20">
        <f t="shared" si="7"/>
        <v>276.94977849512776</v>
      </c>
      <c r="BH49" s="59">
        <f t="shared" si="8"/>
        <v>570.28311182846107</v>
      </c>
      <c r="BI49" s="59">
        <f ca="1">AVERAGE(OFFSET($BH$3,0,0,'Données projet'!$E$11+1,1))-AVERAGE(OFFSET($H$3,0,0,'Données projet'!$E$11+1,1))</f>
        <v>250.90038883668348</v>
      </c>
      <c r="BJ49" s="59">
        <f t="shared" si="38"/>
        <v>141.96132114475608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31.940325714767937</v>
      </c>
      <c r="BQ49" s="21">
        <f>EXP(-LN(2)/25)*BQ48+(1-EXP(-LN(2)/25))/(LN(2)/25)*Calculateur!BL49*Calculateur!BN49*VLOOKUP('Données projet'!$B$11,Paramètres!$A$1:$I$89,3,0)*0.475*44/12</f>
        <v>7.6389274959331495</v>
      </c>
      <c r="BR49" s="21">
        <f>EXP(-LN(2)/2)*BR48+(1-EXP(-LN(2)/2))/(LN(2)/2)*BL49*BO49*VLOOKUP('Données projet'!$B$11,Paramètres!$A$1:$I$89,3,0)*0.475*44/12</f>
        <v>1.4758103555597113E-2</v>
      </c>
      <c r="BS49" s="22">
        <f t="shared" si="9"/>
        <v>39.594011314256683</v>
      </c>
      <c r="BT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8.6</v>
      </c>
      <c r="BY49" s="12">
        <f>IF('Données projet'!$A$114&gt;35,BY48+BX49-CG48,IF(A49&lt;'Données projet'!$A$114,$BV$205^A49,IF(A49='Données projet'!$A$114,'Données projet'!$B$114,BY48+BX49-CG48)))</f>
        <v>226.60000000000005</v>
      </c>
      <c r="BZ49" s="13">
        <f>BY49*VLOOKUP('Données projet'!$B$12,Paramètres!$A$1:$I$89,3,0)*VLOOKUP('Données projet'!$B$12,Paramètres!$A$1:$I$89,5,0)</f>
        <v>180.28296000000006</v>
      </c>
      <c r="CA49" s="13">
        <f t="shared" si="39"/>
        <v>45.385133797071397</v>
      </c>
      <c r="CB49" s="20">
        <f t="shared" si="10"/>
        <v>393.03859669656612</v>
      </c>
      <c r="CC49" s="59">
        <f t="shared" si="11"/>
        <v>686.37193002989943</v>
      </c>
      <c r="CD49" s="59">
        <f ca="1">AVERAGE(OFFSET($CC$3,0,0,'Données projet'!$E$12+1,1))-AVERAGE(OFFSET($H$3,0,0,'Données projet'!$E$12+1,1))</f>
        <v>279.49721661620544</v>
      </c>
      <c r="CE49" s="59">
        <f t="shared" si="40"/>
        <v>275.18739333988754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38.576375971994885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38.576375971994885</v>
      </c>
      <c r="CO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24.6</v>
      </c>
      <c r="CT49" s="12">
        <f>IF('Données projet'!$A$140&gt;35,CT48+CS49-DB48,IF(A49&lt;'Données projet'!$A$140,$CQ$205^A49,IF(A49='Données projet'!$A$140,'Données projet'!$B$140,CT48+CS49-DB48)))</f>
        <v>494.6</v>
      </c>
      <c r="CU49" s="17">
        <f>CT49*VLOOKUP('Données projet'!$B$13,Paramètres!$A$1:$I$89,3,0)*VLOOKUP('Données projet'!$B$13,Paramètres!$A$1:$I$89,5,0)</f>
        <v>244.33240000000001</v>
      </c>
      <c r="CV49" s="13">
        <f t="shared" si="41"/>
        <v>59.370694653914605</v>
      </c>
      <c r="CW49" s="20">
        <f t="shared" si="13"/>
        <v>528.9495565222345</v>
      </c>
      <c r="CX49" s="59">
        <f t="shared" si="14"/>
        <v>822.28288985556787</v>
      </c>
      <c r="CY49" s="59">
        <f ca="1">AVERAGE(OFFSET($CX$3,0,0,'Données projet'!$E$13+1,1))-AVERAGE(OFFSET($H$3,0,0,'Données projet'!$E$13+1,1))</f>
        <v>396.27049617044378</v>
      </c>
      <c r="CZ49" s="59">
        <f t="shared" si="42"/>
        <v>335.2680289568774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67.429576508954526</v>
      </c>
      <c r="DG49" s="21">
        <f>EXP(-LN(2)/25)*DG48+(1-EXP(-LN(2)/25))/(LN(2)/25)*Calculateur!DB49*Calculateur!DD49*VLOOKUP('Données projet'!$B$13,Paramètres!$A$1:$I$89,3,0)*0.475*44/12</f>
        <v>30.165666942158222</v>
      </c>
      <c r="DH49" s="21">
        <f>EXP(-LN(2)/2)*DH48+(1-EXP(-LN(2)/2))/(LN(2)/2)*DB49*DE49*VLOOKUP('Données projet'!$B$13,Paramètres!$A$1:$I$89,3,0)*0.475*44/12</f>
        <v>1.5020874767477587E-3</v>
      </c>
      <c r="DI49" s="22">
        <f t="shared" si="15"/>
        <v>97.596745538589502</v>
      </c>
      <c r="DJ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16.2</v>
      </c>
      <c r="DO49" s="12">
        <f>IF('Données projet'!$A$166&gt;35,DO48+DN49-DW48,IF(A49&lt;'Données projet'!$A$166,$DL$205^A49,IF(A49='Données projet'!$A$166,'Données projet'!$B$166,DO48+DN49-DW48)))</f>
        <v>269.19999999999993</v>
      </c>
      <c r="DP49" s="17">
        <f>DO49*VLOOKUP('Données projet'!$B$14,Paramètres!$A$1:$I$89,3,0)*VLOOKUP('Données projet'!$B$14,Paramètres!$A$1:$I$89,5,0)</f>
        <v>153.98239999999996</v>
      </c>
      <c r="DQ49" s="13">
        <f t="shared" si="43"/>
        <v>39.482215533662355</v>
      </c>
      <c r="DR49" s="20">
        <f t="shared" si="16"/>
        <v>336.95087205446185</v>
      </c>
      <c r="DS49" s="59">
        <f t="shared" si="17"/>
        <v>630.28420538779517</v>
      </c>
      <c r="DT49" s="59">
        <f ca="1">AVERAGE(OFFSET($DS$3,0,0,'Données projet'!$E$14+1,1))-AVERAGE(OFFSET($H$3,0,0,'Données projet'!$E$14+1,1))</f>
        <v>307.43900954374504</v>
      </c>
      <c r="DU49" s="59">
        <f t="shared" si="44"/>
        <v>185.25270859048999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38.328390857721509</v>
      </c>
      <c r="EB49" s="21">
        <f>EXP(-LN(2)/25)*EB48+(1-EXP(-LN(2)/25))/(LN(2)/25)*Calculateur!DW49*Calculateur!DY49*VLOOKUP('Données projet'!$B$14,Paramètres!$A$1:$I$89,3,0)*0.475*44/12</f>
        <v>17.146800156595198</v>
      </c>
      <c r="EC49" s="21">
        <f>EXP(-LN(2)/2)*EC48+(1-EXP(-LN(2)/2))/(LN(2)/2)*DW49*DZ49*VLOOKUP('Données projet'!$B$14,Paramètres!$A$1:$I$89,3,0)*0.475*44/12</f>
        <v>1.423030241129455E-3</v>
      </c>
      <c r="ED49" s="22">
        <f t="shared" si="18"/>
        <v>55.476614044557834</v>
      </c>
      <c r="EE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12.933333333333337</v>
      </c>
      <c r="EJ49" s="12">
        <f>IF('Données projet'!$A$192&gt;35,EJ48+EI49-ER48,IF(A49&lt;'Données projet'!$A$192,$EG$205^A49,IF(A49='Données projet'!$A$192,'Données projet'!$B$192,EJ48+EI49-ER48)))</f>
        <v>327.13333333333338</v>
      </c>
      <c r="EK49" s="17">
        <f>EJ49*VLOOKUP('Données projet'!$B$15,Paramètres!$A$1:$I$89,3,0)*VLOOKUP('Données projet'!$B$15,Paramètres!$A$1:$I$89,5,0)</f>
        <v>204.13120000000004</v>
      </c>
      <c r="EL49" s="13">
        <f t="shared" si="45"/>
        <v>50.650997272003906</v>
      </c>
      <c r="EM49" s="20">
        <f t="shared" si="19"/>
        <v>443.74566024874019</v>
      </c>
      <c r="EN49" s="59">
        <f t="shared" si="20"/>
        <v>737.07899358207351</v>
      </c>
      <c r="EO49" s="59">
        <f ca="1">AVERAGE(OFFSET($EN$3,0,0,'Données projet'!$E$15+1,1))-AVERAGE(OFFSET($H$3,0,0,'Données projet'!$E$15+1,1))</f>
        <v>269.77739619445515</v>
      </c>
      <c r="EP49" s="59">
        <f t="shared" si="46"/>
        <v>347.56964743629885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48.84669067755997</v>
      </c>
      <c r="EW49" s="21">
        <f>EXP(-LN(2)/25)*EW48+(1-EXP(-LN(2)/25))/(LN(2)/25)*Calculateur!ER49*Calculateur!ET49*VLOOKUP('Données projet'!$B$15,Paramètres!$A$1:$I$89,3,0)*0.475*44/12</f>
        <v>58.872152531183211</v>
      </c>
      <c r="EX49" s="21">
        <f>EXP(-LN(2)/2)*EX48+(1-EXP(-LN(2)/2))/(LN(2)/2)*ER49*EU49*VLOOKUP('Données projet'!$B$15,Paramètres!$A$1:$I$89,3,0)*0.475*44/12</f>
        <v>9.70247891679174E-5</v>
      </c>
      <c r="EY49" s="22">
        <f t="shared" si="21"/>
        <v>107.71894023353235</v>
      </c>
      <c r="EZ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9.8000000000000007</v>
      </c>
      <c r="FE49" s="12">
        <f>IF('Données projet'!$A$218&gt;35,FE48+FD49-FM48,IF(A49&lt;'Données projet'!$A$218,$FB$205^A49,IF(A49='Données projet'!$A$218,'Données projet'!$B$218,FE48+FD49-FM48)))</f>
        <v>263.7999999999999</v>
      </c>
      <c r="FF49" s="17">
        <f>FE49*VLOOKUP('Données projet'!$B$16,Paramètres!$A$1:$I$89,3,0)*VLOOKUP('Données projet'!$B$16,Paramètres!$A$1:$I$89,5,0)</f>
        <v>209.87927999999994</v>
      </c>
      <c r="FG49" s="13">
        <f t="shared" si="47"/>
        <v>51.909204458241767</v>
      </c>
      <c r="FH49" s="20">
        <f t="shared" si="22"/>
        <v>455.94827709810426</v>
      </c>
      <c r="FI49" s="59">
        <f t="shared" si="23"/>
        <v>749.28161043143757</v>
      </c>
      <c r="FJ49" s="59">
        <f ca="1">AVERAGE(OFFSET($FI$3,0,0,'Données projet'!$E$16+1,1))-AVERAGE(OFFSET($H$3,0,0,'Données projet'!$E$16+1,1))</f>
        <v>331.52724290297675</v>
      </c>
      <c r="FK49" s="59">
        <f t="shared" si="48"/>
        <v>322.79102610158054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44.184216353312266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44.184216353312266</v>
      </c>
      <c r="FU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26.6</v>
      </c>
      <c r="FZ49" s="12">
        <f>IF('Données projet'!$A$244&gt;35,FZ48+FY49-GH48,IF(A49&lt;'Données projet'!$A$244,$FW$205^A49,IF(A49='Données projet'!$A$244,'Données projet'!$B$244,FZ48+FY49-GH48)))</f>
        <v>537.60000000000036</v>
      </c>
      <c r="GA49" s="17">
        <f>FZ49*VLOOKUP('Données projet'!$B$17,Paramètres!$A$1:$I$89,3,0)*VLOOKUP('Données projet'!$B$17,Paramètres!$A$1:$I$89,5,0)</f>
        <v>265.5744000000002</v>
      </c>
      <c r="GB49" s="13">
        <f t="shared" si="49"/>
        <v>63.909143775438601</v>
      </c>
      <c r="GC49" s="20">
        <f t="shared" si="25"/>
        <v>573.85050540888926</v>
      </c>
      <c r="GD49" s="59">
        <f t="shared" si="26"/>
        <v>867.18383874222263</v>
      </c>
      <c r="GE49" s="59">
        <f ca="1">AVERAGE(OFFSET($GD$3,0,0,'Données projet'!$E$17+1,1))-AVERAGE(OFFSET($H$3,0,0,'Données projet'!$E$17+1,1))</f>
        <v>434.08297999735811</v>
      </c>
      <c r="GF49" s="59">
        <f t="shared" si="50"/>
        <v>371.04090283546122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74.172534159850002</v>
      </c>
      <c r="GM49" s="21">
        <f>EXP(-LN(2)/25)*GM48+(1-EXP(-LN(2)/25))/(LN(2)/25)*Calculateur!GH49*Calculateur!GJ49*VLOOKUP('Données projet'!$B$17,Paramètres!$A$1:$I$89,3,0)*0.475*44/12</f>
        <v>33.182233636374058</v>
      </c>
      <c r="GN49" s="21">
        <f>EXP(-LN(2)/2)*GN48+(1-EXP(-LN(2)/2))/(LN(2)/2)*GH49*GK49*VLOOKUP('Données projet'!$B$17,Paramètres!$A$1:$I$89,3,0)*0.475*44/12</f>
        <v>2.9358982500069814E-3</v>
      </c>
      <c r="GO49" s="21">
        <f t="shared" si="27"/>
        <v>107.35770369447405</v>
      </c>
      <c r="GP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18</v>
      </c>
      <c r="GU49" s="12">
        <f>IF('Données projet'!$A$270&gt;35,GU48+GT49-HC48,IF(A49&lt;'Données projet'!$A$270,$GR$205^A49,IF(A49='Données projet'!$A$270,'Données projet'!$B$270,GU48+GT49-HC48)))</f>
        <v>314.00000000000006</v>
      </c>
      <c r="GV49" s="17">
        <f>GU49*VLOOKUP('Données projet'!$B$18,Paramètres!$A$1:$I$89,3,0)*VLOOKUP('Données projet'!$B$18,Paramètres!$A$1:$I$89,5,0)</f>
        <v>179.60800000000003</v>
      </c>
      <c r="GW49" s="13">
        <f t="shared" si="51"/>
        <v>45.234962325837898</v>
      </c>
      <c r="GX49" s="20">
        <f t="shared" si="28"/>
        <v>391.60149271750106</v>
      </c>
      <c r="GY49" s="59">
        <f t="shared" si="29"/>
        <v>684.93482605083432</v>
      </c>
      <c r="GZ49" s="59">
        <f ca="1">AVERAGE(OFFSET($GY$3,0,0,'Données projet'!$E$18+1,1))-AVERAGE(OFFSET($H$3,0,0,'Données projet'!$E$18+1,1))</f>
        <v>362.57172983134313</v>
      </c>
      <c r="HA49" s="59">
        <f t="shared" si="52"/>
        <v>232.03250917542471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44.716456000675109</v>
      </c>
      <c r="HH49" s="21">
        <f>EXP(-LN(2)/25)*HH48+(1-EXP(-LN(2)/25))/(LN(2)/25)*Calculateur!HC49*Calculateur!HE49*VLOOKUP('Données projet'!$B$18,Paramètres!$A$1:$I$89,3,0)*0.475*44/12</f>
        <v>20.004600182694407</v>
      </c>
      <c r="HI49" s="21">
        <f>EXP(-LN(2)/2)*HI48+(1-EXP(-LN(2)/2))/(LN(2)/2)*HC49*HF49*VLOOKUP('Données projet'!$B$18,Paramètres!$A$1:$I$89,3,0)*0.475*44/12</f>
        <v>2.9251177178772122E-3</v>
      </c>
      <c r="HJ49" s="22">
        <f t="shared" si="30"/>
        <v>64.723981301087392</v>
      </c>
    </row>
    <row r="50" spans="1:218" x14ac:dyDescent="0.3">
      <c r="A50" s="10">
        <f t="shared" si="31"/>
        <v>47</v>
      </c>
      <c r="B50" s="71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5">
        <f t="shared" si="1"/>
        <v>345.32913312910375</v>
      </c>
      <c r="I50" s="6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</v>
      </c>
      <c r="N50" s="13">
        <f>IF('Données projet'!$A$36&gt;35,N49+M50-V49,IF(A50&lt;'Données projet'!$A$36,$K$205^A50,IF(A50='Données projet'!$A$36,'Données projet'!$B$36,N49+M50-V49)))</f>
        <v>197.39999999999992</v>
      </c>
      <c r="O50" s="13">
        <f>N50*VLOOKUP('Données projet'!$B$9,Paramètres!$A$1:$I$89,3,0)*VLOOKUP('Données projet'!$B$9,Paramètres!$A$1:$I$89,5,0)</f>
        <v>157.05143999999996</v>
      </c>
      <c r="P50" s="13">
        <f t="shared" si="33"/>
        <v>40.176741230099708</v>
      </c>
      <c r="Q50" s="20">
        <f t="shared" si="53"/>
        <v>343.50574897575689</v>
      </c>
      <c r="R50" s="59">
        <f t="shared" si="0"/>
        <v>636.83908230909014</v>
      </c>
      <c r="S50" s="59">
        <f ca="1">AVERAGE(OFFSET($R$3,0,0,'Données projet'!$E$9+1,1))-AVERAGE(OFFSET($H$3,0,0,'Données projet'!$E$9+1,1))</f>
        <v>225.2323446080772</v>
      </c>
      <c r="T50" s="59">
        <f t="shared" si="34"/>
        <v>222.29030402759292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31.510443253627066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31.510443253627066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22.8</v>
      </c>
      <c r="AI50" s="13">
        <f>IF('Données projet'!$A$62&gt;35,AI49+AH50-AQ49,IF(A50&lt;'Données projet'!$A$62,$AF$205^A50,IF(A50='Données projet'!$A$62,'Données projet'!$B$62,AI49+AH50-AQ49)))</f>
        <v>476.59999999999997</v>
      </c>
      <c r="AJ50" s="13">
        <f>AI50*VLOOKUP('Données projet'!$B$10,Paramètres!$A$1:$I$89,3,0)*VLOOKUP('Données projet'!$B$10,Paramètres!$A$1:$I$89,5,0)</f>
        <v>235.44039999999998</v>
      </c>
      <c r="AK50" s="13">
        <f t="shared" si="35"/>
        <v>57.457417866824024</v>
      </c>
      <c r="AL50" s="20">
        <f t="shared" si="4"/>
        <v>510.13036611805182</v>
      </c>
      <c r="AM50" s="59">
        <f t="shared" si="5"/>
        <v>803.46369945138508</v>
      </c>
      <c r="AN50" s="59">
        <f ca="1">AVERAGE(OFFSET($AM$3,0,0,'Données projet'!$E$10+1,1))-AVERAGE(OFFSET($H$3,0,0,'Données projet'!$E$10+1,1))</f>
        <v>360.05819346986135</v>
      </c>
      <c r="AO50" s="59">
        <f t="shared" si="36"/>
        <v>300.47468388351081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59.496591277435115</v>
      </c>
      <c r="AV50" s="21">
        <f>EXP(-LN(2)/25)*AV49+(1-EXP(-LN(2)/25))/(LN(2)/25)*Calculateur!AQ50*Calculateur!AS50*VLOOKUP('Données projet'!$B$10,Paramètres!$A$1:$I$89,3,0)*0.475*44/12</f>
        <v>26.406706673953284</v>
      </c>
      <c r="AW50" s="21">
        <f>EXP(-LN(2)/2)*AW49+(1-EXP(-LN(2)/2))/(LN(2)/2)*AQ50*AT50*VLOOKUP('Données projet'!$B$10,Paramètres!$A$1:$I$89,3,0)*0.475*44/12</f>
        <v>1.4483676010141773E-4</v>
      </c>
      <c r="AX50" s="21">
        <f t="shared" si="6"/>
        <v>85.903442788148496</v>
      </c>
      <c r="AY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14.2</v>
      </c>
      <c r="BD50" s="12">
        <f>IF('Données projet'!$A$88&gt;35,BD49+BC50-BL49,IF(A50&lt;'Données projet'!$A$88,$BA$205^A50,IF(A50='Données projet'!$A$88,'Données projet'!$B$88,BD49+BC50-BL49)))</f>
        <v>234.39999999999989</v>
      </c>
      <c r="BE50" s="13">
        <f>BD50*VLOOKUP('Données projet'!$B$11,Paramètres!$A$1:$I$89,3,0)*VLOOKUP('Données projet'!$B$11,Paramètres!$A$1:$I$89,5,0)</f>
        <v>134.07679999999993</v>
      </c>
      <c r="BF50" s="13">
        <f t="shared" si="37"/>
        <v>34.936688507220325</v>
      </c>
      <c r="BG50" s="20">
        <f t="shared" si="7"/>
        <v>294.36515915007521</v>
      </c>
      <c r="BH50" s="59">
        <f t="shared" si="8"/>
        <v>587.69849248340847</v>
      </c>
      <c r="BI50" s="59">
        <f ca="1">AVERAGE(OFFSET($BH$3,0,0,'Données projet'!$E$11+1,1))-AVERAGE(OFFSET($H$3,0,0,'Données projet'!$E$11+1,1))</f>
        <v>250.90038883668348</v>
      </c>
      <c r="BJ50" s="59">
        <f t="shared" si="38"/>
        <v>141.96132114475608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31.313995409176368</v>
      </c>
      <c r="BQ50" s="21">
        <f>EXP(-LN(2)/25)*BQ49+(1-EXP(-LN(2)/25))/(LN(2)/25)*Calculateur!BL50*Calculateur!BN50*VLOOKUP('Données projet'!$B$11,Paramètres!$A$1:$I$89,3,0)*0.475*44/12</f>
        <v>7.4300406218431192</v>
      </c>
      <c r="BR50" s="21">
        <f>EXP(-LN(2)/2)*BR49+(1-EXP(-LN(2)/2))/(LN(2)/2)*BL50*BO50*VLOOKUP('Données projet'!$B$11,Paramètres!$A$1:$I$89,3,0)*0.475*44/12</f>
        <v>1.0435555101616019E-2</v>
      </c>
      <c r="BS50" s="22">
        <f t="shared" si="9"/>
        <v>38.754471586121106</v>
      </c>
      <c r="BT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8.6</v>
      </c>
      <c r="BY50" s="12">
        <f>IF('Données projet'!$A$114&gt;35,BY49+BX50-CG49,IF(A50&lt;'Données projet'!$A$114,$BV$205^A50,IF(A50='Données projet'!$A$114,'Données projet'!$B$114,BY49+BX50-CG49)))</f>
        <v>235.20000000000005</v>
      </c>
      <c r="BZ50" s="13">
        <f>BY50*VLOOKUP('Données projet'!$B$12,Paramètres!$A$1:$I$89,3,0)*VLOOKUP('Données projet'!$B$12,Paramètres!$A$1:$I$89,5,0)</f>
        <v>187.12512000000004</v>
      </c>
      <c r="CA50" s="13">
        <f t="shared" si="39"/>
        <v>46.903794805770545</v>
      </c>
      <c r="CB50" s="20">
        <f t="shared" si="10"/>
        <v>407.60035995338376</v>
      </c>
      <c r="CC50" s="59">
        <f t="shared" si="11"/>
        <v>700.93369328671702</v>
      </c>
      <c r="CD50" s="59">
        <f ca="1">AVERAGE(OFFSET($CC$3,0,0,'Données projet'!$E$12+1,1))-AVERAGE(OFFSET($H$3,0,0,'Données projet'!$E$12+1,1))</f>
        <v>279.49721661620544</v>
      </c>
      <c r="CE50" s="59">
        <f t="shared" si="40"/>
        <v>275.18739333988754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37.819916768450085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37.819916768450085</v>
      </c>
      <c r="CO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24.6</v>
      </c>
      <c r="CT50" s="12">
        <f>IF('Données projet'!$A$140&gt;35,CT49+CS50-DB49,IF(A50&lt;'Données projet'!$A$140,$CQ$205^A50,IF(A50='Données projet'!$A$140,'Données projet'!$B$140,CT49+CS50-DB49)))</f>
        <v>519.20000000000005</v>
      </c>
      <c r="CU50" s="17">
        <f>CT50*VLOOKUP('Données projet'!$B$13,Paramètres!$A$1:$I$89,3,0)*VLOOKUP('Données projet'!$B$13,Paramètres!$A$1:$I$89,5,0)</f>
        <v>256.48480000000006</v>
      </c>
      <c r="CV50" s="13">
        <f t="shared" si="41"/>
        <v>61.97248678472635</v>
      </c>
      <c r="CW50" s="20">
        <f t="shared" si="13"/>
        <v>554.64644115006513</v>
      </c>
      <c r="CX50" s="59">
        <f t="shared" si="14"/>
        <v>847.97977448339839</v>
      </c>
      <c r="CY50" s="59">
        <f ca="1">AVERAGE(OFFSET($CX$3,0,0,'Données projet'!$E$13+1,1))-AVERAGE(OFFSET($H$3,0,0,'Données projet'!$E$13+1,1))</f>
        <v>396.27049617044378</v>
      </c>
      <c r="CZ50" s="59">
        <f t="shared" si="42"/>
        <v>335.2680289568774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66.107323641594547</v>
      </c>
      <c r="DG50" s="21">
        <f>EXP(-LN(2)/25)*DG49+(1-EXP(-LN(2)/25))/(LN(2)/25)*Calculateur!DB50*Calculateur!DD50*VLOOKUP('Données projet'!$B$13,Paramètres!$A$1:$I$89,3,0)*0.475*44/12</f>
        <v>29.340785193281427</v>
      </c>
      <c r="DH50" s="21">
        <f>EXP(-LN(2)/2)*DH49+(1-EXP(-LN(2)/2))/(LN(2)/2)*DB50*DE50*VLOOKUP('Données projet'!$B$13,Paramètres!$A$1:$I$89,3,0)*0.475*44/12</f>
        <v>1.0621362407437307E-3</v>
      </c>
      <c r="DI50" s="22">
        <f t="shared" si="15"/>
        <v>95.449170971116715</v>
      </c>
      <c r="DJ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16.2</v>
      </c>
      <c r="DO50" s="12">
        <f>IF('Données projet'!$A$166&gt;35,DO49+DN50-DW49,IF(A50&lt;'Données projet'!$A$166,$DL$205^A50,IF(A50='Données projet'!$A$166,'Données projet'!$B$166,DO49+DN50-DW49)))</f>
        <v>285.39999999999992</v>
      </c>
      <c r="DP50" s="17">
        <f>DO50*VLOOKUP('Données projet'!$B$14,Paramètres!$A$1:$I$89,3,0)*VLOOKUP('Données projet'!$B$14,Paramètres!$A$1:$I$89,5,0)</f>
        <v>163.24879999999996</v>
      </c>
      <c r="DQ50" s="13">
        <f t="shared" si="43"/>
        <v>41.574431830425986</v>
      </c>
      <c r="DR50" s="20">
        <f t="shared" si="16"/>
        <v>356.73379543799183</v>
      </c>
      <c r="DS50" s="59">
        <f t="shared" si="17"/>
        <v>650.06712877132509</v>
      </c>
      <c r="DT50" s="59">
        <f ca="1">AVERAGE(OFFSET($DS$3,0,0,'Données projet'!$E$14+1,1))-AVERAGE(OFFSET($H$3,0,0,'Données projet'!$E$14+1,1))</f>
        <v>307.43900954374504</v>
      </c>
      <c r="DU50" s="59">
        <f t="shared" si="44"/>
        <v>185.25270859048999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37.576794491011626</v>
      </c>
      <c r="EB50" s="21">
        <f>EXP(-LN(2)/25)*EB49+(1-EXP(-LN(2)/25))/(LN(2)/25)*Calculateur!DW50*Calculateur!DY50*VLOOKUP('Données projet'!$B$14,Paramètres!$A$1:$I$89,3,0)*0.475*44/12</f>
        <v>16.677920004602072</v>
      </c>
      <c r="EC50" s="21">
        <f>EXP(-LN(2)/2)*EC49+(1-EXP(-LN(2)/2))/(LN(2)/2)*DW50*DZ50*VLOOKUP('Données projet'!$B$14,Paramètres!$A$1:$I$89,3,0)*0.475*44/12</f>
        <v>1.0062343333361655E-3</v>
      </c>
      <c r="ED50" s="22">
        <f t="shared" si="18"/>
        <v>54.255720729947036</v>
      </c>
      <c r="EE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12.933333333333337</v>
      </c>
      <c r="EJ50" s="12">
        <f>IF('Données projet'!$A$192&gt;35,EJ49+EI50-ER49,IF(A50&lt;'Données projet'!$A$192,$EG$205^A50,IF(A50='Données projet'!$A$192,'Données projet'!$B$192,EJ49+EI50-ER49)))</f>
        <v>340.06666666666672</v>
      </c>
      <c r="EK50" s="17">
        <f>EJ50*VLOOKUP('Données projet'!$B$15,Paramètres!$A$1:$I$89,3,0)*VLOOKUP('Données projet'!$B$15,Paramètres!$A$1:$I$89,5,0)</f>
        <v>212.20160000000004</v>
      </c>
      <c r="EL50" s="13">
        <f t="shared" si="45"/>
        <v>52.416398278764817</v>
      </c>
      <c r="EM50" s="20">
        <f t="shared" si="19"/>
        <v>460.87634700218206</v>
      </c>
      <c r="EN50" s="59">
        <f t="shared" si="20"/>
        <v>754.20968033551537</v>
      </c>
      <c r="EO50" s="59">
        <f ca="1">AVERAGE(OFFSET($EN$3,0,0,'Données projet'!$E$15+1,1))-AVERAGE(OFFSET($H$3,0,0,'Données projet'!$E$15+1,1))</f>
        <v>269.77739619445515</v>
      </c>
      <c r="EP50" s="59">
        <f t="shared" si="46"/>
        <v>347.56964743629885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47.888836866912463</v>
      </c>
      <c r="EW50" s="21">
        <f>EXP(-LN(2)/25)*EW49+(1-EXP(-LN(2)/25))/(LN(2)/25)*Calculateur!ER50*Calculateur!ET50*VLOOKUP('Données projet'!$B$15,Paramètres!$A$1:$I$89,3,0)*0.475*44/12</f>
        <v>57.262290424266055</v>
      </c>
      <c r="EX50" s="21">
        <f>EXP(-LN(2)/2)*EX49+(1-EXP(-LN(2)/2))/(LN(2)/2)*ER50*EU50*VLOOKUP('Données projet'!$B$15,Paramètres!$A$1:$I$89,3,0)*0.475*44/12</f>
        <v>6.8606886363829474E-5</v>
      </c>
      <c r="EY50" s="22">
        <f t="shared" si="21"/>
        <v>105.15119589806487</v>
      </c>
      <c r="EZ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9.8000000000000007</v>
      </c>
      <c r="FE50" s="12">
        <f>IF('Données projet'!$A$218&gt;35,FE49+FD50-FM49,IF(A50&lt;'Données projet'!$A$218,$FB$205^A50,IF(A50='Données projet'!$A$218,'Données projet'!$B$218,FE49+FD50-FM49)))</f>
        <v>273.59999999999991</v>
      </c>
      <c r="FF50" s="17">
        <f>FE50*VLOOKUP('Données projet'!$B$16,Paramètres!$A$1:$I$89,3,0)*VLOOKUP('Données projet'!$B$16,Paramètres!$A$1:$I$89,5,0)</f>
        <v>217.67615999999992</v>
      </c>
      <c r="FG50" s="13">
        <f t="shared" si="47"/>
        <v>53.609498850196708</v>
      </c>
      <c r="FH50" s="20">
        <f t="shared" si="22"/>
        <v>472.48918916409235</v>
      </c>
      <c r="FI50" s="59">
        <f t="shared" si="23"/>
        <v>765.82252249742567</v>
      </c>
      <c r="FJ50" s="59">
        <f ca="1">AVERAGE(OFFSET($FI$3,0,0,'Données projet'!$E$16+1,1))-AVERAGE(OFFSET($H$3,0,0,'Données projet'!$E$16+1,1))</f>
        <v>331.52724290297675</v>
      </c>
      <c r="FK50" s="59">
        <f t="shared" si="48"/>
        <v>322.79102610158054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43.317790820334722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43.317790820334722</v>
      </c>
      <c r="FU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26.6</v>
      </c>
      <c r="FZ50" s="12">
        <f>IF('Données projet'!$A$244&gt;35,FZ49+FY50-GH49,IF(A50&lt;'Données projet'!$A$244,$FW$205^A50,IF(A50='Données projet'!$A$244,'Données projet'!$B$244,FZ49+FY50-GH49)))</f>
        <v>564.20000000000039</v>
      </c>
      <c r="GA50" s="17">
        <f>FZ50*VLOOKUP('Données projet'!$B$17,Paramètres!$A$1:$I$89,3,0)*VLOOKUP('Données projet'!$B$17,Paramètres!$A$1:$I$89,5,0)</f>
        <v>278.7148000000002</v>
      </c>
      <c r="GB50" s="13">
        <f t="shared" si="49"/>
        <v>66.695336497146968</v>
      </c>
      <c r="GC50" s="20">
        <f t="shared" si="25"/>
        <v>601.58932106586462</v>
      </c>
      <c r="GD50" s="59">
        <f t="shared" si="26"/>
        <v>894.92265439919788</v>
      </c>
      <c r="GE50" s="59">
        <f ca="1">AVERAGE(OFFSET($GD$3,0,0,'Données projet'!$E$17+1,1))-AVERAGE(OFFSET($H$3,0,0,'Données projet'!$E$17+1,1))</f>
        <v>434.08297999735811</v>
      </c>
      <c r="GF50" s="59">
        <f t="shared" si="50"/>
        <v>371.04090283546122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72.718056005754022</v>
      </c>
      <c r="GM50" s="21">
        <f>EXP(-LN(2)/25)*GM49+(1-EXP(-LN(2)/25))/(LN(2)/25)*Calculateur!GH50*Calculateur!GJ50*VLOOKUP('Données projet'!$B$17,Paramètres!$A$1:$I$89,3,0)*0.475*44/12</f>
        <v>32.27486371260958</v>
      </c>
      <c r="GN50" s="21">
        <f>EXP(-LN(2)/2)*GN49+(1-EXP(-LN(2)/2))/(LN(2)/2)*GH50*GK50*VLOOKUP('Données projet'!$B$17,Paramètres!$A$1:$I$89,3,0)*0.475*44/12</f>
        <v>2.0759935614536543E-3</v>
      </c>
      <c r="GO50" s="21">
        <f t="shared" si="27"/>
        <v>104.99499571192504</v>
      </c>
      <c r="GP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18</v>
      </c>
      <c r="GU50" s="12">
        <f>IF('Données projet'!$A$270&gt;35,GU49+GT50-HC49,IF(A50&lt;'Données projet'!$A$270,$GR$205^A50,IF(A50='Données projet'!$A$270,'Données projet'!$B$270,GU49+GT50-HC49)))</f>
        <v>332.00000000000006</v>
      </c>
      <c r="GV50" s="17">
        <f>GU50*VLOOKUP('Données projet'!$B$18,Paramètres!$A$1:$I$89,3,0)*VLOOKUP('Données projet'!$B$18,Paramètres!$A$1:$I$89,5,0)</f>
        <v>189.90400000000002</v>
      </c>
      <c r="GW50" s="13">
        <f t="shared" si="51"/>
        <v>47.518727990012579</v>
      </c>
      <c r="GX50" s="20">
        <f t="shared" si="28"/>
        <v>413.51125124927194</v>
      </c>
      <c r="GY50" s="59">
        <f t="shared" si="29"/>
        <v>706.84458458260519</v>
      </c>
      <c r="GZ50" s="59">
        <f ca="1">AVERAGE(OFFSET($GY$3,0,0,'Données projet'!$E$18+1,1))-AVERAGE(OFFSET($H$3,0,0,'Données projet'!$E$18+1,1))</f>
        <v>362.57172983134313</v>
      </c>
      <c r="HA50" s="59">
        <f t="shared" si="52"/>
        <v>232.03250917542471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43.839593572846915</v>
      </c>
      <c r="HH50" s="21">
        <f>EXP(-LN(2)/25)*HH49+(1-EXP(-LN(2)/25))/(LN(2)/25)*Calculateur!HC50*Calculateur!HE50*VLOOKUP('Données projet'!$B$18,Paramètres!$A$1:$I$89,3,0)*0.475*44/12</f>
        <v>19.457573338702424</v>
      </c>
      <c r="HI50" s="21">
        <f>EXP(-LN(2)/2)*HI49+(1-EXP(-LN(2)/2))/(LN(2)/2)*HC50*HF50*VLOOKUP('Données projet'!$B$18,Paramètres!$A$1:$I$89,3,0)*0.475*44/12</f>
        <v>2.0683705740798951E-3</v>
      </c>
      <c r="HJ50" s="22">
        <f t="shared" si="30"/>
        <v>63.299235282123419</v>
      </c>
    </row>
    <row r="51" spans="1:218" x14ac:dyDescent="0.3">
      <c r="A51" s="10">
        <f t="shared" si="31"/>
        <v>48</v>
      </c>
      <c r="B51" s="71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5">
        <f t="shared" si="1"/>
        <v>346.40387575715488</v>
      </c>
      <c r="I51" s="6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</v>
      </c>
      <c r="N51" s="13">
        <f>IF('Données projet'!$A$36&gt;35,N50+M51-V50,IF(A51&lt;'Données projet'!$A$36,$K$205^A51,IF(A51='Données projet'!$A$36,'Données projet'!$B$36,N50+M51-V50)))</f>
        <v>204.59999999999991</v>
      </c>
      <c r="O51" s="13">
        <f>N51*VLOOKUP('Données projet'!$B$9,Paramètres!$A$1:$I$89,3,0)*VLOOKUP('Données projet'!$B$9,Paramètres!$A$1:$I$89,5,0)</f>
        <v>162.77975999999995</v>
      </c>
      <c r="P51" s="13">
        <f t="shared" si="33"/>
        <v>41.468868129640057</v>
      </c>
      <c r="Q51" s="20">
        <f t="shared" si="53"/>
        <v>355.73302732578964</v>
      </c>
      <c r="R51" s="59">
        <f t="shared" si="0"/>
        <v>649.06636065912289</v>
      </c>
      <c r="S51" s="59">
        <f ca="1">AVERAGE(OFFSET($R$3,0,0,'Données projet'!$E$9+1,1))-AVERAGE(OFFSET($H$3,0,0,'Données projet'!$E$9+1,1))</f>
        <v>225.2323446080772</v>
      </c>
      <c r="T51" s="59">
        <f t="shared" si="34"/>
        <v>222.29030402759292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30.89254268089606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30.89254268089606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22.8</v>
      </c>
      <c r="AI51" s="13">
        <f>IF('Données projet'!$A$62&gt;35,AI50+AH51-AQ50,IF(A51&lt;'Données projet'!$A$62,$AF$205^A51,IF(A51='Données projet'!$A$62,'Données projet'!$B$62,AI50+AH51-AQ50)))</f>
        <v>499.4</v>
      </c>
      <c r="AJ51" s="13">
        <f>AI51*VLOOKUP('Données projet'!$B$10,Paramètres!$A$1:$I$89,3,0)*VLOOKUP('Données projet'!$B$10,Paramètres!$A$1:$I$89,5,0)</f>
        <v>246.70359999999999</v>
      </c>
      <c r="AK51" s="13">
        <f t="shared" si="35"/>
        <v>59.879522039247007</v>
      </c>
      <c r="AL51" s="20">
        <f t="shared" si="4"/>
        <v>533.96560421835511</v>
      </c>
      <c r="AM51" s="59">
        <f t="shared" si="5"/>
        <v>827.29893755168837</v>
      </c>
      <c r="AN51" s="59">
        <f ca="1">AVERAGE(OFFSET($AM$3,0,0,'Données projet'!$E$10+1,1))-AVERAGE(OFFSET($H$3,0,0,'Données projet'!$E$10+1,1))</f>
        <v>360.05819346986135</v>
      </c>
      <c r="AO51" s="59">
        <f t="shared" si="36"/>
        <v>300.47468388351081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58.329899411822019</v>
      </c>
      <c r="AV51" s="21">
        <f>EXP(-LN(2)/25)*AV50+(1-EXP(-LN(2)/25))/(LN(2)/25)*Calculateur!AQ51*Calculateur!AS51*VLOOKUP('Données projet'!$B$10,Paramètres!$A$1:$I$89,3,0)*0.475*44/12</f>
        <v>25.684613891285682</v>
      </c>
      <c r="AW51" s="21">
        <f>EXP(-LN(2)/2)*AW50+(1-EXP(-LN(2)/2))/(LN(2)/2)*AQ51*AT51*VLOOKUP('Données projet'!$B$10,Paramètres!$A$1:$I$89,3,0)*0.475*44/12</f>
        <v>1.0241505523280166E-4</v>
      </c>
      <c r="AX51" s="21">
        <f t="shared" si="6"/>
        <v>84.014615718162943</v>
      </c>
      <c r="AY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14.2</v>
      </c>
      <c r="BD51" s="12">
        <f>IF('Données projet'!$A$88&gt;35,BD50+BC51-BL50,IF(A51&lt;'Données projet'!$A$88,$BA$205^A51,IF(A51='Données projet'!$A$88,'Données projet'!$B$88,BD50+BC51-BL50)))</f>
        <v>248.59999999999988</v>
      </c>
      <c r="BE51" s="13">
        <f>BD51*VLOOKUP('Données projet'!$B$11,Paramètres!$A$1:$I$89,3,0)*VLOOKUP('Données projet'!$B$11,Paramètres!$A$1:$I$89,5,0)</f>
        <v>142.19919999999993</v>
      </c>
      <c r="BF51" s="13">
        <f t="shared" si="37"/>
        <v>36.800353404306449</v>
      </c>
      <c r="BG51" s="20">
        <f t="shared" si="7"/>
        <v>311.75755551250023</v>
      </c>
      <c r="BH51" s="59">
        <f t="shared" si="8"/>
        <v>605.09088884583355</v>
      </c>
      <c r="BI51" s="59">
        <f ca="1">AVERAGE(OFFSET($BH$3,0,0,'Données projet'!$E$11+1,1))-AVERAGE(OFFSET($H$3,0,0,'Données projet'!$E$11+1,1))</f>
        <v>250.90038883668348</v>
      </c>
      <c r="BJ51" s="59">
        <f t="shared" si="38"/>
        <v>141.96132114475608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30.699947058853684</v>
      </c>
      <c r="BQ51" s="21">
        <f>EXP(-LN(2)/25)*BQ50+(1-EXP(-LN(2)/25))/(LN(2)/25)*Calculateur!BL51*Calculateur!BN51*VLOOKUP('Données projet'!$B$11,Paramètres!$A$1:$I$89,3,0)*0.475*44/12</f>
        <v>7.2268657703099644</v>
      </c>
      <c r="BR51" s="21">
        <f>EXP(-LN(2)/2)*BR50+(1-EXP(-LN(2)/2))/(LN(2)/2)*BL51*BO51*VLOOKUP('Données projet'!$B$11,Paramètres!$A$1:$I$89,3,0)*0.475*44/12</f>
        <v>7.3790517777985584E-3</v>
      </c>
      <c r="BS51" s="22">
        <f t="shared" si="9"/>
        <v>37.934191880941448</v>
      </c>
      <c r="BT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8.6</v>
      </c>
      <c r="BY51" s="12">
        <f>IF('Données projet'!$A$114&gt;35,BY50+BX51-CG50,IF(A51&lt;'Données projet'!$A$114,$BV$205^A51,IF(A51='Données projet'!$A$114,'Données projet'!$B$114,BY50+BX51-CG50)))</f>
        <v>243.80000000000004</v>
      </c>
      <c r="BZ51" s="13">
        <f>BY51*VLOOKUP('Données projet'!$B$12,Paramètres!$A$1:$I$89,3,0)*VLOOKUP('Données projet'!$B$12,Paramètres!$A$1:$I$89,5,0)</f>
        <v>193.96728000000004</v>
      </c>
      <c r="CA51" s="13">
        <f t="shared" si="39"/>
        <v>48.41600442423902</v>
      </c>
      <c r="CB51" s="20">
        <f t="shared" si="10"/>
        <v>422.15088703888301</v>
      </c>
      <c r="CC51" s="59">
        <f t="shared" si="11"/>
        <v>715.48422037221633</v>
      </c>
      <c r="CD51" s="59">
        <f ca="1">AVERAGE(OFFSET($CC$3,0,0,'Données projet'!$E$12+1,1))-AVERAGE(OFFSET($H$3,0,0,'Données projet'!$E$12+1,1))</f>
        <v>279.49721661620544</v>
      </c>
      <c r="CE51" s="59">
        <f t="shared" si="40"/>
        <v>275.18739333988754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37.078291268492244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37.078291268492244</v>
      </c>
      <c r="CO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24.6</v>
      </c>
      <c r="CT51" s="12">
        <f>IF('Données projet'!$A$140&gt;35,CT50+CS51-DB50,IF(A51&lt;'Données projet'!$A$140,$CQ$205^A51,IF(A51='Données projet'!$A$140,'Données projet'!$B$140,CT50+CS51-DB50)))</f>
        <v>543.80000000000007</v>
      </c>
      <c r="CU51" s="17">
        <f>CT51*VLOOKUP('Données projet'!$B$13,Paramètres!$A$1:$I$89,3,0)*VLOOKUP('Données projet'!$B$13,Paramètres!$A$1:$I$89,5,0)</f>
        <v>268.63720000000006</v>
      </c>
      <c r="CV51" s="13">
        <f t="shared" si="41"/>
        <v>64.559963611890851</v>
      </c>
      <c r="CW51" s="20">
        <f t="shared" si="13"/>
        <v>580.31839329070999</v>
      </c>
      <c r="CX51" s="59">
        <f t="shared" si="14"/>
        <v>873.65172662404325</v>
      </c>
      <c r="CY51" s="59">
        <f ca="1">AVERAGE(OFFSET($CX$3,0,0,'Données projet'!$E$13+1,1))-AVERAGE(OFFSET($H$3,0,0,'Données projet'!$E$13+1,1))</f>
        <v>396.27049617044378</v>
      </c>
      <c r="CZ51" s="59">
        <f t="shared" si="42"/>
        <v>335.2680289568774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64.81099934646889</v>
      </c>
      <c r="DG51" s="21">
        <f>EXP(-LN(2)/25)*DG50+(1-EXP(-LN(2)/25))/(LN(2)/25)*Calculateur!DB51*Calculateur!DD51*VLOOKUP('Données projet'!$B$13,Paramètres!$A$1:$I$89,3,0)*0.475*44/12</f>
        <v>28.538459879206311</v>
      </c>
      <c r="DH51" s="21">
        <f>EXP(-LN(2)/2)*DH50+(1-EXP(-LN(2)/2))/(LN(2)/2)*DB51*DE51*VLOOKUP('Données projet'!$B$13,Paramètres!$A$1:$I$89,3,0)*0.475*44/12</f>
        <v>7.5104373837387936E-4</v>
      </c>
      <c r="DI51" s="22">
        <f t="shared" si="15"/>
        <v>93.35021026941358</v>
      </c>
      <c r="DJ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16.2</v>
      </c>
      <c r="DO51" s="12">
        <f>IF('Données projet'!$A$166&gt;35,DO50+DN51-DW50,IF(A51&lt;'Données projet'!$A$166,$DL$205^A51,IF(A51='Données projet'!$A$166,'Données projet'!$B$166,DO50+DN51-DW50)))</f>
        <v>301.59999999999991</v>
      </c>
      <c r="DP51" s="17">
        <f>DO51*VLOOKUP('Données projet'!$B$14,Paramètres!$A$1:$I$89,3,0)*VLOOKUP('Données projet'!$B$14,Paramètres!$A$1:$I$89,5,0)</f>
        <v>172.51519999999994</v>
      </c>
      <c r="DQ51" s="13">
        <f t="shared" si="43"/>
        <v>43.652862297533602</v>
      </c>
      <c r="DR51" s="20">
        <f t="shared" si="16"/>
        <v>376.49270850153761</v>
      </c>
      <c r="DS51" s="59">
        <f t="shared" si="17"/>
        <v>669.82604183487092</v>
      </c>
      <c r="DT51" s="59">
        <f ca="1">AVERAGE(OFFSET($DS$3,0,0,'Données projet'!$E$14+1,1))-AVERAGE(OFFSET($H$3,0,0,'Données projet'!$E$14+1,1))</f>
        <v>307.43900954374504</v>
      </c>
      <c r="DU51" s="59">
        <f t="shared" si="44"/>
        <v>185.25270859048999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36.839936470624409</v>
      </c>
      <c r="EB51" s="21">
        <f>EXP(-LN(2)/25)*EB50+(1-EXP(-LN(2)/25))/(LN(2)/25)*Calculateur!DW51*Calculateur!DY51*VLOOKUP('Données projet'!$B$14,Paramètres!$A$1:$I$89,3,0)*0.475*44/12</f>
        <v>16.221861405022533</v>
      </c>
      <c r="EC51" s="21">
        <f>EXP(-LN(2)/2)*EC50+(1-EXP(-LN(2)/2))/(LN(2)/2)*DW51*DZ51*VLOOKUP('Données projet'!$B$14,Paramètres!$A$1:$I$89,3,0)*0.475*44/12</f>
        <v>7.1151512056472749E-4</v>
      </c>
      <c r="ED51" s="22">
        <f t="shared" si="18"/>
        <v>53.062509390767509</v>
      </c>
      <c r="EE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>
        <f>VLOOKUP(A51,'Données projet'!$A$191:$I$211,2,0)</f>
        <v>353</v>
      </c>
      <c r="EH51" s="12">
        <f>VLOOKUP(A51,'Données projet'!$A$191:$I$211,9,0)</f>
        <v>12.933333333333337</v>
      </c>
      <c r="EI51" s="12">
        <f t="array" ref="EI51">INDEX(EH:EH,MIN(IF(ISNUMBER(EH51:EH247),ROW(EH51:EH247),"")))</f>
        <v>12.933333333333337</v>
      </c>
      <c r="EJ51" s="12">
        <f>IF('Données projet'!$A$192&gt;35,EJ50+EI51-ER50,IF(A51&lt;'Données projet'!$A$192,$EG$205^A51,IF(A51='Données projet'!$A$192,'Données projet'!$B$192,EJ50+EI51-ER50)))</f>
        <v>353.00000000000006</v>
      </c>
      <c r="EK51" s="17">
        <f>EJ51*VLOOKUP('Données projet'!$B$15,Paramètres!$A$1:$I$89,3,0)*VLOOKUP('Données projet'!$B$15,Paramètres!$A$1:$I$89,5,0)</f>
        <v>220.27200000000005</v>
      </c>
      <c r="EL51" s="13">
        <f t="shared" si="45"/>
        <v>54.173999324746809</v>
      </c>
      <c r="EM51" s="20">
        <f t="shared" si="19"/>
        <v>477.99344882393416</v>
      </c>
      <c r="EN51" s="59">
        <f t="shared" si="20"/>
        <v>771.32678215726742</v>
      </c>
      <c r="EO51" s="59">
        <f ca="1">AVERAGE(OFFSET($EN$3,0,0,'Données projet'!$E$15+1,1))-AVERAGE(OFFSET($H$3,0,0,'Données projet'!$E$15+1,1))</f>
        <v>269.77739619445515</v>
      </c>
      <c r="EP51" s="59">
        <f t="shared" si="46"/>
        <v>347.56964743629885</v>
      </c>
      <c r="EQ51" s="15">
        <f>IF(ISNA(VLOOKUP(A51,'Données projet'!$A$191:$I$211,3,0)),0,VLOOKUP(A51,'Données projet'!$A$191:$I$211,3,0))</f>
        <v>7</v>
      </c>
      <c r="ER51" s="15">
        <f>IF(ISNA(VLOOKUP(A51,'Données projet'!$A$191:$I$211,4,0)),0,VLOOKUP(A51,'Données projet'!$A$191:$I$211,4,0))</f>
        <v>48.2</v>
      </c>
      <c r="ES51" s="16">
        <f>IF(ISNA(VLOOKUP(A51,'Données projet'!$A$191:$I$211,5,0)),0%,VLOOKUP(A51,'Données projet'!$A$191:$I$211,5,0)*VLOOKUP('Données projet'!$B$15,Paramètres!$A$1:$I$89,7,0))</f>
        <v>0.6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70.889054273276997</v>
      </c>
      <c r="EW51" s="21">
        <f>EXP(-LN(2)/25)*EW50+(1-EXP(-LN(2)/25))/(LN(2)/25)*Calculateur!ER51*Calculateur!ET51*VLOOKUP('Données projet'!$B$15,Paramètres!$A$1:$I$89,3,0)*0.475*44/12</f>
        <v>55.696450081321522</v>
      </c>
      <c r="EX51" s="21">
        <f>EXP(-LN(2)/2)*EX50+(1-EXP(-LN(2)/2))/(LN(2)/2)*ER51*EU51*VLOOKUP('Données projet'!$B$15,Paramètres!$A$1:$I$89,3,0)*0.475*44/12</f>
        <v>4.85123945839587E-5</v>
      </c>
      <c r="EY51" s="22">
        <f t="shared" si="21"/>
        <v>126.58555286699311</v>
      </c>
      <c r="EZ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9.8000000000000007</v>
      </c>
      <c r="FE51" s="12">
        <f>IF('Données projet'!$A$218&gt;35,FE50+FD51-FM50,IF(A51&lt;'Données projet'!$A$218,$FB$205^A51,IF(A51='Données projet'!$A$218,'Données projet'!$B$218,FE50+FD51-FM50)))</f>
        <v>283.39999999999992</v>
      </c>
      <c r="FF51" s="17">
        <f>FE51*VLOOKUP('Données projet'!$B$16,Paramètres!$A$1:$I$89,3,0)*VLOOKUP('Données projet'!$B$16,Paramètres!$A$1:$I$89,5,0)</f>
        <v>225.47303999999994</v>
      </c>
      <c r="FG51" s="13">
        <f t="shared" si="47"/>
        <v>55.302717367103824</v>
      </c>
      <c r="FH51" s="20">
        <f t="shared" si="22"/>
        <v>489.0177774143724</v>
      </c>
      <c r="FI51" s="59">
        <f t="shared" si="23"/>
        <v>782.35111074770566</v>
      </c>
      <c r="FJ51" s="59">
        <f ca="1">AVERAGE(OFFSET($FI$3,0,0,'Données projet'!$E$16+1,1))-AVERAGE(OFFSET($H$3,0,0,'Données projet'!$E$16+1,1))</f>
        <v>331.52724290297675</v>
      </c>
      <c r="FK51" s="59">
        <f t="shared" si="48"/>
        <v>322.79102610158054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42.468355363591478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42.468355363591478</v>
      </c>
      <c r="FU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26.6</v>
      </c>
      <c r="FZ51" s="12">
        <f>IF('Données projet'!$A$244&gt;35,FZ50+FY51-GH50,IF(A51&lt;'Données projet'!$A$244,$FW$205^A51,IF(A51='Données projet'!$A$244,'Données projet'!$B$244,FZ50+FY51-GH50)))</f>
        <v>590.80000000000041</v>
      </c>
      <c r="GA51" s="17">
        <f>FZ51*VLOOKUP('Données projet'!$B$17,Paramètres!$A$1:$I$89,3,0)*VLOOKUP('Données projet'!$B$17,Paramètres!$A$1:$I$89,5,0)</f>
        <v>291.8552000000002</v>
      </c>
      <c r="GB51" s="13">
        <f t="shared" si="49"/>
        <v>69.466274947200503</v>
      </c>
      <c r="GC51" s="20">
        <f t="shared" si="25"/>
        <v>629.30156886637451</v>
      </c>
      <c r="GD51" s="59">
        <f t="shared" si="26"/>
        <v>922.63490219970777</v>
      </c>
      <c r="GE51" s="59">
        <f ca="1">AVERAGE(OFFSET($GD$3,0,0,'Données projet'!$E$17+1,1))-AVERAGE(OFFSET($H$3,0,0,'Données projet'!$E$17+1,1))</f>
        <v>434.08297999735811</v>
      </c>
      <c r="GF51" s="59">
        <f t="shared" si="50"/>
        <v>371.04090283546122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71.292099281115796</v>
      </c>
      <c r="GM51" s="21">
        <f>EXP(-LN(2)/25)*GM50+(1-EXP(-LN(2)/25))/(LN(2)/25)*Calculateur!GH51*Calculateur!GJ51*VLOOKUP('Données projet'!$B$17,Paramètres!$A$1:$I$89,3,0)*0.475*44/12</f>
        <v>31.392305867126954</v>
      </c>
      <c r="GN51" s="21">
        <f>EXP(-LN(2)/2)*GN50+(1-EXP(-LN(2)/2))/(LN(2)/2)*GH51*GK51*VLOOKUP('Données projet'!$B$17,Paramètres!$A$1:$I$89,3,0)*0.475*44/12</f>
        <v>1.4679491250034907E-3</v>
      </c>
      <c r="GO51" s="21">
        <f t="shared" si="27"/>
        <v>102.68587309736775</v>
      </c>
      <c r="GP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18</v>
      </c>
      <c r="GU51" s="12">
        <f>IF('Données projet'!$A$270&gt;35,GU50+GT51-HC50,IF(A51&lt;'Données projet'!$A$270,$GR$205^A51,IF(A51='Données projet'!$A$270,'Données projet'!$B$270,GU50+GT51-HC50)))</f>
        <v>350.00000000000006</v>
      </c>
      <c r="GV51" s="17">
        <f>GU51*VLOOKUP('Données projet'!$B$18,Paramètres!$A$1:$I$89,3,0)*VLOOKUP('Données projet'!$B$18,Paramètres!$A$1:$I$89,5,0)</f>
        <v>200.20000000000005</v>
      </c>
      <c r="GW51" s="13">
        <f t="shared" si="51"/>
        <v>49.788119114817121</v>
      </c>
      <c r="GX51" s="20">
        <f t="shared" si="28"/>
        <v>435.39597412497324</v>
      </c>
      <c r="GY51" s="59">
        <f t="shared" si="29"/>
        <v>728.72930745830649</v>
      </c>
      <c r="GZ51" s="59">
        <f ca="1">AVERAGE(OFFSET($GY$3,0,0,'Données projet'!$E$18+1,1))-AVERAGE(OFFSET($H$3,0,0,'Données projet'!$E$18+1,1))</f>
        <v>362.57172983134313</v>
      </c>
      <c r="HA51" s="59">
        <f t="shared" si="52"/>
        <v>232.03250917542471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42.979925882395158</v>
      </c>
      <c r="HH51" s="21">
        <f>EXP(-LN(2)/25)*HH50+(1-EXP(-LN(2)/25))/(LN(2)/25)*Calculateur!HC51*Calculateur!HE51*VLOOKUP('Données projet'!$B$18,Paramètres!$A$1:$I$89,3,0)*0.475*44/12</f>
        <v>18.925504972526294</v>
      </c>
      <c r="HI51" s="21">
        <f>EXP(-LN(2)/2)*HI50+(1-EXP(-LN(2)/2))/(LN(2)/2)*HC51*HF51*VLOOKUP('Données projet'!$B$18,Paramètres!$A$1:$I$89,3,0)*0.475*44/12</f>
        <v>1.4625588589386061E-3</v>
      </c>
      <c r="HJ51" s="22">
        <f t="shared" si="30"/>
        <v>61.906893413780388</v>
      </c>
    </row>
    <row r="52" spans="1:218" x14ac:dyDescent="0.3">
      <c r="A52" s="10">
        <f t="shared" si="31"/>
        <v>49</v>
      </c>
      <c r="B52" s="71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5">
        <f t="shared" si="1"/>
        <v>347.47804431027294</v>
      </c>
      <c r="I52" s="6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</v>
      </c>
      <c r="N52" s="13">
        <f>IF('Données projet'!$A$36&gt;35,N51+M52-V51,IF(A52&lt;'Données projet'!$A$36,$K$205^A52,IF(A52='Données projet'!$A$36,'Données projet'!$B$36,N51+M52-V51)))</f>
        <v>211.7999999999999</v>
      </c>
      <c r="O52" s="13">
        <f>N52*VLOOKUP('Données projet'!$B$9,Paramètres!$A$1:$I$89,3,0)*VLOOKUP('Données projet'!$B$9,Paramètres!$A$1:$I$89,5,0)</f>
        <v>168.50807999999992</v>
      </c>
      <c r="P52" s="13">
        <f t="shared" si="33"/>
        <v>42.755711908378117</v>
      </c>
      <c r="Q52" s="20">
        <f t="shared" si="53"/>
        <v>367.95110424042508</v>
      </c>
      <c r="R52" s="59">
        <f t="shared" si="0"/>
        <v>661.2844375737584</v>
      </c>
      <c r="S52" s="59">
        <f ca="1">AVERAGE(OFFSET($R$3,0,0,'Données projet'!$E$9+1,1))-AVERAGE(OFFSET($H$3,0,0,'Données projet'!$E$9+1,1))</f>
        <v>225.2323446080772</v>
      </c>
      <c r="T52" s="59">
        <f t="shared" si="34"/>
        <v>222.29030402759292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30.286758761514172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30.286758761514172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22.8</v>
      </c>
      <c r="AI52" s="13">
        <f>IF('Données projet'!$A$62&gt;35,AI51+AH52-AQ51,IF(A52&lt;'Données projet'!$A$62,$AF$205^A52,IF(A52='Données projet'!$A$62,'Données projet'!$B$62,AI51+AH52-AQ51)))</f>
        <v>522.19999999999993</v>
      </c>
      <c r="AJ52" s="13">
        <f>AI52*VLOOKUP('Données projet'!$B$10,Paramètres!$A$1:$I$89,3,0)*VLOOKUP('Données projet'!$B$10,Paramètres!$A$1:$I$89,5,0)</f>
        <v>257.96679999999998</v>
      </c>
      <c r="AK52" s="13">
        <f t="shared" si="35"/>
        <v>62.288784054281976</v>
      </c>
      <c r="AL52" s="20">
        <f t="shared" si="4"/>
        <v>557.77847556120776</v>
      </c>
      <c r="AM52" s="59">
        <f t="shared" si="5"/>
        <v>851.11180889454113</v>
      </c>
      <c r="AN52" s="59">
        <f ca="1">AVERAGE(OFFSET($AM$3,0,0,'Données projet'!$E$10+1,1))-AVERAGE(OFFSET($H$3,0,0,'Données projet'!$E$10+1,1))</f>
        <v>360.05819346986135</v>
      </c>
      <c r="AO52" s="59">
        <f t="shared" si="36"/>
        <v>300.47468388351081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57.186085662081823</v>
      </c>
      <c r="AV52" s="21">
        <f>EXP(-LN(2)/25)*AV51+(1-EXP(-LN(2)/25))/(LN(2)/25)*Calculateur!AQ52*Calculateur!AS52*VLOOKUP('Données projet'!$B$10,Paramètres!$A$1:$I$89,3,0)*0.475*44/12</f>
        <v>24.982266773733333</v>
      </c>
      <c r="AW52" s="21">
        <f>EXP(-LN(2)/2)*AW51+(1-EXP(-LN(2)/2))/(LN(2)/2)*AQ52*AT52*VLOOKUP('Données projet'!$B$10,Paramètres!$A$1:$I$89,3,0)*0.475*44/12</f>
        <v>7.2418380050708864E-5</v>
      </c>
      <c r="AX52" s="21">
        <f t="shared" si="6"/>
        <v>82.168424854195209</v>
      </c>
      <c r="AY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14.2</v>
      </c>
      <c r="BD52" s="12">
        <f>IF('Données projet'!$A$88&gt;35,BD51+BC52-BL51,IF(A52&lt;'Données projet'!$A$88,$BA$205^A52,IF(A52='Données projet'!$A$88,'Données projet'!$B$88,BD51+BC52-BL51)))</f>
        <v>262.7999999999999</v>
      </c>
      <c r="BE52" s="13">
        <f>BD52*VLOOKUP('Données projet'!$B$11,Paramètres!$A$1:$I$89,3,0)*VLOOKUP('Données projet'!$B$11,Paramètres!$A$1:$I$89,5,0)</f>
        <v>150.32159999999996</v>
      </c>
      <c r="BF52" s="13">
        <f t="shared" si="37"/>
        <v>38.651661262565277</v>
      </c>
      <c r="BG52" s="20">
        <f t="shared" si="7"/>
        <v>329.12843003230114</v>
      </c>
      <c r="BH52" s="59">
        <f t="shared" si="8"/>
        <v>622.4617633656344</v>
      </c>
      <c r="BI52" s="59">
        <f ca="1">AVERAGE(OFFSET($BH$3,0,0,'Données projet'!$E$11+1,1))-AVERAGE(OFFSET($H$3,0,0,'Données projet'!$E$11+1,1))</f>
        <v>250.90038883668348</v>
      </c>
      <c r="BJ52" s="59">
        <f t="shared" si="38"/>
        <v>141.96132114475608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30.097939822148319</v>
      </c>
      <c r="BQ52" s="21">
        <f>EXP(-LN(2)/25)*BQ51+(1-EXP(-LN(2)/25))/(LN(2)/25)*Calculateur!BL52*Calculateur!BN52*VLOOKUP('Données projet'!$B$11,Paramètres!$A$1:$I$89,3,0)*0.475*44/12</f>
        <v>7.0292467457764847</v>
      </c>
      <c r="BR52" s="21">
        <f>EXP(-LN(2)/2)*BR51+(1-EXP(-LN(2)/2))/(LN(2)/2)*BL52*BO52*VLOOKUP('Données projet'!$B$11,Paramètres!$A$1:$I$89,3,0)*0.475*44/12</f>
        <v>5.2177775508080101E-3</v>
      </c>
      <c r="BS52" s="22">
        <f t="shared" si="9"/>
        <v>37.132404345475614</v>
      </c>
      <c r="BT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8.6</v>
      </c>
      <c r="BY52" s="12">
        <f>IF('Données projet'!$A$114&gt;35,BY51+BX52-CG51,IF(A52&lt;'Données projet'!$A$114,$BV$205^A52,IF(A52='Données projet'!$A$114,'Données projet'!$B$114,BY51+BX52-CG51)))</f>
        <v>252.40000000000003</v>
      </c>
      <c r="BZ52" s="13">
        <f>BY52*VLOOKUP('Données projet'!$B$12,Paramètres!$A$1:$I$89,3,0)*VLOOKUP('Données projet'!$B$12,Paramètres!$A$1:$I$89,5,0)</f>
        <v>200.80944000000002</v>
      </c>
      <c r="CA52" s="13">
        <f t="shared" si="39"/>
        <v>49.922016299484312</v>
      </c>
      <c r="CB52" s="20">
        <f t="shared" si="10"/>
        <v>436.69061972160188</v>
      </c>
      <c r="CC52" s="59">
        <f t="shared" si="11"/>
        <v>730.02395305493519</v>
      </c>
      <c r="CD52" s="59">
        <f ca="1">AVERAGE(OFFSET($CC$3,0,0,'Données projet'!$E$12+1,1))-AVERAGE(OFFSET($H$3,0,0,'Données projet'!$E$12+1,1))</f>
        <v>279.49721661620544</v>
      </c>
      <c r="CE52" s="59">
        <f t="shared" si="40"/>
        <v>275.18739333988754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36.35120859224169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36.35120859224169</v>
      </c>
      <c r="CO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24.6</v>
      </c>
      <c r="CT52" s="12">
        <f>IF('Données projet'!$A$140&gt;35,CT51+CS52-DB51,IF(A52&lt;'Données projet'!$A$140,$CQ$205^A52,IF(A52='Données projet'!$A$140,'Données projet'!$B$140,CT51+CS52-DB51)))</f>
        <v>568.40000000000009</v>
      </c>
      <c r="CU52" s="17">
        <f>CT52*VLOOKUP('Données projet'!$B$13,Paramètres!$A$1:$I$89,3,0)*VLOOKUP('Données projet'!$B$13,Paramètres!$A$1:$I$89,5,0)</f>
        <v>280.78960000000006</v>
      </c>
      <c r="CV52" s="13">
        <f t="shared" si="41"/>
        <v>67.133846701538161</v>
      </c>
      <c r="CW52" s="20">
        <f t="shared" si="13"/>
        <v>605.96666967184581</v>
      </c>
      <c r="CX52" s="59">
        <f t="shared" si="14"/>
        <v>899.30000300517918</v>
      </c>
      <c r="CY52" s="59">
        <f ca="1">AVERAGE(OFFSET($CX$3,0,0,'Données projet'!$E$13+1,1))-AVERAGE(OFFSET($H$3,0,0,'Données projet'!$E$13+1,1))</f>
        <v>396.27049617044378</v>
      </c>
      <c r="CZ52" s="59">
        <f t="shared" si="42"/>
        <v>335.2680289568774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63.540095180090894</v>
      </c>
      <c r="DG52" s="21">
        <f>EXP(-LN(2)/25)*DG51+(1-EXP(-LN(2)/25))/(LN(2)/25)*Calculateur!DB52*Calculateur!DD52*VLOOKUP('Données projet'!$B$13,Paramètres!$A$1:$I$89,3,0)*0.475*44/12</f>
        <v>27.758074193037036</v>
      </c>
      <c r="DH52" s="21">
        <f>EXP(-LN(2)/2)*DH51+(1-EXP(-LN(2)/2))/(LN(2)/2)*DB52*DE52*VLOOKUP('Données projet'!$B$13,Paramètres!$A$1:$I$89,3,0)*0.475*44/12</f>
        <v>5.3106812037186535E-4</v>
      </c>
      <c r="DI52" s="22">
        <f t="shared" si="15"/>
        <v>91.2987004412483</v>
      </c>
      <c r="DJ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16.2</v>
      </c>
      <c r="DO52" s="12">
        <f>IF('Données projet'!$A$166&gt;35,DO51+DN52-DW51,IF(A52&lt;'Données projet'!$A$166,$DL$205^A52,IF(A52='Données projet'!$A$166,'Données projet'!$B$166,DO51+DN52-DW51)))</f>
        <v>317.7999999999999</v>
      </c>
      <c r="DP52" s="17">
        <f>DO52*VLOOKUP('Données projet'!$B$14,Paramètres!$A$1:$I$89,3,0)*VLOOKUP('Données projet'!$B$14,Paramètres!$A$1:$I$89,5,0)</f>
        <v>181.78159999999997</v>
      </c>
      <c r="DQ52" s="13">
        <f t="shared" si="43"/>
        <v>45.718331848132181</v>
      </c>
      <c r="DR52" s="20">
        <f t="shared" si="16"/>
        <v>396.22904796883012</v>
      </c>
      <c r="DS52" s="59">
        <f t="shared" si="17"/>
        <v>689.56238130216343</v>
      </c>
      <c r="DT52" s="59">
        <f ca="1">AVERAGE(OFFSET($DS$3,0,0,'Données projet'!$E$14+1,1))-AVERAGE(OFFSET($H$3,0,0,'Données projet'!$E$14+1,1))</f>
        <v>307.43900954374504</v>
      </c>
      <c r="DU52" s="59">
        <f t="shared" si="44"/>
        <v>185.25270859048999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36.117527786577966</v>
      </c>
      <c r="EB52" s="21">
        <f>EXP(-LN(2)/25)*EB51+(1-EXP(-LN(2)/25))/(LN(2)/25)*Calculateur!DW52*Calculateur!DY52*VLOOKUP('Données projet'!$B$14,Paramètres!$A$1:$I$89,3,0)*0.475*44/12</f>
        <v>15.778273751831577</v>
      </c>
      <c r="EC52" s="21">
        <f>EXP(-LN(2)/2)*EC51+(1-EXP(-LN(2)/2))/(LN(2)/2)*DW52*DZ52*VLOOKUP('Données projet'!$B$14,Paramètres!$A$1:$I$89,3,0)*0.475*44/12</f>
        <v>5.0311716666808274E-4</v>
      </c>
      <c r="ED52" s="22">
        <f t="shared" si="18"/>
        <v>51.896304655576209</v>
      </c>
      <c r="EE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11.533333333333331</v>
      </c>
      <c r="EJ52" s="12">
        <f>IF('Données projet'!$A$192&gt;35,EJ51+EI52-ER51,IF(A52&lt;'Données projet'!$A$192,$EG$205^A52,IF(A52='Données projet'!$A$192,'Données projet'!$B$192,EJ51+EI52-ER51)))</f>
        <v>316.33333333333343</v>
      </c>
      <c r="EK52" s="17">
        <f>EJ52*VLOOKUP('Données projet'!$B$15,Paramètres!$A$1:$I$89,3,0)*VLOOKUP('Données projet'!$B$15,Paramètres!$A$1:$I$89,5,0)</f>
        <v>197.39200000000005</v>
      </c>
      <c r="EL52" s="13">
        <f t="shared" si="45"/>
        <v>49.170571149417825</v>
      </c>
      <c r="EM52" s="20">
        <f t="shared" si="19"/>
        <v>429.42981141856944</v>
      </c>
      <c r="EN52" s="59">
        <f t="shared" si="20"/>
        <v>722.7631447519027</v>
      </c>
      <c r="EO52" s="59">
        <f ca="1">AVERAGE(OFFSET($EN$3,0,0,'Données projet'!$E$15+1,1))-AVERAGE(OFFSET($H$3,0,0,'Données projet'!$E$15+1,1))</f>
        <v>269.77739619445515</v>
      </c>
      <c r="EP52" s="59">
        <f t="shared" si="46"/>
        <v>347.56964743629885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69.498963157031739</v>
      </c>
      <c r="EW52" s="21">
        <f>EXP(-LN(2)/25)*EW51+(1-EXP(-LN(2)/25))/(LN(2)/25)*Calculateur!ER52*Calculateur!ET52*VLOOKUP('Données projet'!$B$15,Paramètres!$A$1:$I$89,3,0)*0.475*44/12</f>
        <v>54.173427724898772</v>
      </c>
      <c r="EX52" s="21">
        <f>EXP(-LN(2)/2)*EX51+(1-EXP(-LN(2)/2))/(LN(2)/2)*ER52*EU52*VLOOKUP('Données projet'!$B$15,Paramètres!$A$1:$I$89,3,0)*0.475*44/12</f>
        <v>3.4303443181914737E-5</v>
      </c>
      <c r="EY52" s="22">
        <f t="shared" si="21"/>
        <v>123.6724251853737</v>
      </c>
      <c r="EZ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9.8000000000000007</v>
      </c>
      <c r="FE52" s="12">
        <f>IF('Données projet'!$A$218&gt;35,FE51+FD52-FM51,IF(A52&lt;'Données projet'!$A$218,$FB$205^A52,IF(A52='Données projet'!$A$218,'Données projet'!$B$218,FE51+FD52-FM51)))</f>
        <v>293.19999999999993</v>
      </c>
      <c r="FF52" s="17">
        <f>FE52*VLOOKUP('Données projet'!$B$16,Paramètres!$A$1:$I$89,3,0)*VLOOKUP('Données projet'!$B$16,Paramètres!$A$1:$I$89,5,0)</f>
        <v>233.26991999999993</v>
      </c>
      <c r="FG52" s="13">
        <f t="shared" si="47"/>
        <v>56.989132736134763</v>
      </c>
      <c r="FH52" s="20">
        <f t="shared" si="22"/>
        <v>505.53451684876785</v>
      </c>
      <c r="FI52" s="59">
        <f t="shared" si="23"/>
        <v>798.86785018210117</v>
      </c>
      <c r="FJ52" s="59">
        <f ca="1">AVERAGE(OFFSET($FI$3,0,0,'Données projet'!$E$16+1,1))-AVERAGE(OFFSET($H$3,0,0,'Données projet'!$E$16+1,1))</f>
        <v>331.52724290297675</v>
      </c>
      <c r="FK52" s="59">
        <f t="shared" si="48"/>
        <v>322.79102610158054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41.635576818050495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41.635576818050495</v>
      </c>
      <c r="FU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26.6</v>
      </c>
      <c r="FZ52" s="12">
        <f>IF('Données projet'!$A$244&gt;35,FZ51+FY52-GH51,IF(A52&lt;'Données projet'!$A$244,$FW$205^A52,IF(A52='Données projet'!$A$244,'Données projet'!$B$244,FZ51+FY52-GH51)))</f>
        <v>617.40000000000043</v>
      </c>
      <c r="GA52" s="17">
        <f>FZ52*VLOOKUP('Données projet'!$B$17,Paramètres!$A$1:$I$89,3,0)*VLOOKUP('Données projet'!$B$17,Paramètres!$A$1:$I$89,5,0)</f>
        <v>304.99560000000025</v>
      </c>
      <c r="GB52" s="13">
        <f t="shared" si="49"/>
        <v>72.222724395804605</v>
      </c>
      <c r="GC52" s="20">
        <f t="shared" si="25"/>
        <v>656.98858165602678</v>
      </c>
      <c r="GD52" s="59">
        <f t="shared" si="26"/>
        <v>950.32191498936004</v>
      </c>
      <c r="GE52" s="59">
        <f ca="1">AVERAGE(OFFSET($GD$3,0,0,'Données projet'!$E$17+1,1))-AVERAGE(OFFSET($H$3,0,0,'Données projet'!$E$17+1,1))</f>
        <v>434.08297999735811</v>
      </c>
      <c r="GF52" s="59">
        <f t="shared" si="50"/>
        <v>371.04090283546122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69.894104698099994</v>
      </c>
      <c r="GM52" s="21">
        <f>EXP(-LN(2)/25)*GM51+(1-EXP(-LN(2)/25))/(LN(2)/25)*Calculateur!GH52*Calculateur!GJ52*VLOOKUP('Données projet'!$B$17,Paramètres!$A$1:$I$89,3,0)*0.475*44/12</f>
        <v>30.53388161234075</v>
      </c>
      <c r="GN52" s="21">
        <f>EXP(-LN(2)/2)*GN51+(1-EXP(-LN(2)/2))/(LN(2)/2)*GH52*GK52*VLOOKUP('Données projet'!$B$17,Paramètres!$A$1:$I$89,3,0)*0.475*44/12</f>
        <v>1.0379967807268272E-3</v>
      </c>
      <c r="GO52" s="21">
        <f t="shared" si="27"/>
        <v>100.42902430722147</v>
      </c>
      <c r="GP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18</v>
      </c>
      <c r="GU52" s="12">
        <f>IF('Données projet'!$A$270&gt;35,GU51+GT52-HC51,IF(A52&lt;'Données projet'!$A$270,$GR$205^A52,IF(A52='Données projet'!$A$270,'Données projet'!$B$270,GU51+GT52-HC51)))</f>
        <v>368.00000000000006</v>
      </c>
      <c r="GV52" s="17">
        <f>GU52*VLOOKUP('Données projet'!$B$18,Paramètres!$A$1:$I$89,3,0)*VLOOKUP('Données projet'!$B$18,Paramètres!$A$1:$I$89,5,0)</f>
        <v>210.49600000000004</v>
      </c>
      <c r="GW52" s="13">
        <f t="shared" si="51"/>
        <v>52.043959291168512</v>
      </c>
      <c r="GX52" s="20">
        <f t="shared" si="28"/>
        <v>457.25709576545188</v>
      </c>
      <c r="GY52" s="59">
        <f t="shared" si="29"/>
        <v>750.59042909878519</v>
      </c>
      <c r="GZ52" s="59">
        <f ca="1">AVERAGE(OFFSET($GY$3,0,0,'Données projet'!$E$18+1,1))-AVERAGE(OFFSET($H$3,0,0,'Données projet'!$E$18+1,1))</f>
        <v>362.57172983134313</v>
      </c>
      <c r="HA52" s="59">
        <f t="shared" si="52"/>
        <v>232.03250917542471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42.137115751007642</v>
      </c>
      <c r="HH52" s="21">
        <f>EXP(-LN(2)/25)*HH51+(1-EXP(-LN(2)/25))/(LN(2)/25)*Calculateur!HC52*Calculateur!HE52*VLOOKUP('Données projet'!$B$18,Paramètres!$A$1:$I$89,3,0)*0.475*44/12</f>
        <v>18.407986043803511</v>
      </c>
      <c r="HI52" s="21">
        <f>EXP(-LN(2)/2)*HI51+(1-EXP(-LN(2)/2))/(LN(2)/2)*HC52*HF52*VLOOKUP('Données projet'!$B$18,Paramètres!$A$1:$I$89,3,0)*0.475*44/12</f>
        <v>1.0341852870399475E-3</v>
      </c>
      <c r="HJ52" s="22">
        <f t="shared" si="30"/>
        <v>60.546135980098192</v>
      </c>
    </row>
    <row r="53" spans="1:218" x14ac:dyDescent="0.3">
      <c r="A53" s="10">
        <f t="shared" si="31"/>
        <v>50</v>
      </c>
      <c r="B53" s="71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5">
        <f t="shared" si="1"/>
        <v>348.55165185430155</v>
      </c>
      <c r="I53" s="6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219</v>
      </c>
      <c r="L53" s="12">
        <f>VLOOKUP(A53,'Données projet'!$A$35:$I$55,9,0)</f>
        <v>7.2</v>
      </c>
      <c r="M53" s="12">
        <f t="array" ref="M53">INDEX(L:L,MIN(IF(ISNUMBER(L53:L249),ROW(L53:L249),"")))</f>
        <v>7.2</v>
      </c>
      <c r="N53" s="13">
        <f>IF('Données projet'!$A$36&gt;35,N52+M53-V52,IF(A53&lt;'Données projet'!$A$36,$K$205^A53,IF(A53='Données projet'!$A$36,'Données projet'!$B$36,N52+M53-V52)))</f>
        <v>218.99999999999989</v>
      </c>
      <c r="O53" s="13">
        <f>N53*VLOOKUP('Données projet'!$B$9,Paramètres!$A$1:$I$89,3,0)*VLOOKUP('Données projet'!$B$9,Paramètres!$A$1:$I$89,5,0)</f>
        <v>174.23639999999992</v>
      </c>
      <c r="P53" s="13">
        <f t="shared" si="33"/>
        <v>44.03747274965864</v>
      </c>
      <c r="Q53" s="20">
        <f t="shared" si="53"/>
        <v>380.160328372322</v>
      </c>
      <c r="R53" s="59">
        <f t="shared" si="0"/>
        <v>673.49366170565531</v>
      </c>
      <c r="S53" s="59">
        <f ca="1">AVERAGE(OFFSET($R$3,0,0,'Données projet'!$E$9+1,1))-AVERAGE(OFFSET($H$3,0,0,'Données projet'!$E$9+1,1))</f>
        <v>225.2323446080772</v>
      </c>
      <c r="T53" s="59">
        <f t="shared" si="34"/>
        <v>222.29030402759292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17</v>
      </c>
      <c r="W53" s="16">
        <f>IF(ISNA(VLOOKUP(A53,'Données projet'!$A$35:$I$55,5,0)),0%,VLOOKUP(A53,'Données projet'!$A$35:$I$55,5,0)*VLOOKUP('Données projet'!$B$9,Paramètres!$A$1:$I$89,7,0))</f>
        <v>0.53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37.617259123246953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37.617259123246953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545</v>
      </c>
      <c r="AG53" s="12">
        <f>VLOOKUP(A53,'Données projet'!$A$61:$I$81,9,0)</f>
        <v>22.8</v>
      </c>
      <c r="AH53" s="12">
        <f t="array" ref="AH53">INDEX(AG:AG,MIN(IF(ISNUMBER(AG53:AG249),ROW(AG53:AG249),"")))</f>
        <v>22.8</v>
      </c>
      <c r="AI53" s="13">
        <f>IF('Données projet'!$A$62&gt;35,AI52+AH53-AQ52,IF(A53&lt;'Données projet'!$A$62,$AF$205^A53,IF(A53='Données projet'!$A$62,'Données projet'!$B$62,AI52+AH53-AQ52)))</f>
        <v>544.99999999999989</v>
      </c>
      <c r="AJ53" s="13">
        <f>AI53*VLOOKUP('Données projet'!$B$10,Paramètres!$A$1:$I$89,3,0)*VLOOKUP('Données projet'!$B$10,Paramètres!$A$1:$I$89,5,0)</f>
        <v>269.22999999999996</v>
      </c>
      <c r="AK53" s="13">
        <f t="shared" si="35"/>
        <v>64.685828702515892</v>
      </c>
      <c r="AL53" s="20">
        <f t="shared" si="4"/>
        <v>581.57006832354853</v>
      </c>
      <c r="AM53" s="59">
        <f t="shared" si="5"/>
        <v>874.9034016568819</v>
      </c>
      <c r="AN53" s="59">
        <f ca="1">AVERAGE(OFFSET($AM$3,0,0,'Données projet'!$E$10+1,1))-AVERAGE(OFFSET($H$3,0,0,'Données projet'!$E$10+1,1))</f>
        <v>360.05819346986135</v>
      </c>
      <c r="AO53" s="59">
        <f t="shared" si="36"/>
        <v>300.47468388351081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63</v>
      </c>
      <c r="AR53" s="16">
        <f>IF(ISNA(VLOOKUP(A53,'Données projet'!$A$61:$I$81,5,0)),0%,VLOOKUP(A53,'Données projet'!$A$61:$I$81,5,0)*VLOOKUP('Données projet'!$B$10,Paramètres!$A$1:$I$89,7,0))</f>
        <v>0.55000000000000004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78.77163784252069</v>
      </c>
      <c r="AV53" s="21">
        <f>EXP(-LN(2)/25)*AV52+(1-EXP(-LN(2)/25))/(LN(2)/25)*Calculateur!AQ53*Calculateur!AS53*VLOOKUP('Données projet'!$B$10,Paramètres!$A$1:$I$89,3,0)*0.475*44/12</f>
        <v>24.299125375045282</v>
      </c>
      <c r="AW53" s="21">
        <f>EXP(-LN(2)/2)*AW52+(1-EXP(-LN(2)/2))/(LN(2)/2)*AQ53*AT53*VLOOKUP('Données projet'!$B$10,Paramètres!$A$1:$I$89,3,0)*0.475*44/12</f>
        <v>5.1207527616400832E-5</v>
      </c>
      <c r="AX53" s="21">
        <f t="shared" si="6"/>
        <v>103.07081442509359</v>
      </c>
      <c r="AY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277</v>
      </c>
      <c r="BB53" s="12">
        <f>VLOOKUP(A53,'Données projet'!$A$87:$I$107,9,0)</f>
        <v>14.2</v>
      </c>
      <c r="BC53" s="12">
        <f t="array" ref="BC53">INDEX(BB:BB,MIN(IF(ISNUMBER(BB53:BB249),ROW(BB53:BB249),"")))</f>
        <v>14.2</v>
      </c>
      <c r="BD53" s="12">
        <f>IF('Données projet'!$A$88&gt;35,BD52+BC53-BL52,IF(A53&lt;'Données projet'!$A$88,$BA$205^A53,IF(A53='Données projet'!$A$88,'Données projet'!$B$88,BD52+BC53-BL52)))</f>
        <v>276.99999999999989</v>
      </c>
      <c r="BE53" s="13">
        <f>BD53*VLOOKUP('Données projet'!$B$11,Paramètres!$A$1:$I$89,3,0)*VLOOKUP('Données projet'!$B$11,Paramètres!$A$1:$I$89,5,0)</f>
        <v>158.44399999999993</v>
      </c>
      <c r="BF53" s="13">
        <f t="shared" si="37"/>
        <v>40.491355899089413</v>
      </c>
      <c r="BG53" s="20">
        <f t="shared" si="7"/>
        <v>346.47907819091398</v>
      </c>
      <c r="BH53" s="59">
        <f t="shared" si="8"/>
        <v>639.8124115242473</v>
      </c>
      <c r="BI53" s="59">
        <f ca="1">AVERAGE(OFFSET($BH$3,0,0,'Données projet'!$E$11+1,1))-AVERAGE(OFFSET($H$3,0,0,'Données projet'!$E$11+1,1))</f>
        <v>250.90038883668348</v>
      </c>
      <c r="BJ53" s="59">
        <f t="shared" si="38"/>
        <v>141.96132114475608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35</v>
      </c>
      <c r="BM53" s="16">
        <f>IF(ISNA(VLOOKUP(A53,'Données projet'!$A$87:$I$107,5,0)),0%,VLOOKUP(A53,'Données projet'!$A$87:$I$107,5,0)*VLOOKUP('Données projet'!$B$11,Paramètres!$A$1:$I$89,7,0))</f>
        <v>0.45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41.458756759221401</v>
      </c>
      <c r="BQ53" s="21">
        <f>EXP(-LN(2)/25)*BQ52+(1-EXP(-LN(2)/25))/(LN(2)/25)*Calculateur!BL53*Calculateur!BN53*VLOOKUP('Données projet'!$B$11,Paramètres!$A$1:$I$89,3,0)*0.475*44/12</f>
        <v>6.8370316238612059</v>
      </c>
      <c r="BR53" s="21">
        <f>EXP(-LN(2)/2)*BR52+(1-EXP(-LN(2)/2))/(LN(2)/2)*BL53*BO53*VLOOKUP('Données projet'!$B$11,Paramètres!$A$1:$I$89,3,0)*0.475*44/12</f>
        <v>3.6895258888992796E-3</v>
      </c>
      <c r="BS53" s="22">
        <f t="shared" si="9"/>
        <v>48.299477908971511</v>
      </c>
      <c r="BT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261</v>
      </c>
      <c r="BW53" s="12">
        <f>VLOOKUP(A53,'Données projet'!$A$113:$I$133,9,0)</f>
        <v>8.6</v>
      </c>
      <c r="BX53" s="12">
        <f t="array" ref="BX53">INDEX(BW:BW,MIN(IF(ISNUMBER(BW53:BW249),ROW(BW53:BW249),"")))</f>
        <v>8.6</v>
      </c>
      <c r="BY53" s="12">
        <f>IF('Données projet'!$A$114&gt;35,BY52+BX53-CG52,IF(A53&lt;'Données projet'!$A$114,$BV$205^A53,IF(A53='Données projet'!$A$114,'Données projet'!$B$114,BY52+BX53-CG52)))</f>
        <v>261.00000000000006</v>
      </c>
      <c r="BZ53" s="13">
        <f>BY53*VLOOKUP('Données projet'!$B$12,Paramètres!$A$1:$I$89,3,0)*VLOOKUP('Données projet'!$B$12,Paramètres!$A$1:$I$89,5,0)</f>
        <v>207.65160000000006</v>
      </c>
      <c r="CA53" s="13">
        <f t="shared" si="39"/>
        <v>51.422065813018108</v>
      </c>
      <c r="CB53" s="20">
        <f t="shared" si="10"/>
        <v>451.2199679576733</v>
      </c>
      <c r="CC53" s="59">
        <f t="shared" si="11"/>
        <v>744.55330129100662</v>
      </c>
      <c r="CD53" s="59">
        <f ca="1">AVERAGE(OFFSET($CC$3,0,0,'Données projet'!$E$12+1,1))-AVERAGE(OFFSET($H$3,0,0,'Données projet'!$E$12+1,1))</f>
        <v>279.49721661620544</v>
      </c>
      <c r="CE53" s="59">
        <f t="shared" si="40"/>
        <v>275.18739333988754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19</v>
      </c>
      <c r="CH53" s="16">
        <f>IF(ISNA(VLOOKUP(A53,'Données projet'!$A$113:$I$133,5,0)),0%,VLOOKUP(A53,'Données projet'!$A$113:$I$133,5,0)*VLOOKUP('Données projet'!$B$12,Paramètres!$A$1:$I$89,7,0))</f>
        <v>0.53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44.495071759736859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44.495071759736859</v>
      </c>
      <c r="CO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593</v>
      </c>
      <c r="CR53" s="12">
        <f>VLOOKUP(A53,'Données projet'!$A$139:$I$159,9,0)</f>
        <v>24.6</v>
      </c>
      <c r="CS53" s="12">
        <f t="array" ref="CS53">INDEX(CR:CR,MIN(IF(ISNUMBER(CR53:CR249),ROW(CR53:CR249),"")))</f>
        <v>24.6</v>
      </c>
      <c r="CT53" s="12">
        <f>IF('Données projet'!$A$140&gt;35,CT52+CS53-DB52,IF(A53&lt;'Données projet'!$A$140,$CQ$205^A53,IF(A53='Données projet'!$A$140,'Données projet'!$B$140,CT52+CS53-DB52)))</f>
        <v>593.00000000000011</v>
      </c>
      <c r="CU53" s="17">
        <f>CT53*VLOOKUP('Données projet'!$B$13,Paramètres!$A$1:$I$89,3,0)*VLOOKUP('Données projet'!$B$13,Paramètres!$A$1:$I$89,5,0)</f>
        <v>292.94200000000006</v>
      </c>
      <c r="CV53" s="13">
        <f t="shared" si="41"/>
        <v>69.694791629766996</v>
      </c>
      <c r="CW53" s="20">
        <f t="shared" si="13"/>
        <v>631.59241208851097</v>
      </c>
      <c r="CX53" s="59">
        <f t="shared" si="14"/>
        <v>924.92574542184434</v>
      </c>
      <c r="CY53" s="59">
        <f ca="1">AVERAGE(OFFSET($CX$3,0,0,'Données projet'!$E$13+1,1))-AVERAGE(OFFSET($H$3,0,0,'Données projet'!$E$13+1,1))</f>
        <v>396.27049617044378</v>
      </c>
      <c r="CZ53" s="59">
        <f t="shared" si="42"/>
        <v>335.2680289568774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70</v>
      </c>
      <c r="DC53" s="16">
        <f>IF(ISNA(VLOOKUP(A53,'Données projet'!$A$139:$I$159,5,0)),0%,VLOOKUP(A53,'Données projet'!$A$139:$I$159,5,0)*VLOOKUP('Données projet'!$B$13,Paramètres!$A$1:$I$89,7,0))</f>
        <v>0.55000000000000004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87.524042047245189</v>
      </c>
      <c r="DG53" s="21">
        <f>EXP(-LN(2)/25)*DG52+(1-EXP(-LN(2)/25))/(LN(2)/25)*Calculateur!DB53*Calculateur!DD53*VLOOKUP('Données projet'!$B$13,Paramètres!$A$1:$I$89,3,0)*0.475*44/12</f>
        <v>26.999028194494759</v>
      </c>
      <c r="DH53" s="21">
        <f>EXP(-LN(2)/2)*DH52+(1-EXP(-LN(2)/2))/(LN(2)/2)*DB53*DE53*VLOOKUP('Données projet'!$B$13,Paramètres!$A$1:$I$89,3,0)*0.475*44/12</f>
        <v>3.7552186918693968E-4</v>
      </c>
      <c r="DI53" s="22">
        <f t="shared" si="15"/>
        <v>114.52344576360913</v>
      </c>
      <c r="DJ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334</v>
      </c>
      <c r="DM53" s="12">
        <f>VLOOKUP(A53,'Données projet'!$A$165:$I$185,9,0)</f>
        <v>16.2</v>
      </c>
      <c r="DN53" s="12">
        <f t="array" ref="DN53">INDEX(DM:DM,MIN(IF(ISNUMBER(DM53:DM249),ROW(DM53:DM249),"")))</f>
        <v>16.2</v>
      </c>
      <c r="DO53" s="12">
        <f>IF('Données projet'!$A$166&gt;35,DO52+DN53-DW52,IF(A53&lt;'Données projet'!$A$166,$DL$205^A53,IF(A53='Données projet'!$A$166,'Données projet'!$B$166,DO52+DN53-DW52)))</f>
        <v>333.99999999999989</v>
      </c>
      <c r="DP53" s="17">
        <f>DO53*VLOOKUP('Données projet'!$B$14,Paramètres!$A$1:$I$89,3,0)*VLOOKUP('Données projet'!$B$14,Paramètres!$A$1:$I$89,5,0)</f>
        <v>191.04799999999994</v>
      </c>
      <c r="DQ53" s="13">
        <f t="shared" si="43"/>
        <v>47.771576544305155</v>
      </c>
      <c r="DR53" s="20">
        <f t="shared" si="16"/>
        <v>415.94409581466471</v>
      </c>
      <c r="DS53" s="59">
        <f t="shared" si="17"/>
        <v>709.27742914799796</v>
      </c>
      <c r="DT53" s="59">
        <f ca="1">AVERAGE(OFFSET($DS$3,0,0,'Données projet'!$E$14+1,1))-AVERAGE(OFFSET($H$3,0,0,'Données projet'!$E$14+1,1))</f>
        <v>307.43900954374504</v>
      </c>
      <c r="DU53" s="59">
        <f t="shared" si="44"/>
        <v>185.25270859048999</v>
      </c>
      <c r="DV53" s="15">
        <f>IF(ISNA(VLOOKUP(A53,'Données projet'!$A$165:$I$185,3,0)),0,VLOOKUP(A53,'Données projet'!$A$165:$I$185,3,0))</f>
        <v>7</v>
      </c>
      <c r="DW53" s="15">
        <f>IF(ISNA(VLOOKUP(A53,'Données projet'!$A$165:$I$185,4,0)),0,VLOOKUP(A53,'Données projet'!$A$165:$I$185,4,0))</f>
        <v>42</v>
      </c>
      <c r="DX53" s="16">
        <f>IF(ISNA(VLOOKUP(A53,'Données projet'!$A$165:$I$185,5,0)),0%,VLOOKUP(A53,'Données projet'!$A$165:$I$185,5,0)*VLOOKUP('Données projet'!$B$14,Paramètres!$A$1:$I$89,7,0))</f>
        <v>0.45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49.750508111065663</v>
      </c>
      <c r="EB53" s="21">
        <f>EXP(-LN(2)/25)*EB52+(1-EXP(-LN(2)/25))/(LN(2)/25)*Calculateur!DW53*Calculateur!DY53*VLOOKUP('Données projet'!$B$14,Paramètres!$A$1:$I$89,3,0)*0.475*44/12</f>
        <v>15.346816026344388</v>
      </c>
      <c r="EC53" s="21">
        <f>EXP(-LN(2)/2)*EC52+(1-EXP(-LN(2)/2))/(LN(2)/2)*DW53*DZ53*VLOOKUP('Données projet'!$B$14,Paramètres!$A$1:$I$89,3,0)*0.475*44/12</f>
        <v>3.5575756028236375E-4</v>
      </c>
      <c r="ED53" s="22">
        <f t="shared" si="18"/>
        <v>65.097679894970341</v>
      </c>
      <c r="EE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11.533333333333331</v>
      </c>
      <c r="EJ53" s="12">
        <f>IF('Données projet'!$A$192&gt;35,EJ52+EI53-ER52,IF(A53&lt;'Données projet'!$A$192,$EG$205^A53,IF(A53='Données projet'!$A$192,'Données projet'!$B$192,EJ52+EI53-ER52)))</f>
        <v>327.86666666666679</v>
      </c>
      <c r="EK53" s="17">
        <f>EJ53*VLOOKUP('Données projet'!$B$15,Paramètres!$A$1:$I$89,3,0)*VLOOKUP('Données projet'!$B$15,Paramètres!$A$1:$I$89,5,0)</f>
        <v>204.58880000000008</v>
      </c>
      <c r="EL53" s="13">
        <f t="shared" si="45"/>
        <v>50.751311773101563</v>
      </c>
      <c r="EM53" s="20">
        <f t="shared" si="19"/>
        <v>444.71736133815199</v>
      </c>
      <c r="EN53" s="59">
        <f t="shared" si="20"/>
        <v>738.0506946714853</v>
      </c>
      <c r="EO53" s="59">
        <f ca="1">AVERAGE(OFFSET($EN$3,0,0,'Données projet'!$E$15+1,1))-AVERAGE(OFFSET($H$3,0,0,'Données projet'!$E$15+1,1))</f>
        <v>269.77739619445515</v>
      </c>
      <c r="EP53" s="59">
        <f t="shared" si="46"/>
        <v>347.56964743629885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68.136130879704183</v>
      </c>
      <c r="EW53" s="21">
        <f>EXP(-LN(2)/25)*EW52+(1-EXP(-LN(2)/25))/(LN(2)/25)*Calculateur!ER53*Calculateur!ET53*VLOOKUP('Données projet'!$B$15,Paramètres!$A$1:$I$89,3,0)*0.475*44/12</f>
        <v>52.692052494904665</v>
      </c>
      <c r="EX53" s="21">
        <f>EXP(-LN(2)/2)*EX52+(1-EXP(-LN(2)/2))/(LN(2)/2)*ER53*EU53*VLOOKUP('Données projet'!$B$15,Paramètres!$A$1:$I$89,3,0)*0.475*44/12</f>
        <v>2.425619729197935E-5</v>
      </c>
      <c r="EY53" s="22">
        <f t="shared" si="21"/>
        <v>120.82820763080613</v>
      </c>
      <c r="EZ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303</v>
      </c>
      <c r="FC53" s="12">
        <f>VLOOKUP(A53,'Données projet'!$A$217:$I$237,9,0)</f>
        <v>9.8000000000000007</v>
      </c>
      <c r="FD53" s="12">
        <f t="array" ref="FD53">INDEX(FC:FC,MIN(IF(ISNUMBER(FC53:FC249),ROW(FC53:FC249),"")))</f>
        <v>9.8000000000000007</v>
      </c>
      <c r="FE53" s="12">
        <f>IF('Données projet'!$A$218&gt;35,FE52+FD53-FM52,IF(A53&lt;'Données projet'!$A$218,$FB$205^A53,IF(A53='Données projet'!$A$218,'Données projet'!$B$218,FE52+FD53-FM52)))</f>
        <v>302.99999999999994</v>
      </c>
      <c r="FF53" s="17">
        <f>FE53*VLOOKUP('Données projet'!$B$16,Paramètres!$A$1:$I$89,3,0)*VLOOKUP('Données projet'!$B$16,Paramètres!$A$1:$I$89,5,0)</f>
        <v>241.06679999999997</v>
      </c>
      <c r="FG53" s="13">
        <f t="shared" si="47"/>
        <v>58.668998418543559</v>
      </c>
      <c r="FH53" s="20">
        <f t="shared" si="22"/>
        <v>522.03984891229663</v>
      </c>
      <c r="FI53" s="59">
        <f t="shared" si="23"/>
        <v>815.37318224563001</v>
      </c>
      <c r="FJ53" s="59">
        <f ca="1">AVERAGE(OFFSET($FI$3,0,0,'Données projet'!$E$16+1,1))-AVERAGE(OFFSET($H$3,0,0,'Données projet'!$E$16+1,1))</f>
        <v>331.52724290297675</v>
      </c>
      <c r="FK53" s="59">
        <f t="shared" si="48"/>
        <v>322.79102610158054</v>
      </c>
      <c r="FL53" s="15">
        <f>IF(ISNA(VLOOKUP(A53,'Données projet'!$A$217:$I$237,3,0)),0,VLOOKUP(A53,'Données projet'!$A$217:$I$237,3,0))</f>
        <v>9</v>
      </c>
      <c r="FM53" s="15">
        <f>IF(ISNA(VLOOKUP(A53,'Données projet'!$A$217:$I$237,4,0)),0,VLOOKUP(A53,'Données projet'!$A$217:$I$237,4,0))</f>
        <v>21</v>
      </c>
      <c r="FN53" s="16">
        <f>IF(ISNA(VLOOKUP(A53,'Données projet'!$A$217:$I$237,5,0)),0%,VLOOKUP(A53,'Données projet'!$A$217:$I$237,5,0)*VLOOKUP('Données projet'!$B$16,Paramètres!$A$1:$I$89,7,0))</f>
        <v>0.53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50.608099715777719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50.608099715777719</v>
      </c>
      <c r="FU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644</v>
      </c>
      <c r="FX53" s="12">
        <f>VLOOKUP(A53,'Données projet'!$A$243:$I$263,9,0)</f>
        <v>26.6</v>
      </c>
      <c r="FY53" s="12">
        <f t="array" ref="FY53">INDEX(FX:FX,MIN(IF(ISNUMBER(FX53:FX249),ROW(FX53:FX249),"")))</f>
        <v>26.6</v>
      </c>
      <c r="FZ53" s="12">
        <f>IF('Données projet'!$A$244&gt;35,FZ52+FY53-GH52,IF(A53&lt;'Données projet'!$A$244,$FW$205^A53,IF(A53='Données projet'!$A$244,'Données projet'!$B$244,FZ52+FY53-GH52)))</f>
        <v>644.00000000000045</v>
      </c>
      <c r="GA53" s="17">
        <f>FZ53*VLOOKUP('Données projet'!$B$17,Paramètres!$A$1:$I$89,3,0)*VLOOKUP('Données projet'!$B$17,Paramètres!$A$1:$I$89,5,0)</f>
        <v>318.13600000000025</v>
      </c>
      <c r="GB53" s="13">
        <f t="shared" si="49"/>
        <v>74.965380442161234</v>
      </c>
      <c r="GC53" s="20">
        <f t="shared" si="25"/>
        <v>684.65157093676453</v>
      </c>
      <c r="GD53" s="59">
        <f t="shared" si="26"/>
        <v>977.98490427009779</v>
      </c>
      <c r="GE53" s="59">
        <f ca="1">AVERAGE(OFFSET($GD$3,0,0,'Données projet'!$E$17+1,1))-AVERAGE(OFFSET($H$3,0,0,'Données projet'!$E$17+1,1))</f>
        <v>434.08297999735811</v>
      </c>
      <c r="GF53" s="59">
        <f t="shared" si="50"/>
        <v>371.04090283546122</v>
      </c>
      <c r="GG53" s="15">
        <f>IF(ISNA(VLOOKUP(A53,'Données projet'!$A$243:$I$263,3,0)),0,VLOOKUP(A53,'Données projet'!$A$243:$I$263,3,0))</f>
        <v>7</v>
      </c>
      <c r="GH53" s="15">
        <f>IF(ISNA(VLOOKUP(A53,'Données projet'!$A$243:$I$263,4,0)),0,VLOOKUP(A53,'Données projet'!$A$243:$I$263,4,0))</f>
        <v>77</v>
      </c>
      <c r="GI53" s="16">
        <f>IF(ISNA(VLOOKUP(A53,'Données projet'!$A$243:$I$263,5,0)),0%,VLOOKUP(A53,'Données projet'!$A$243:$I$263,5,0)*VLOOKUP('Données projet'!$B$17,Paramètres!$A$1:$I$89,7,0))</f>
        <v>0.55000000000000004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96.276446251969716</v>
      </c>
      <c r="GM53" s="21">
        <f>EXP(-LN(2)/25)*GM52+(1-EXP(-LN(2)/25))/(LN(2)/25)*Calculateur!GH53*Calculateur!GJ53*VLOOKUP('Données projet'!$B$17,Paramètres!$A$1:$I$89,3,0)*0.475*44/12</f>
        <v>29.698931013944243</v>
      </c>
      <c r="GN53" s="21">
        <f>EXP(-LN(2)/2)*GN52+(1-EXP(-LN(2)/2))/(LN(2)/2)*GH53*GK53*VLOOKUP('Données projet'!$B$17,Paramètres!$A$1:$I$89,3,0)*0.475*44/12</f>
        <v>7.3397456250174535E-4</v>
      </c>
      <c r="GO53" s="21">
        <f t="shared" si="27"/>
        <v>125.97611124047647</v>
      </c>
      <c r="GP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386</v>
      </c>
      <c r="GS53" s="12">
        <f>VLOOKUP(A53,'Données projet'!$A$269:$I$289,9,0)</f>
        <v>18</v>
      </c>
      <c r="GT53" s="12">
        <f t="array" ref="GT53">INDEX(GS:GS,MIN(IF(ISNUMBER(GS53:GS249),ROW(GS53:GS249),"")))</f>
        <v>18</v>
      </c>
      <c r="GU53" s="12">
        <f>IF('Données projet'!$A$270&gt;35,GU52+GT53-HC52,IF(A53&lt;'Données projet'!$A$270,$GR$205^A53,IF(A53='Données projet'!$A$270,'Données projet'!$B$270,GU52+GT53-HC52)))</f>
        <v>386.00000000000006</v>
      </c>
      <c r="GV53" s="17">
        <f>GU53*VLOOKUP('Données projet'!$B$18,Paramètres!$A$1:$I$89,3,0)*VLOOKUP('Données projet'!$B$18,Paramètres!$A$1:$I$89,5,0)</f>
        <v>220.79200000000006</v>
      </c>
      <c r="GW53" s="13">
        <f t="shared" si="51"/>
        <v>54.286986989498793</v>
      </c>
      <c r="GX53" s="20">
        <f t="shared" si="28"/>
        <v>479.09590234004378</v>
      </c>
      <c r="GY53" s="59">
        <f t="shared" si="29"/>
        <v>772.42923567337709</v>
      </c>
      <c r="GZ53" s="59">
        <f ca="1">AVERAGE(OFFSET($GY$3,0,0,'Données projet'!$E$18+1,1))-AVERAGE(OFFSET($H$3,0,0,'Données projet'!$E$18+1,1))</f>
        <v>362.57172983134313</v>
      </c>
      <c r="HA53" s="59">
        <f t="shared" si="52"/>
        <v>232.03250917542471</v>
      </c>
      <c r="HB53" s="15">
        <f>IF(ISNA(VLOOKUP(A53,'Données projet'!$A$269:$I$289,3,0)),0,VLOOKUP(A53,'Données projet'!$A$269:$I$289,3,0))</f>
        <v>7</v>
      </c>
      <c r="HC53" s="15">
        <f>IF(ISNA(VLOOKUP(A53,'Données projet'!$A$269:$I$289,4,0)),0,VLOOKUP(A53,'Données projet'!$A$269:$I$289,4,0))</f>
        <v>49</v>
      </c>
      <c r="HD53" s="16">
        <f>IF(ISNA(VLOOKUP(A53,'Données projet'!$A$269:$I$289,5,0)),0%,VLOOKUP(A53,'Données projet'!$A$269:$I$289,5,0)*VLOOKUP('Données projet'!$B$18,Paramètres!$A$1:$I$89,7,0))</f>
        <v>0.45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58.042259462909968</v>
      </c>
      <c r="HH53" s="21">
        <f>EXP(-LN(2)/25)*HH52+(1-EXP(-LN(2)/25))/(LN(2)/25)*Calculateur!HC53*Calculateur!HE53*VLOOKUP('Données projet'!$B$18,Paramètres!$A$1:$I$89,3,0)*0.475*44/12</f>
        <v>17.904618697401791</v>
      </c>
      <c r="HI53" s="21">
        <f>EXP(-LN(2)/2)*HI52+(1-EXP(-LN(2)/2))/(LN(2)/2)*HC53*HF53*VLOOKUP('Données projet'!$B$18,Paramètres!$A$1:$I$89,3,0)*0.475*44/12</f>
        <v>7.3127942946930305E-4</v>
      </c>
      <c r="HJ53" s="22">
        <f t="shared" si="30"/>
        <v>75.947609439741228</v>
      </c>
    </row>
    <row r="54" spans="1:218" x14ac:dyDescent="0.3">
      <c r="A54" s="10">
        <f t="shared" si="31"/>
        <v>51</v>
      </c>
      <c r="B54" s="71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5">
        <f t="shared" si="1"/>
        <v>349.62471090256616</v>
      </c>
      <c r="I54" s="6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6</v>
      </c>
      <c r="N54" s="13">
        <f>IF('Données projet'!$A$36&gt;35,N53+M54-V53,IF(A54&lt;'Données projet'!$A$36,$K$205^A54,IF(A54='Données projet'!$A$36,'Données projet'!$B$36,N53+M54-V53)))</f>
        <v>207.99999999999989</v>
      </c>
      <c r="O54" s="13">
        <f>N54*VLOOKUP('Données projet'!$B$9,Paramètres!$A$1:$I$89,3,0)*VLOOKUP('Données projet'!$B$9,Paramètres!$A$1:$I$89,5,0)</f>
        <v>165.48479999999992</v>
      </c>
      <c r="P54" s="13">
        <f t="shared" si="33"/>
        <v>42.077190125964002</v>
      </c>
      <c r="Q54" s="20">
        <f t="shared" si="53"/>
        <v>361.5037994693871</v>
      </c>
      <c r="R54" s="59">
        <f t="shared" si="0"/>
        <v>654.83713280272036</v>
      </c>
      <c r="S54" s="59">
        <f ca="1">AVERAGE(OFFSET($R$3,0,0,'Données projet'!$E$9+1,1))-AVERAGE(OFFSET($H$3,0,0,'Données projet'!$E$9+1,1))</f>
        <v>225.2323446080772</v>
      </c>
      <c r="T54" s="59">
        <f t="shared" si="34"/>
        <v>222.29030402759292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36.879607616102589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36.879607616102589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21.6</v>
      </c>
      <c r="AI54" s="13">
        <f>IF('Données projet'!$A$62&gt;35,AI53+AH54-AQ53,IF(A54&lt;'Données projet'!$A$62,$AF$205^A54,IF(A54='Données projet'!$A$62,'Données projet'!$B$62,AI53+AH54-AQ53)))</f>
        <v>503.59999999999991</v>
      </c>
      <c r="AJ54" s="13">
        <f>AI54*VLOOKUP('Données projet'!$B$10,Paramètres!$A$1:$I$89,3,0)*VLOOKUP('Données projet'!$B$10,Paramètres!$A$1:$I$89,5,0)</f>
        <v>248.77839999999998</v>
      </c>
      <c r="AK54" s="13">
        <f t="shared" si="35"/>
        <v>60.32427907019364</v>
      </c>
      <c r="AL54" s="20">
        <f t="shared" si="4"/>
        <v>538.3538327139205</v>
      </c>
      <c r="AM54" s="59">
        <f t="shared" si="5"/>
        <v>831.68716604725387</v>
      </c>
      <c r="AN54" s="59">
        <f ca="1">AVERAGE(OFFSET($AM$3,0,0,'Données projet'!$E$10+1,1))-AVERAGE(OFFSET($H$3,0,0,'Données projet'!$E$10+1,1))</f>
        <v>360.05819346986135</v>
      </c>
      <c r="AO54" s="59">
        <f t="shared" si="36"/>
        <v>300.47468388351081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77.226974070383804</v>
      </c>
      <c r="AV54" s="21">
        <f>EXP(-LN(2)/25)*AV53+(1-EXP(-LN(2)/25))/(LN(2)/25)*Calculateur!AQ54*Calculateur!AS54*VLOOKUP('Données projet'!$B$10,Paramètres!$A$1:$I$89,3,0)*0.475*44/12</f>
        <v>23.6346645138292</v>
      </c>
      <c r="AW54" s="21">
        <f>EXP(-LN(2)/2)*AW53+(1-EXP(-LN(2)/2))/(LN(2)/2)*AQ54*AT54*VLOOKUP('Données projet'!$B$10,Paramètres!$A$1:$I$89,3,0)*0.475*44/12</f>
        <v>3.6209190025354432E-5</v>
      </c>
      <c r="AX54" s="21">
        <f t="shared" si="6"/>
        <v>100.86167479340304</v>
      </c>
      <c r="AY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13.6</v>
      </c>
      <c r="BD54" s="12">
        <f>IF('Données projet'!$A$88&gt;35,BD53+BC54-BL53,IF(A54&lt;'Données projet'!$A$88,$BA$205^A54,IF(A54='Données projet'!$A$88,'Données projet'!$B$88,BD53+BC54-BL53)))</f>
        <v>255.59999999999991</v>
      </c>
      <c r="BE54" s="13">
        <f>BD54*VLOOKUP('Données projet'!$B$11,Paramètres!$A$1:$I$89,3,0)*VLOOKUP('Données projet'!$B$11,Paramètres!$A$1:$I$89,5,0)</f>
        <v>146.20319999999995</v>
      </c>
      <c r="BF54" s="13">
        <f t="shared" si="37"/>
        <v>37.714465965904303</v>
      </c>
      <c r="BG54" s="20">
        <f t="shared" si="7"/>
        <v>320.32326822394992</v>
      </c>
      <c r="BH54" s="59">
        <f t="shared" si="8"/>
        <v>613.65660155728324</v>
      </c>
      <c r="BI54" s="59">
        <f ca="1">AVERAGE(OFFSET($BH$3,0,0,'Données projet'!$E$11+1,1))-AVERAGE(OFFSET($H$3,0,0,'Données projet'!$E$11+1,1))</f>
        <v>250.90038883668348</v>
      </c>
      <c r="BJ54" s="59">
        <f t="shared" si="38"/>
        <v>141.96132114475608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40.645775826517777</v>
      </c>
      <c r="BQ54" s="21">
        <f>EXP(-LN(2)/25)*BQ53+(1-EXP(-LN(2)/25))/(LN(2)/25)*Calculateur!BL54*Calculateur!BN54*VLOOKUP('Données projet'!$B$11,Paramètres!$A$1:$I$89,3,0)*0.475*44/12</f>
        <v>6.6500726345628545</v>
      </c>
      <c r="BR54" s="21">
        <f>EXP(-LN(2)/2)*BR53+(1-EXP(-LN(2)/2))/(LN(2)/2)*BL54*BO54*VLOOKUP('Données projet'!$B$11,Paramètres!$A$1:$I$89,3,0)*0.475*44/12</f>
        <v>2.6088887754040055E-3</v>
      </c>
      <c r="BS54" s="22">
        <f t="shared" si="9"/>
        <v>47.298457349856037</v>
      </c>
      <c r="BT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7.4</v>
      </c>
      <c r="BY54" s="12">
        <f>IF('Données projet'!$A$114&gt;35,BY53+BX54-CG53,IF(A54&lt;'Données projet'!$A$114,$BV$205^A54,IF(A54='Données projet'!$A$114,'Données projet'!$B$114,BY53+BX54-CG53)))</f>
        <v>249.40000000000003</v>
      </c>
      <c r="BZ54" s="13">
        <f>BY54*VLOOKUP('Données projet'!$B$12,Paramètres!$A$1:$I$89,3,0)*VLOOKUP('Données projet'!$B$12,Paramètres!$A$1:$I$89,5,0)</f>
        <v>198.42264000000003</v>
      </c>
      <c r="CA54" s="13">
        <f t="shared" si="39"/>
        <v>49.397352151183256</v>
      </c>
      <c r="CB54" s="20">
        <f t="shared" si="10"/>
        <v>431.61981966331086</v>
      </c>
      <c r="CC54" s="59">
        <f t="shared" si="11"/>
        <v>724.95315299664412</v>
      </c>
      <c r="CD54" s="59">
        <f ca="1">AVERAGE(OFFSET($CC$3,0,0,'Données projet'!$E$12+1,1))-AVERAGE(OFFSET($H$3,0,0,'Données projet'!$E$12+1,1))</f>
        <v>279.49721661620544</v>
      </c>
      <c r="CE54" s="59">
        <f t="shared" si="40"/>
        <v>275.18739333988754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43.622550541842408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43.622550541842408</v>
      </c>
      <c r="CO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23.4</v>
      </c>
      <c r="CT54" s="12">
        <f>IF('Données projet'!$A$140&gt;35,CT53+CS54-DB53,IF(A54&lt;'Données projet'!$A$140,$CQ$205^A54,IF(A54='Données projet'!$A$140,'Données projet'!$B$140,CT53+CS54-DB53)))</f>
        <v>546.40000000000009</v>
      </c>
      <c r="CU54" s="17">
        <f>CT54*VLOOKUP('Données projet'!$B$13,Paramètres!$A$1:$I$89,3,0)*VLOOKUP('Données projet'!$B$13,Paramètres!$A$1:$I$89,5,0)</f>
        <v>269.92160000000007</v>
      </c>
      <c r="CV54" s="13">
        <f t="shared" si="41"/>
        <v>64.832630547942557</v>
      </c>
      <c r="CW54" s="20">
        <f t="shared" si="13"/>
        <v>583.03028487099994</v>
      </c>
      <c r="CX54" s="59">
        <f t="shared" si="14"/>
        <v>876.36361820433331</v>
      </c>
      <c r="CY54" s="59">
        <f ca="1">AVERAGE(OFFSET($CX$3,0,0,'Données projet'!$E$13+1,1))-AVERAGE(OFFSET($H$3,0,0,'Données projet'!$E$13+1,1))</f>
        <v>396.27049617044378</v>
      </c>
      <c r="CZ54" s="59">
        <f t="shared" si="42"/>
        <v>335.2680289568774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85.80774896709309</v>
      </c>
      <c r="DG54" s="21">
        <f>EXP(-LN(2)/25)*DG53+(1-EXP(-LN(2)/25))/(LN(2)/25)*Calculateur!DB54*Calculateur!DD54*VLOOKUP('Données projet'!$B$13,Paramètres!$A$1:$I$89,3,0)*0.475*44/12</f>
        <v>26.260738348699114</v>
      </c>
      <c r="DH54" s="21">
        <f>EXP(-LN(2)/2)*DH53+(1-EXP(-LN(2)/2))/(LN(2)/2)*DB54*DE54*VLOOKUP('Données projet'!$B$13,Paramètres!$A$1:$I$89,3,0)*0.475*44/12</f>
        <v>2.6553406018593268E-4</v>
      </c>
      <c r="DI54" s="22">
        <f t="shared" si="15"/>
        <v>112.06875284985239</v>
      </c>
      <c r="DJ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15.6</v>
      </c>
      <c r="DO54" s="12">
        <f>IF('Données projet'!$A$166&gt;35,DO53+DN54-DW53,IF(A54&lt;'Données projet'!$A$166,$DL$205^A54,IF(A54='Données projet'!$A$166,'Données projet'!$B$166,DO53+DN54-DW53)))</f>
        <v>307.59999999999991</v>
      </c>
      <c r="DP54" s="17">
        <f>DO54*VLOOKUP('Données projet'!$B$14,Paramètres!$A$1:$I$89,3,0)*VLOOKUP('Données projet'!$B$14,Paramètres!$A$1:$I$89,5,0)</f>
        <v>175.94719999999995</v>
      </c>
      <c r="DQ54" s="13">
        <f t="shared" si="43"/>
        <v>44.419321257789967</v>
      </c>
      <c r="DR54" s="20">
        <f t="shared" si="16"/>
        <v>383.80502452398406</v>
      </c>
      <c r="DS54" s="59">
        <f t="shared" si="17"/>
        <v>677.13835785731737</v>
      </c>
      <c r="DT54" s="59">
        <f ca="1">AVERAGE(OFFSET($DS$3,0,0,'Données projet'!$E$14+1,1))-AVERAGE(OFFSET($H$3,0,0,'Données projet'!$E$14+1,1))</f>
        <v>307.43900954374504</v>
      </c>
      <c r="DU54" s="59">
        <f t="shared" si="44"/>
        <v>185.25270859048999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48.774930991821314</v>
      </c>
      <c r="EB54" s="21">
        <f>EXP(-LN(2)/25)*EB53+(1-EXP(-LN(2)/25))/(LN(2)/25)*Calculateur!DW54*Calculateur!DY54*VLOOKUP('Données projet'!$B$14,Paramètres!$A$1:$I$89,3,0)*0.475*44/12</f>
        <v>14.927156535050022</v>
      </c>
      <c r="EC54" s="21">
        <f>EXP(-LN(2)/2)*EC53+(1-EXP(-LN(2)/2))/(LN(2)/2)*DW54*DZ54*VLOOKUP('Données projet'!$B$14,Paramètres!$A$1:$I$89,3,0)*0.475*44/12</f>
        <v>2.5155858333404137E-4</v>
      </c>
      <c r="ED54" s="22">
        <f t="shared" si="18"/>
        <v>63.702339085454675</v>
      </c>
      <c r="EE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11.533333333333331</v>
      </c>
      <c r="EJ54" s="12">
        <f>IF('Données projet'!$A$192&gt;35,EJ53+EI54-ER53,IF(A54&lt;'Données projet'!$A$192,$EG$205^A54,IF(A54='Données projet'!$A$192,'Données projet'!$B$192,EJ53+EI54-ER53)))</f>
        <v>339.40000000000009</v>
      </c>
      <c r="EK54" s="17">
        <f>EJ54*VLOOKUP('Données projet'!$B$15,Paramètres!$A$1:$I$89,3,0)*VLOOKUP('Données projet'!$B$15,Paramètres!$A$1:$I$89,5,0)</f>
        <v>211.78560000000004</v>
      </c>
      <c r="EL54" s="13">
        <f t="shared" si="45"/>
        <v>52.325591735507324</v>
      </c>
      <c r="EM54" s="20">
        <f t="shared" si="19"/>
        <v>459.99365893934191</v>
      </c>
      <c r="EN54" s="59">
        <f t="shared" si="20"/>
        <v>753.32699227267517</v>
      </c>
      <c r="EO54" s="59">
        <f ca="1">AVERAGE(OFFSET($EN$3,0,0,'Données projet'!$E$15+1,1))-AVERAGE(OFFSET($H$3,0,0,'Données projet'!$E$15+1,1))</f>
        <v>269.77739619445515</v>
      </c>
      <c r="EP54" s="59">
        <f t="shared" si="46"/>
        <v>347.56964743629885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66.800022912089418</v>
      </c>
      <c r="EW54" s="21">
        <f>EXP(-LN(2)/25)*EW53+(1-EXP(-LN(2)/25))/(LN(2)/25)*Calculateur!ER54*Calculateur!ET54*VLOOKUP('Données projet'!$B$15,Paramètres!$A$1:$I$89,3,0)*0.475*44/12</f>
        <v>51.251185548476883</v>
      </c>
      <c r="EX54" s="21">
        <f>EXP(-LN(2)/2)*EX53+(1-EXP(-LN(2)/2))/(LN(2)/2)*ER54*EU54*VLOOKUP('Données projet'!$B$15,Paramètres!$A$1:$I$89,3,0)*0.475*44/12</f>
        <v>1.7151721590957369E-5</v>
      </c>
      <c r="EY54" s="22">
        <f t="shared" si="21"/>
        <v>118.05122561228789</v>
      </c>
      <c r="EZ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8.4</v>
      </c>
      <c r="FE54" s="12">
        <f>IF('Données projet'!$A$218&gt;35,FE53+FD54-FM53,IF(A54&lt;'Données projet'!$A$218,$FB$205^A54,IF(A54='Données projet'!$A$218,'Données projet'!$B$218,FE53+FD54-FM53)))</f>
        <v>290.39999999999992</v>
      </c>
      <c r="FF54" s="17">
        <f>FE54*VLOOKUP('Données projet'!$B$16,Paramètres!$A$1:$I$89,3,0)*VLOOKUP('Données projet'!$B$16,Paramètres!$A$1:$I$89,5,0)</f>
        <v>231.04223999999994</v>
      </c>
      <c r="FG54" s="13">
        <f t="shared" si="47"/>
        <v>56.507978852931409</v>
      </c>
      <c r="FH54" s="20">
        <f t="shared" si="22"/>
        <v>500.81663116885539</v>
      </c>
      <c r="FI54" s="59">
        <f t="shared" si="23"/>
        <v>794.14996450218871</v>
      </c>
      <c r="FJ54" s="59">
        <f ca="1">AVERAGE(OFFSET($FI$3,0,0,'Données projet'!$E$16+1,1))-AVERAGE(OFFSET($H$3,0,0,'Données projet'!$E$16+1,1))</f>
        <v>331.52724290297675</v>
      </c>
      <c r="FK54" s="59">
        <f t="shared" si="48"/>
        <v>322.79102610158054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49.615705748244196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49.615705748244196</v>
      </c>
      <c r="FU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25.4</v>
      </c>
      <c r="FZ54" s="12">
        <f>IF('Données projet'!$A$244&gt;35,FZ53+FY54-GH53,IF(A54&lt;'Données projet'!$A$244,$FW$205^A54,IF(A54='Données projet'!$A$244,'Données projet'!$B$244,FZ53+FY54-GH53)))</f>
        <v>592.40000000000043</v>
      </c>
      <c r="GA54" s="17">
        <f>FZ54*VLOOKUP('Données projet'!$B$17,Paramètres!$A$1:$I$89,3,0)*VLOOKUP('Données projet'!$B$17,Paramètres!$A$1:$I$89,5,0)</f>
        <v>292.64560000000023</v>
      </c>
      <c r="GB54" s="13">
        <f t="shared" si="49"/>
        <v>69.632478699936527</v>
      </c>
      <c r="GC54" s="20">
        <f t="shared" si="25"/>
        <v>630.96765373572316</v>
      </c>
      <c r="GD54" s="59">
        <f t="shared" si="26"/>
        <v>924.30098706905642</v>
      </c>
      <c r="GE54" s="59">
        <f ca="1">AVERAGE(OFFSET($GD$3,0,0,'Données projet'!$E$17+1,1))-AVERAGE(OFFSET($H$3,0,0,'Données projet'!$E$17+1,1))</f>
        <v>434.08297999735811</v>
      </c>
      <c r="GF54" s="59">
        <f t="shared" si="50"/>
        <v>371.04090283546122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94.388523863802405</v>
      </c>
      <c r="GM54" s="21">
        <f>EXP(-LN(2)/25)*GM53+(1-EXP(-LN(2)/25))/(LN(2)/25)*Calculateur!GH54*Calculateur!GJ54*VLOOKUP('Données projet'!$B$17,Paramètres!$A$1:$I$89,3,0)*0.475*44/12</f>
        <v>28.886812183569035</v>
      </c>
      <c r="GN54" s="21">
        <f>EXP(-LN(2)/2)*GN53+(1-EXP(-LN(2)/2))/(LN(2)/2)*GH54*GK54*VLOOKUP('Données projet'!$B$17,Paramètres!$A$1:$I$89,3,0)*0.475*44/12</f>
        <v>5.1899839036341358E-4</v>
      </c>
      <c r="GO54" s="21">
        <f t="shared" si="27"/>
        <v>123.2758550457618</v>
      </c>
      <c r="GP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17.2</v>
      </c>
      <c r="GU54" s="12">
        <f>IF('Données projet'!$A$270&gt;35,GU53+GT54-HC53,IF(A54&lt;'Données projet'!$A$270,$GR$205^A54,IF(A54='Données projet'!$A$270,'Données projet'!$B$270,GU53+GT54-HC53)))</f>
        <v>354.20000000000005</v>
      </c>
      <c r="GV54" s="17">
        <f>GU54*VLOOKUP('Données projet'!$B$18,Paramètres!$A$1:$I$89,3,0)*VLOOKUP('Données projet'!$B$18,Paramètres!$A$1:$I$89,5,0)</f>
        <v>202.60240000000002</v>
      </c>
      <c r="GW54" s="13">
        <f t="shared" si="51"/>
        <v>50.315665440774559</v>
      </c>
      <c r="GX54" s="20">
        <f t="shared" si="28"/>
        <v>440.49896397601566</v>
      </c>
      <c r="GY54" s="59">
        <f t="shared" si="29"/>
        <v>733.83229730934897</v>
      </c>
      <c r="GZ54" s="59">
        <f ca="1">AVERAGE(OFFSET($GY$3,0,0,'Données projet'!$E$18+1,1))-AVERAGE(OFFSET($H$3,0,0,'Données projet'!$E$18+1,1))</f>
        <v>362.57172983134313</v>
      </c>
      <c r="HA54" s="59">
        <f t="shared" si="52"/>
        <v>232.03250917542471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56.904086157124894</v>
      </c>
      <c r="HH54" s="21">
        <f>EXP(-LN(2)/25)*HH53+(1-EXP(-LN(2)/25))/(LN(2)/25)*Calculateur!HC54*Calculateur!HE54*VLOOKUP('Données projet'!$B$18,Paramètres!$A$1:$I$89,3,0)*0.475*44/12</f>
        <v>17.415015957558364</v>
      </c>
      <c r="HI54" s="21">
        <f>EXP(-LN(2)/2)*HI53+(1-EXP(-LN(2)/2))/(LN(2)/2)*HC54*HF54*VLOOKUP('Données projet'!$B$18,Paramètres!$A$1:$I$89,3,0)*0.475*44/12</f>
        <v>5.1709264351997377E-4</v>
      </c>
      <c r="HJ54" s="22">
        <f t="shared" si="30"/>
        <v>74.319619207326781</v>
      </c>
    </row>
    <row r="55" spans="1:218" x14ac:dyDescent="0.3">
      <c r="A55" s="10">
        <f t="shared" si="31"/>
        <v>52</v>
      </c>
      <c r="B55" s="71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5">
        <f t="shared" si="1"/>
        <v>350.69723344960619</v>
      </c>
      <c r="I55" s="6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6</v>
      </c>
      <c r="N55" s="13">
        <f>IF('Données projet'!$A$36&gt;35,N54+M55-V54,IF(A55&lt;'Données projet'!$A$36,$K$205^A55,IF(A55='Données projet'!$A$36,'Données projet'!$B$36,N54+M55-V54)))</f>
        <v>213.99999999999989</v>
      </c>
      <c r="O55" s="13">
        <f>N55*VLOOKUP('Données projet'!$B$9,Paramètres!$A$1:$I$89,3,0)*VLOOKUP('Données projet'!$B$9,Paramètres!$A$1:$I$89,5,0)</f>
        <v>170.25839999999991</v>
      </c>
      <c r="P55" s="13">
        <f t="shared" si="33"/>
        <v>43.147891472685018</v>
      </c>
      <c r="Q55" s="20">
        <f t="shared" si="53"/>
        <v>371.68262431492622</v>
      </c>
      <c r="R55" s="59">
        <f t="shared" si="0"/>
        <v>665.01595764825947</v>
      </c>
      <c r="S55" s="59">
        <f ca="1">AVERAGE(OFFSET($R$3,0,0,'Données projet'!$E$9+1,1))-AVERAGE(OFFSET($H$3,0,0,'Données projet'!$E$9+1,1))</f>
        <v>225.2323446080772</v>
      </c>
      <c r="T55" s="59">
        <f t="shared" si="34"/>
        <v>222.29030402759292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36.15642100509033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36.15642100509033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21.6</v>
      </c>
      <c r="AI55" s="13">
        <f>IF('Données projet'!$A$62&gt;35,AI54+AH55-AQ54,IF(A55&lt;'Données projet'!$A$62,$AF$205^A55,IF(A55='Données projet'!$A$62,'Données projet'!$B$62,AI54+AH55-AQ54)))</f>
        <v>525.19999999999993</v>
      </c>
      <c r="AJ55" s="13">
        <f>AI55*VLOOKUP('Données projet'!$B$10,Paramètres!$A$1:$I$89,3,0)*VLOOKUP('Données projet'!$B$10,Paramètres!$A$1:$I$89,5,0)</f>
        <v>259.44879999999995</v>
      </c>
      <c r="AK55" s="13">
        <f t="shared" si="35"/>
        <v>62.604869882383277</v>
      </c>
      <c r="AL55" s="20">
        <f t="shared" si="4"/>
        <v>560.91014171181746</v>
      </c>
      <c r="AM55" s="59">
        <f t="shared" si="5"/>
        <v>854.24347504515072</v>
      </c>
      <c r="AN55" s="59">
        <f ca="1">AVERAGE(OFFSET($AM$3,0,0,'Données projet'!$E$10+1,1))-AVERAGE(OFFSET($H$3,0,0,'Données projet'!$E$10+1,1))</f>
        <v>360.05819346986135</v>
      </c>
      <c r="AO55" s="59">
        <f t="shared" si="36"/>
        <v>300.47468388351081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75.712600212666644</v>
      </c>
      <c r="AV55" s="21">
        <f>EXP(-LN(2)/25)*AV54+(1-EXP(-LN(2)/25))/(LN(2)/25)*Calculateur!AQ55*Calculateur!AS55*VLOOKUP('Données projet'!$B$10,Paramètres!$A$1:$I$89,3,0)*0.475*44/12</f>
        <v>22.988373369805551</v>
      </c>
      <c r="AW55" s="21">
        <f>EXP(-LN(2)/2)*AW54+(1-EXP(-LN(2)/2))/(LN(2)/2)*AQ55*AT55*VLOOKUP('Données projet'!$B$10,Paramètres!$A$1:$I$89,3,0)*0.475*44/12</f>
        <v>2.5603763808200416E-5</v>
      </c>
      <c r="AX55" s="21">
        <f t="shared" si="6"/>
        <v>98.70099918623599</v>
      </c>
      <c r="AY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13.6</v>
      </c>
      <c r="BD55" s="12">
        <f>IF('Données projet'!$A$88&gt;35,BD54+BC55-BL54,IF(A55&lt;'Données projet'!$A$88,$BA$205^A55,IF(A55='Données projet'!$A$88,'Données projet'!$B$88,BD54+BC55-BL54)))</f>
        <v>269.19999999999993</v>
      </c>
      <c r="BE55" s="13">
        <f>BD55*VLOOKUP('Données projet'!$B$11,Paramètres!$A$1:$I$89,3,0)*VLOOKUP('Données projet'!$B$11,Paramètres!$A$1:$I$89,5,0)</f>
        <v>153.98239999999996</v>
      </c>
      <c r="BF55" s="13">
        <f t="shared" si="37"/>
        <v>39.482215533662355</v>
      </c>
      <c r="BG55" s="20">
        <f t="shared" si="7"/>
        <v>336.95087205446185</v>
      </c>
      <c r="BH55" s="59">
        <f t="shared" si="8"/>
        <v>630.28420538779517</v>
      </c>
      <c r="BI55" s="59">
        <f ca="1">AVERAGE(OFFSET($BH$3,0,0,'Données projet'!$E$11+1,1))-AVERAGE(OFFSET($H$3,0,0,'Données projet'!$E$11+1,1))</f>
        <v>250.90038883668348</v>
      </c>
      <c r="BJ55" s="59">
        <f t="shared" si="38"/>
        <v>141.96132114475608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39.848736954035061</v>
      </c>
      <c r="BQ55" s="21">
        <f>EXP(-LN(2)/25)*BQ54+(1-EXP(-LN(2)/25))/(LN(2)/25)*Calculateur!BL55*Calculateur!BN55*VLOOKUP('Données projet'!$B$11,Paramètres!$A$1:$I$89,3,0)*0.475*44/12</f>
        <v>6.4682260486586127</v>
      </c>
      <c r="BR55" s="21">
        <f>EXP(-LN(2)/2)*BR54+(1-EXP(-LN(2)/2))/(LN(2)/2)*BL55*BO55*VLOOKUP('Données projet'!$B$11,Paramètres!$A$1:$I$89,3,0)*0.475*44/12</f>
        <v>1.8447629444496402E-3</v>
      </c>
      <c r="BS55" s="22">
        <f t="shared" si="9"/>
        <v>46.318807765638127</v>
      </c>
      <c r="BT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7.4</v>
      </c>
      <c r="BY55" s="12">
        <f>IF('Données projet'!$A$114&gt;35,BY54+BX55-CG54,IF(A55&lt;'Données projet'!$A$114,$BV$205^A55,IF(A55='Données projet'!$A$114,'Données projet'!$B$114,BY54+BX55-CG54)))</f>
        <v>256.8</v>
      </c>
      <c r="BZ55" s="13">
        <f>BY55*VLOOKUP('Données projet'!$B$12,Paramètres!$A$1:$I$89,3,0)*VLOOKUP('Données projet'!$B$12,Paramètres!$A$1:$I$89,5,0)</f>
        <v>204.31008000000003</v>
      </c>
      <c r="CA55" s="13">
        <f t="shared" si="39"/>
        <v>50.690214235398379</v>
      </c>
      <c r="CB55" s="20">
        <f t="shared" si="10"/>
        <v>444.12551245998549</v>
      </c>
      <c r="CC55" s="59">
        <f t="shared" si="11"/>
        <v>737.4588457933188</v>
      </c>
      <c r="CD55" s="59">
        <f ca="1">AVERAGE(OFFSET($CC$3,0,0,'Données projet'!$E$12+1,1))-AVERAGE(OFFSET($H$3,0,0,'Données projet'!$E$12+1,1))</f>
        <v>279.49721661620544</v>
      </c>
      <c r="CE55" s="59">
        <f t="shared" si="40"/>
        <v>275.18739333988754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42.767138932845469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42.767138932845469</v>
      </c>
      <c r="CO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23.4</v>
      </c>
      <c r="CT55" s="12">
        <f>IF('Données projet'!$A$140&gt;35,CT54+CS55-DB54,IF(A55&lt;'Données projet'!$A$140,$CQ$205^A55,IF(A55='Données projet'!$A$140,'Données projet'!$B$140,CT54+CS55-DB54)))</f>
        <v>569.80000000000007</v>
      </c>
      <c r="CU55" s="17">
        <f>CT55*VLOOKUP('Données projet'!$B$13,Paramètres!$A$1:$I$89,3,0)*VLOOKUP('Données projet'!$B$13,Paramètres!$A$1:$I$89,5,0)</f>
        <v>281.48120000000006</v>
      </c>
      <c r="CV55" s="13">
        <f t="shared" si="41"/>
        <v>67.279932837741256</v>
      </c>
      <c r="CW55" s="20">
        <f t="shared" si="13"/>
        <v>607.42563969239939</v>
      </c>
      <c r="CX55" s="59">
        <f t="shared" si="14"/>
        <v>900.75897302573276</v>
      </c>
      <c r="CY55" s="59">
        <f ca="1">AVERAGE(OFFSET($CX$3,0,0,'Données projet'!$E$13+1,1))-AVERAGE(OFFSET($H$3,0,0,'Données projet'!$E$13+1,1))</f>
        <v>396.27049617044378</v>
      </c>
      <c r="CZ55" s="59">
        <f t="shared" si="42"/>
        <v>335.2680289568774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84.125111347407355</v>
      </c>
      <c r="DG55" s="21">
        <f>EXP(-LN(2)/25)*DG54+(1-EXP(-LN(2)/25))/(LN(2)/25)*Calculateur!DB55*Calculateur!DD55*VLOOKUP('Données projet'!$B$13,Paramètres!$A$1:$I$89,3,0)*0.475*44/12</f>
        <v>25.542637077561725</v>
      </c>
      <c r="DH55" s="21">
        <f>EXP(-LN(2)/2)*DH54+(1-EXP(-LN(2)/2))/(LN(2)/2)*DB55*DE55*VLOOKUP('Données projet'!$B$13,Paramètres!$A$1:$I$89,3,0)*0.475*44/12</f>
        <v>1.8776093459346984E-4</v>
      </c>
      <c r="DI55" s="22">
        <f t="shared" si="15"/>
        <v>109.66793618590367</v>
      </c>
      <c r="DJ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15.6</v>
      </c>
      <c r="DO55" s="12">
        <f>IF('Données projet'!$A$166&gt;35,DO54+DN55-DW54,IF(A55&lt;'Données projet'!$A$166,$DL$205^A55,IF(A55='Données projet'!$A$166,'Données projet'!$B$166,DO54+DN55-DW54)))</f>
        <v>323.19999999999993</v>
      </c>
      <c r="DP55" s="17">
        <f>DO55*VLOOKUP('Données projet'!$B$14,Paramètres!$A$1:$I$89,3,0)*VLOOKUP('Données projet'!$B$14,Paramètres!$A$1:$I$89,5,0)</f>
        <v>184.87039999999996</v>
      </c>
      <c r="DQ55" s="13">
        <f t="shared" si="43"/>
        <v>46.404071002195188</v>
      </c>
      <c r="DR55" s="20">
        <f t="shared" si="16"/>
        <v>402.80303699548989</v>
      </c>
      <c r="DS55" s="59">
        <f t="shared" si="17"/>
        <v>696.1363703288232</v>
      </c>
      <c r="DT55" s="59">
        <f ca="1">AVERAGE(OFFSET($DS$3,0,0,'Données projet'!$E$14+1,1))-AVERAGE(OFFSET($H$3,0,0,'Données projet'!$E$14+1,1))</f>
        <v>307.43900954374504</v>
      </c>
      <c r="DU55" s="59">
        <f t="shared" si="44"/>
        <v>185.25270859048999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47.818484344842055</v>
      </c>
      <c r="EB55" s="21">
        <f>EXP(-LN(2)/25)*EB54+(1-EXP(-LN(2)/25))/(LN(2)/25)*Calculateur!DW55*Calculateur!DY55*VLOOKUP('Données projet'!$B$14,Paramètres!$A$1:$I$89,3,0)*0.475*44/12</f>
        <v>14.518972654614034</v>
      </c>
      <c r="EC55" s="21">
        <f>EXP(-LN(2)/2)*EC54+(1-EXP(-LN(2)/2))/(LN(2)/2)*DW55*DZ55*VLOOKUP('Données projet'!$B$14,Paramètres!$A$1:$I$89,3,0)*0.475*44/12</f>
        <v>1.7787878014118187E-4</v>
      </c>
      <c r="ED55" s="22">
        <f t="shared" si="18"/>
        <v>62.33763487823623</v>
      </c>
      <c r="EE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11.533333333333331</v>
      </c>
      <c r="EJ55" s="12">
        <f>IF('Données projet'!$A$192&gt;35,EJ54+EI55-ER54,IF(A55&lt;'Données projet'!$A$192,$EG$205^A55,IF(A55='Données projet'!$A$192,'Données projet'!$B$192,EJ54+EI55-ER54)))</f>
        <v>350.93333333333339</v>
      </c>
      <c r="EK55" s="17">
        <f>EJ55*VLOOKUP('Données projet'!$B$15,Paramètres!$A$1:$I$89,3,0)*VLOOKUP('Données projet'!$B$15,Paramètres!$A$1:$I$89,5,0)</f>
        <v>218.98240000000004</v>
      </c>
      <c r="EL55" s="13">
        <f t="shared" si="45"/>
        <v>53.893655746249046</v>
      </c>
      <c r="EM55" s="20">
        <f t="shared" si="19"/>
        <v>475.25913042471711</v>
      </c>
      <c r="EN55" s="59">
        <f t="shared" si="20"/>
        <v>768.59246375805037</v>
      </c>
      <c r="EO55" s="59">
        <f ca="1">AVERAGE(OFFSET($EN$3,0,0,'Données projet'!$E$15+1,1))-AVERAGE(OFFSET($H$3,0,0,'Données projet'!$E$15+1,1))</f>
        <v>269.77739619445515</v>
      </c>
      <c r="EP55" s="59">
        <f t="shared" si="46"/>
        <v>347.56964743629885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65.490115206774192</v>
      </c>
      <c r="EW55" s="21">
        <f>EXP(-LN(2)/25)*EW54+(1-EXP(-LN(2)/25))/(LN(2)/25)*Calculateur!ER55*Calculateur!ET55*VLOOKUP('Données projet'!$B$15,Paramètres!$A$1:$I$89,3,0)*0.475*44/12</f>
        <v>49.84971918447107</v>
      </c>
      <c r="EX55" s="21">
        <f>EXP(-LN(2)/2)*EX54+(1-EXP(-LN(2)/2))/(LN(2)/2)*ER55*EU55*VLOOKUP('Données projet'!$B$15,Paramètres!$A$1:$I$89,3,0)*0.475*44/12</f>
        <v>1.2128098645989675E-5</v>
      </c>
      <c r="EY55" s="22">
        <f t="shared" si="21"/>
        <v>115.33984651934391</v>
      </c>
      <c r="EZ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8.4</v>
      </c>
      <c r="FE55" s="12">
        <f>IF('Données projet'!$A$218&gt;35,FE54+FD55-FM54,IF(A55&lt;'Données projet'!$A$218,$FB$205^A55,IF(A55='Données projet'!$A$218,'Données projet'!$B$218,FE54+FD55-FM54)))</f>
        <v>298.7999999999999</v>
      </c>
      <c r="FF55" s="17">
        <f>FE55*VLOOKUP('Données projet'!$B$16,Paramètres!$A$1:$I$89,3,0)*VLOOKUP('Données projet'!$B$16,Paramètres!$A$1:$I$89,5,0)</f>
        <v>237.72527999999994</v>
      </c>
      <c r="FG55" s="13">
        <f t="shared" si="47"/>
        <v>57.949842464086196</v>
      </c>
      <c r="FH55" s="20">
        <f t="shared" si="22"/>
        <v>514.96750495828326</v>
      </c>
      <c r="FI55" s="59">
        <f t="shared" si="23"/>
        <v>808.30083829161663</v>
      </c>
      <c r="FJ55" s="59">
        <f ca="1">AVERAGE(OFFSET($FI$3,0,0,'Données projet'!$E$16+1,1))-AVERAGE(OFFSET($H$3,0,0,'Données projet'!$E$16+1,1))</f>
        <v>331.52724290297675</v>
      </c>
      <c r="FK55" s="59">
        <f t="shared" si="48"/>
        <v>322.79102610158054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48.642772021113451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48.642772021113451</v>
      </c>
      <c r="FU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25.4</v>
      </c>
      <c r="FZ55" s="12">
        <f>IF('Données projet'!$A$244&gt;35,FZ54+FY55-GH54,IF(A55&lt;'Données projet'!$A$244,$FW$205^A55,IF(A55='Données projet'!$A$244,'Données projet'!$B$244,FZ54+FY55-GH54)))</f>
        <v>617.80000000000041</v>
      </c>
      <c r="GA55" s="17">
        <f>FZ55*VLOOKUP('Données projet'!$B$17,Paramètres!$A$1:$I$89,3,0)*VLOOKUP('Données projet'!$B$17,Paramètres!$A$1:$I$89,5,0)</f>
        <v>305.19320000000022</v>
      </c>
      <c r="GB55" s="13">
        <f t="shared" si="49"/>
        <v>72.264067831876773</v>
      </c>
      <c r="GC55" s="20">
        <f t="shared" si="25"/>
        <v>657.40474147385248</v>
      </c>
      <c r="GD55" s="59">
        <f t="shared" si="26"/>
        <v>950.73807480718574</v>
      </c>
      <c r="GE55" s="59">
        <f ca="1">AVERAGE(OFFSET($GD$3,0,0,'Données projet'!$E$17+1,1))-AVERAGE(OFFSET($H$3,0,0,'Données projet'!$E$17+1,1))</f>
        <v>434.08297999735811</v>
      </c>
      <c r="GF55" s="59">
        <f t="shared" si="50"/>
        <v>371.04090283546122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92.537622482148095</v>
      </c>
      <c r="GM55" s="21">
        <f>EXP(-LN(2)/25)*GM54+(1-EXP(-LN(2)/25))/(LN(2)/25)*Calculateur!GH55*Calculateur!GJ55*VLOOKUP('Données projet'!$B$17,Paramètres!$A$1:$I$89,3,0)*0.475*44/12</f>
        <v>28.09690078531791</v>
      </c>
      <c r="GN55" s="21">
        <f>EXP(-LN(2)/2)*GN54+(1-EXP(-LN(2)/2))/(LN(2)/2)*GH55*GK55*VLOOKUP('Données projet'!$B$17,Paramètres!$A$1:$I$89,3,0)*0.475*44/12</f>
        <v>3.6698728125087268E-4</v>
      </c>
      <c r="GO55" s="21">
        <f t="shared" si="27"/>
        <v>120.63489025474726</v>
      </c>
      <c r="GP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17.2</v>
      </c>
      <c r="GU55" s="12">
        <f>IF('Données projet'!$A$270&gt;35,GU54+GT55-HC54,IF(A55&lt;'Données projet'!$A$270,$GR$205^A55,IF(A55='Données projet'!$A$270,'Données projet'!$B$270,GU54+GT55-HC54)))</f>
        <v>371.40000000000003</v>
      </c>
      <c r="GV55" s="17">
        <f>GU55*VLOOKUP('Données projet'!$B$18,Paramètres!$A$1:$I$89,3,0)*VLOOKUP('Données projet'!$B$18,Paramètres!$A$1:$I$89,5,0)</f>
        <v>212.44080000000005</v>
      </c>
      <c r="GW55" s="13">
        <f t="shared" si="51"/>
        <v>52.468602656478758</v>
      </c>
      <c r="GX55" s="20">
        <f t="shared" si="28"/>
        <v>461.38387629336717</v>
      </c>
      <c r="GY55" s="59">
        <f t="shared" si="29"/>
        <v>754.71720962670042</v>
      </c>
      <c r="GZ55" s="59">
        <f ca="1">AVERAGE(OFFSET($GY$3,0,0,'Données projet'!$E$18+1,1))-AVERAGE(OFFSET($H$3,0,0,'Données projet'!$E$18+1,1))</f>
        <v>362.57172983134313</v>
      </c>
      <c r="HA55" s="59">
        <f t="shared" si="52"/>
        <v>232.03250917542471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55.788231735649092</v>
      </c>
      <c r="HH55" s="21">
        <f>EXP(-LN(2)/25)*HH54+(1-EXP(-LN(2)/25))/(LN(2)/25)*Calculateur!HC55*Calculateur!HE55*VLOOKUP('Données projet'!$B$18,Paramètres!$A$1:$I$89,3,0)*0.475*44/12</f>
        <v>16.938801430383045</v>
      </c>
      <c r="HI55" s="21">
        <f>EXP(-LN(2)/2)*HI54+(1-EXP(-LN(2)/2))/(LN(2)/2)*HC55*HF55*VLOOKUP('Données projet'!$B$18,Paramètres!$A$1:$I$89,3,0)*0.475*44/12</f>
        <v>3.6563971473465152E-4</v>
      </c>
      <c r="HJ55" s="22">
        <f t="shared" si="30"/>
        <v>72.727398805746859</v>
      </c>
    </row>
    <row r="56" spans="1:218" x14ac:dyDescent="0.3">
      <c r="A56" s="10">
        <f t="shared" si="31"/>
        <v>53</v>
      </c>
      <c r="B56" s="71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5">
        <f t="shared" si="1"/>
        <v>351.76923100223922</v>
      </c>
      <c r="I56" s="6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6</v>
      </c>
      <c r="N56" s="13">
        <f>IF('Données projet'!$A$36&gt;35,N55+M56-V55,IF(A56&lt;'Données projet'!$A$36,$K$205^A56,IF(A56='Données projet'!$A$36,'Données projet'!$B$36,N55+M56-V55)))</f>
        <v>219.99999999999989</v>
      </c>
      <c r="O56" s="13">
        <f>N56*VLOOKUP('Données projet'!$B$9,Paramètres!$A$1:$I$89,3,0)*VLOOKUP('Données projet'!$B$9,Paramètres!$A$1:$I$89,5,0)</f>
        <v>175.03199999999993</v>
      </c>
      <c r="P56" s="13">
        <f t="shared" si="33"/>
        <v>44.215103743191008</v>
      </c>
      <c r="Q56" s="20">
        <f t="shared" si="53"/>
        <v>381.85537235272426</v>
      </c>
      <c r="R56" s="59">
        <f t="shared" si="0"/>
        <v>675.18870568605757</v>
      </c>
      <c r="S56" s="59">
        <f ca="1">AVERAGE(OFFSET($R$3,0,0,'Données projet'!$E$9+1,1))-AVERAGE(OFFSET($H$3,0,0,'Données projet'!$E$9+1,1))</f>
        <v>225.2323446080772</v>
      </c>
      <c r="T56" s="59">
        <f t="shared" si="34"/>
        <v>222.29030402759292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35.447415642419742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35.447415642419742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21.6</v>
      </c>
      <c r="AI56" s="13">
        <f>IF('Données projet'!$A$62&gt;35,AI55+AH56-AQ55,IF(A56&lt;'Données projet'!$A$62,$AF$205^A56,IF(A56='Données projet'!$A$62,'Données projet'!$B$62,AI55+AH56-AQ55)))</f>
        <v>546.79999999999995</v>
      </c>
      <c r="AJ56" s="13">
        <f>AI56*VLOOKUP('Données projet'!$B$10,Paramètres!$A$1:$I$89,3,0)*VLOOKUP('Données projet'!$B$10,Paramètres!$A$1:$I$89,5,0)</f>
        <v>270.11919999999998</v>
      </c>
      <c r="AK56" s="13">
        <f t="shared" si="35"/>
        <v>64.874565886358468</v>
      </c>
      <c r="AL56" s="20">
        <f t="shared" si="4"/>
        <v>583.44747558540769</v>
      </c>
      <c r="AM56" s="59">
        <f t="shared" si="5"/>
        <v>876.78080891874106</v>
      </c>
      <c r="AN56" s="59">
        <f ca="1">AVERAGE(OFFSET($AM$3,0,0,'Données projet'!$E$10+1,1))-AVERAGE(OFFSET($H$3,0,0,'Données projet'!$E$10+1,1))</f>
        <v>360.05819346986135</v>
      </c>
      <c r="AO56" s="59">
        <f t="shared" si="36"/>
        <v>300.47468388351081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74.227922302622474</v>
      </c>
      <c r="AV56" s="21">
        <f>EXP(-LN(2)/25)*AV55+(1-EXP(-LN(2)/25))/(LN(2)/25)*Calculateur!AQ56*Calculateur!AS56*VLOOKUP('Données projet'!$B$10,Paramètres!$A$1:$I$89,3,0)*0.475*44/12</f>
        <v>22.359755091102205</v>
      </c>
      <c r="AW56" s="21">
        <f>EXP(-LN(2)/2)*AW55+(1-EXP(-LN(2)/2))/(LN(2)/2)*AQ56*AT56*VLOOKUP('Données projet'!$B$10,Paramètres!$A$1:$I$89,3,0)*0.475*44/12</f>
        <v>1.8104595012677216E-5</v>
      </c>
      <c r="AX56" s="21">
        <f t="shared" si="6"/>
        <v>96.58769549831969</v>
      </c>
      <c r="AY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13.6</v>
      </c>
      <c r="BD56" s="12">
        <f>IF('Données projet'!$A$88&gt;35,BD55+BC56-BL55,IF(A56&lt;'Données projet'!$A$88,$BA$205^A56,IF(A56='Données projet'!$A$88,'Données projet'!$B$88,BD55+BC56-BL55)))</f>
        <v>282.79999999999995</v>
      </c>
      <c r="BE56" s="13">
        <f>BD56*VLOOKUP('Données projet'!$B$11,Paramètres!$A$1:$I$89,3,0)*VLOOKUP('Données projet'!$B$11,Paramètres!$A$1:$I$89,5,0)</f>
        <v>161.76159999999996</v>
      </c>
      <c r="BF56" s="13">
        <f t="shared" si="37"/>
        <v>41.239595636690041</v>
      </c>
      <c r="BG56" s="20">
        <f t="shared" si="7"/>
        <v>353.56041573390172</v>
      </c>
      <c r="BH56" s="59">
        <f t="shared" si="8"/>
        <v>646.89374906723503</v>
      </c>
      <c r="BI56" s="59">
        <f ca="1">AVERAGE(OFFSET($BH$3,0,0,'Données projet'!$E$11+1,1))-AVERAGE(OFFSET($H$3,0,0,'Données projet'!$E$11+1,1))</f>
        <v>250.90038883668348</v>
      </c>
      <c r="BJ56" s="59">
        <f t="shared" si="38"/>
        <v>141.96132114475608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39.067327527696023</v>
      </c>
      <c r="BQ56" s="21">
        <f>EXP(-LN(2)/25)*BQ55+(1-EXP(-LN(2)/25))/(LN(2)/25)*Calculateur!BL56*Calculateur!BN56*VLOOKUP('Données projet'!$B$11,Paramètres!$A$1:$I$89,3,0)*0.475*44/12</f>
        <v>6.2913520672088188</v>
      </c>
      <c r="BR56" s="21">
        <f>EXP(-LN(2)/2)*BR55+(1-EXP(-LN(2)/2))/(LN(2)/2)*BL56*BO56*VLOOKUP('Données projet'!$B$11,Paramètres!$A$1:$I$89,3,0)*0.475*44/12</f>
        <v>1.304444387702003E-3</v>
      </c>
      <c r="BS56" s="22">
        <f t="shared" si="9"/>
        <v>45.359984039292542</v>
      </c>
      <c r="BT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7.4</v>
      </c>
      <c r="BY56" s="12">
        <f>IF('Données projet'!$A$114&gt;35,BY55+BX56-CG55,IF(A56&lt;'Données projet'!$A$114,$BV$205^A56,IF(A56='Données projet'!$A$114,'Données projet'!$B$114,BY55+BX56-CG55)))</f>
        <v>264.2</v>
      </c>
      <c r="BZ56" s="13">
        <f>BY56*VLOOKUP('Données projet'!$B$12,Paramètres!$A$1:$I$89,3,0)*VLOOKUP('Données projet'!$B$12,Paramètres!$A$1:$I$89,5,0)</f>
        <v>210.19752</v>
      </c>
      <c r="CA56" s="13">
        <f t="shared" si="39"/>
        <v>51.978746425856599</v>
      </c>
      <c r="CB56" s="20">
        <f t="shared" si="10"/>
        <v>456.62366402503358</v>
      </c>
      <c r="CC56" s="59">
        <f t="shared" si="11"/>
        <v>749.95699735836683</v>
      </c>
      <c r="CD56" s="59">
        <f ca="1">AVERAGE(OFFSET($CC$3,0,0,'Données projet'!$E$12+1,1))-AVERAGE(OFFSET($H$3,0,0,'Données projet'!$E$12+1,1))</f>
        <v>279.49721661620544</v>
      </c>
      <c r="CE56" s="59">
        <f t="shared" si="40"/>
        <v>275.18739333988754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41.928501423751399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41.928501423751399</v>
      </c>
      <c r="CO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23.4</v>
      </c>
      <c r="CT56" s="12">
        <f>IF('Données projet'!$A$140&gt;35,CT55+CS56-DB55,IF(A56&lt;'Données projet'!$A$140,$CQ$205^A56,IF(A56='Données projet'!$A$140,'Données projet'!$B$140,CT55+CS56-DB55)))</f>
        <v>593.20000000000005</v>
      </c>
      <c r="CU56" s="17">
        <f>CT56*VLOOKUP('Données projet'!$B$13,Paramètres!$A$1:$I$89,3,0)*VLOOKUP('Données projet'!$B$13,Paramètres!$A$1:$I$89,5,0)</f>
        <v>293.04080000000005</v>
      </c>
      <c r="CV56" s="13">
        <f t="shared" si="41"/>
        <v>69.715560975209158</v>
      </c>
      <c r="CW56" s="20">
        <f t="shared" si="13"/>
        <v>631.80066203182264</v>
      </c>
      <c r="CX56" s="59">
        <f t="shared" si="14"/>
        <v>925.1339953651559</v>
      </c>
      <c r="CY56" s="59">
        <f ca="1">AVERAGE(OFFSET($CX$3,0,0,'Données projet'!$E$13+1,1))-AVERAGE(OFFSET($H$3,0,0,'Données projet'!$E$13+1,1))</f>
        <v>396.27049617044378</v>
      </c>
      <c r="CZ56" s="59">
        <f t="shared" si="42"/>
        <v>335.2680289568774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82.475469225136052</v>
      </c>
      <c r="DG56" s="21">
        <f>EXP(-LN(2)/25)*DG55+(1-EXP(-LN(2)/25))/(LN(2)/25)*Calculateur!DB56*Calculateur!DD56*VLOOKUP('Données projet'!$B$13,Paramètres!$A$1:$I$89,3,0)*0.475*44/12</f>
        <v>24.844172323446895</v>
      </c>
      <c r="DH56" s="21">
        <f>EXP(-LN(2)/2)*DH55+(1-EXP(-LN(2)/2))/(LN(2)/2)*DB56*DE56*VLOOKUP('Données projet'!$B$13,Paramètres!$A$1:$I$89,3,0)*0.475*44/12</f>
        <v>1.3276703009296634E-4</v>
      </c>
      <c r="DI56" s="22">
        <f t="shared" si="15"/>
        <v>107.31977431561305</v>
      </c>
      <c r="DJ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15.6</v>
      </c>
      <c r="DO56" s="12">
        <f>IF('Données projet'!$A$166&gt;35,DO55+DN56-DW55,IF(A56&lt;'Données projet'!$A$166,$DL$205^A56,IF(A56='Données projet'!$A$166,'Données projet'!$B$166,DO55+DN56-DW55)))</f>
        <v>338.79999999999995</v>
      </c>
      <c r="DP56" s="17">
        <f>DO56*VLOOKUP('Données projet'!$B$14,Paramètres!$A$1:$I$89,3,0)*VLOOKUP('Données projet'!$B$14,Paramètres!$A$1:$I$89,5,0)</f>
        <v>193.79359999999997</v>
      </c>
      <c r="DQ56" s="13">
        <f t="shared" si="43"/>
        <v>48.377696499352545</v>
      </c>
      <c r="DR56" s="20">
        <f t="shared" si="16"/>
        <v>421.78167473637228</v>
      </c>
      <c r="DS56" s="59">
        <f t="shared" si="17"/>
        <v>715.1150080697056</v>
      </c>
      <c r="DT56" s="59">
        <f ca="1">AVERAGE(OFFSET($DS$3,0,0,'Données projet'!$E$14+1,1))-AVERAGE(OFFSET($H$3,0,0,'Données projet'!$E$14+1,1))</f>
        <v>307.43900954374504</v>
      </c>
      <c r="DU56" s="59">
        <f t="shared" si="44"/>
        <v>185.25270859048999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46.880793033235207</v>
      </c>
      <c r="EB56" s="21">
        <f>EXP(-LN(2)/25)*EB55+(1-EXP(-LN(2)/25))/(LN(2)/25)*Calculateur!DW56*Calculateur!DY56*VLOOKUP('Données projet'!$B$14,Paramètres!$A$1:$I$89,3,0)*0.475*44/12</f>
        <v>14.121950583854025</v>
      </c>
      <c r="EC56" s="21">
        <f>EXP(-LN(2)/2)*EC55+(1-EXP(-LN(2)/2))/(LN(2)/2)*DW56*DZ56*VLOOKUP('Données projet'!$B$14,Paramètres!$A$1:$I$89,3,0)*0.475*44/12</f>
        <v>1.2577929166702068E-4</v>
      </c>
      <c r="ED56" s="22">
        <f t="shared" si="18"/>
        <v>61.002869396380895</v>
      </c>
      <c r="EE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11.533333333333331</v>
      </c>
      <c r="EJ56" s="12">
        <f>IF('Données projet'!$A$192&gt;35,EJ55+EI56-ER55,IF(A56&lt;'Données projet'!$A$192,$EG$205^A56,IF(A56='Données projet'!$A$192,'Données projet'!$B$192,EJ55+EI56-ER55)))</f>
        <v>362.4666666666667</v>
      </c>
      <c r="EK56" s="17">
        <f>EJ56*VLOOKUP('Données projet'!$B$15,Paramètres!$A$1:$I$89,3,0)*VLOOKUP('Données projet'!$B$15,Paramètres!$A$1:$I$89,5,0)</f>
        <v>226.17920000000001</v>
      </c>
      <c r="EL56" s="13">
        <f t="shared" si="45"/>
        <v>55.455731517393232</v>
      </c>
      <c r="EM56" s="20">
        <f t="shared" si="19"/>
        <v>490.51417239279317</v>
      </c>
      <c r="EN56" s="59">
        <f t="shared" si="20"/>
        <v>783.84750572612643</v>
      </c>
      <c r="EO56" s="59">
        <f ca="1">AVERAGE(OFFSET($EN$3,0,0,'Données projet'!$E$15+1,1))-AVERAGE(OFFSET($H$3,0,0,'Données projet'!$E$15+1,1))</f>
        <v>269.77739619445515</v>
      </c>
      <c r="EP56" s="59">
        <f t="shared" si="46"/>
        <v>347.56964743629885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64.205893992595378</v>
      </c>
      <c r="EW56" s="21">
        <f>EXP(-LN(2)/25)*EW55+(1-EXP(-LN(2)/25))/(LN(2)/25)*Calculateur!ER56*Calculateur!ET56*VLOOKUP('Données projet'!$B$15,Paramètres!$A$1:$I$89,3,0)*0.475*44/12</f>
        <v>48.486575991888913</v>
      </c>
      <c r="EX56" s="21">
        <f>EXP(-LN(2)/2)*EX55+(1-EXP(-LN(2)/2))/(LN(2)/2)*ER56*EU56*VLOOKUP('Données projet'!$B$15,Paramètres!$A$1:$I$89,3,0)*0.475*44/12</f>
        <v>8.5758607954786843E-6</v>
      </c>
      <c r="EY56" s="22">
        <f t="shared" si="21"/>
        <v>112.69247856034508</v>
      </c>
      <c r="EZ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8.4</v>
      </c>
      <c r="FE56" s="12">
        <f>IF('Données projet'!$A$218&gt;35,FE55+FD56-FM55,IF(A56&lt;'Données projet'!$A$218,$FB$205^A56,IF(A56='Données projet'!$A$218,'Données projet'!$B$218,FE55+FD56-FM55)))</f>
        <v>307.19999999999987</v>
      </c>
      <c r="FF56" s="17">
        <f>FE56*VLOOKUP('Données projet'!$B$16,Paramètres!$A$1:$I$89,3,0)*VLOOKUP('Données projet'!$B$16,Paramètres!$A$1:$I$89,5,0)</f>
        <v>244.40831999999992</v>
      </c>
      <c r="FG56" s="13">
        <f t="shared" si="47"/>
        <v>59.38699493610541</v>
      </c>
      <c r="FH56" s="20">
        <f t="shared" si="22"/>
        <v>529.11017351371675</v>
      </c>
      <c r="FI56" s="59">
        <f t="shared" si="23"/>
        <v>822.44350684705</v>
      </c>
      <c r="FJ56" s="59">
        <f ca="1">AVERAGE(OFFSET($FI$3,0,0,'Données projet'!$E$16+1,1))-AVERAGE(OFFSET($H$3,0,0,'Données projet'!$E$16+1,1))</f>
        <v>331.52724290297675</v>
      </c>
      <c r="FK56" s="59">
        <f t="shared" si="48"/>
        <v>322.79102610158054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47.688916930940763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47.688916930940763</v>
      </c>
      <c r="FU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25.4</v>
      </c>
      <c r="FZ56" s="12">
        <f>IF('Données projet'!$A$244&gt;35,FZ55+FY56-GH55,IF(A56&lt;'Données projet'!$A$244,$FW$205^A56,IF(A56='Données projet'!$A$244,'Données projet'!$B$244,FZ55+FY56-GH55)))</f>
        <v>643.20000000000039</v>
      </c>
      <c r="GA56" s="17">
        <f>FZ56*VLOOKUP('Données projet'!$B$17,Paramètres!$A$1:$I$89,3,0)*VLOOKUP('Données projet'!$B$17,Paramètres!$A$1:$I$89,5,0)</f>
        <v>317.74080000000021</v>
      </c>
      <c r="GB56" s="13">
        <f t="shared" si="49"/>
        <v>74.883089508794882</v>
      </c>
      <c r="GC56" s="20">
        <f t="shared" si="25"/>
        <v>683.81994089448472</v>
      </c>
      <c r="GD56" s="59">
        <f t="shared" si="26"/>
        <v>977.15327422781797</v>
      </c>
      <c r="GE56" s="59">
        <f ca="1">AVERAGE(OFFSET($GD$3,0,0,'Données projet'!$E$17+1,1))-AVERAGE(OFFSET($H$3,0,0,'Données projet'!$E$17+1,1))</f>
        <v>434.08297999735811</v>
      </c>
      <c r="GF56" s="59">
        <f t="shared" si="50"/>
        <v>371.04090283546122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90.723016147649659</v>
      </c>
      <c r="GM56" s="21">
        <f>EXP(-LN(2)/25)*GM55+(1-EXP(-LN(2)/25))/(LN(2)/25)*Calculateur!GH56*Calculateur!GJ56*VLOOKUP('Données projet'!$B$17,Paramètres!$A$1:$I$89,3,0)*0.475*44/12</f>
        <v>27.328589555791595</v>
      </c>
      <c r="GN56" s="21">
        <f>EXP(-LN(2)/2)*GN55+(1-EXP(-LN(2)/2))/(LN(2)/2)*GH56*GK56*VLOOKUP('Données projet'!$B$17,Paramètres!$A$1:$I$89,3,0)*0.475*44/12</f>
        <v>2.5949919518170679E-4</v>
      </c>
      <c r="GO56" s="21">
        <f t="shared" si="27"/>
        <v>118.05186520263644</v>
      </c>
      <c r="GP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17.2</v>
      </c>
      <c r="GU56" s="12">
        <f>IF('Données projet'!$A$270&gt;35,GU55+GT56-HC55,IF(A56&lt;'Données projet'!$A$270,$GR$205^A56,IF(A56='Données projet'!$A$270,'Données projet'!$B$270,GU55+GT56-HC55)))</f>
        <v>388.6</v>
      </c>
      <c r="GV56" s="17">
        <f>GU56*VLOOKUP('Données projet'!$B$18,Paramètres!$A$1:$I$89,3,0)*VLOOKUP('Données projet'!$B$18,Paramètres!$A$1:$I$89,5,0)</f>
        <v>222.27920000000003</v>
      </c>
      <c r="GW56" s="13">
        <f t="shared" si="51"/>
        <v>54.609961038708526</v>
      </c>
      <c r="GX56" s="20">
        <f t="shared" si="28"/>
        <v>482.24862214241739</v>
      </c>
      <c r="GY56" s="59">
        <f t="shared" si="29"/>
        <v>775.58195547575065</v>
      </c>
      <c r="GZ56" s="59">
        <f ca="1">AVERAGE(OFFSET($GY$3,0,0,'Données projet'!$E$18+1,1))-AVERAGE(OFFSET($H$3,0,0,'Données projet'!$E$18+1,1))</f>
        <v>362.57172983134313</v>
      </c>
      <c r="HA56" s="59">
        <f t="shared" si="52"/>
        <v>232.03250917542471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54.694258538774442</v>
      </c>
      <c r="HH56" s="21">
        <f>EXP(-LN(2)/25)*HH55+(1-EXP(-LN(2)/25))/(LN(2)/25)*Calculateur!HC56*Calculateur!HE56*VLOOKUP('Données projet'!$B$18,Paramètres!$A$1:$I$89,3,0)*0.475*44/12</f>
        <v>16.475609014496367</v>
      </c>
      <c r="HI56" s="21">
        <f>EXP(-LN(2)/2)*HI55+(1-EXP(-LN(2)/2))/(LN(2)/2)*HC56*HF56*VLOOKUP('Données projet'!$B$18,Paramètres!$A$1:$I$89,3,0)*0.475*44/12</f>
        <v>2.5854632175998689E-4</v>
      </c>
      <c r="HJ56" s="22">
        <f t="shared" si="30"/>
        <v>71.170126099592565</v>
      </c>
    </row>
    <row r="57" spans="1:218" x14ac:dyDescent="0.3">
      <c r="A57" s="10">
        <f t="shared" si="31"/>
        <v>54</v>
      </c>
      <c r="B57" s="71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5">
        <f t="shared" si="1"/>
        <v>352.84071460821417</v>
      </c>
      <c r="I57" s="6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6</v>
      </c>
      <c r="N57" s="13">
        <f>IF('Données projet'!$A$36&gt;35,N56+M57-V56,IF(A57&lt;'Données projet'!$A$36,$K$205^A57,IF(A57='Données projet'!$A$36,'Données projet'!$B$36,N56+M57-V56)))</f>
        <v>225.99999999999989</v>
      </c>
      <c r="O57" s="13">
        <f>N57*VLOOKUP('Données projet'!$B$9,Paramètres!$A$1:$I$89,3,0)*VLOOKUP('Données projet'!$B$9,Paramètres!$A$1:$I$89,5,0)</f>
        <v>179.80559999999991</v>
      </c>
      <c r="P57" s="13">
        <f t="shared" si="33"/>
        <v>45.278933028529984</v>
      </c>
      <c r="Q57" s="20">
        <f t="shared" si="53"/>
        <v>392.02222835802286</v>
      </c>
      <c r="R57" s="59">
        <f t="shared" si="0"/>
        <v>685.35556169135612</v>
      </c>
      <c r="S57" s="59">
        <f ca="1">AVERAGE(OFFSET($R$3,0,0,'Données projet'!$E$9+1,1))-AVERAGE(OFFSET($H$3,0,0,'Données projet'!$E$9+1,1))</f>
        <v>225.2323446080772</v>
      </c>
      <c r="T57" s="59">
        <f t="shared" si="34"/>
        <v>222.29030402759292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34.752313442460554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34.752313442460554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21.6</v>
      </c>
      <c r="AI57" s="13">
        <f>IF('Données projet'!$A$62&gt;35,AI56+AH57-AQ56,IF(A57&lt;'Données projet'!$A$62,$AF$205^A57,IF(A57='Données projet'!$A$62,'Données projet'!$B$62,AI56+AH57-AQ56)))</f>
        <v>568.4</v>
      </c>
      <c r="AJ57" s="13">
        <f>AI57*VLOOKUP('Données projet'!$B$10,Paramètres!$A$1:$I$89,3,0)*VLOOKUP('Données projet'!$B$10,Paramètres!$A$1:$I$89,5,0)</f>
        <v>280.78960000000001</v>
      </c>
      <c r="AK57" s="13">
        <f t="shared" si="35"/>
        <v>67.133846701538104</v>
      </c>
      <c r="AL57" s="20">
        <f t="shared" si="4"/>
        <v>605.96666967184558</v>
      </c>
      <c r="AM57" s="59">
        <f t="shared" si="5"/>
        <v>899.30000300517895</v>
      </c>
      <c r="AN57" s="59">
        <f ca="1">AVERAGE(OFFSET($AM$3,0,0,'Données projet'!$E$10+1,1))-AVERAGE(OFFSET($H$3,0,0,'Données projet'!$E$10+1,1))</f>
        <v>360.05819346986135</v>
      </c>
      <c r="AO57" s="59">
        <f t="shared" si="36"/>
        <v>300.47468388351081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72.772358020830154</v>
      </c>
      <c r="AV57" s="21">
        <f>EXP(-LN(2)/25)*AV56+(1-EXP(-LN(2)/25))/(LN(2)/25)*Calculateur!AQ57*Calculateur!AS57*VLOOKUP('Données projet'!$B$10,Paramètres!$A$1:$I$89,3,0)*0.475*44/12</f>
        <v>21.7483264122876</v>
      </c>
      <c r="AW57" s="21">
        <f>EXP(-LN(2)/2)*AW56+(1-EXP(-LN(2)/2))/(LN(2)/2)*AQ57*AT57*VLOOKUP('Données projet'!$B$10,Paramètres!$A$1:$I$89,3,0)*0.475*44/12</f>
        <v>1.2801881904100208E-5</v>
      </c>
      <c r="AX57" s="21">
        <f t="shared" si="6"/>
        <v>94.520697234999659</v>
      </c>
      <c r="AY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13.6</v>
      </c>
      <c r="BD57" s="12">
        <f>IF('Données projet'!$A$88&gt;35,BD56+BC57-BL56,IF(A57&lt;'Données projet'!$A$88,$BA$205^A57,IF(A57='Données projet'!$A$88,'Données projet'!$B$88,BD56+BC57-BL56)))</f>
        <v>296.39999999999998</v>
      </c>
      <c r="BE57" s="13">
        <f>BD57*VLOOKUP('Données projet'!$B$11,Paramètres!$A$1:$I$89,3,0)*VLOOKUP('Données projet'!$B$11,Paramètres!$A$1:$I$89,5,0)</f>
        <v>169.54079999999999</v>
      </c>
      <c r="BF57" s="13">
        <f t="shared" si="37"/>
        <v>42.987161876434207</v>
      </c>
      <c r="BG57" s="20">
        <f t="shared" si="7"/>
        <v>370.15286693478953</v>
      </c>
      <c r="BH57" s="59">
        <f t="shared" si="8"/>
        <v>663.48620026812284</v>
      </c>
      <c r="BI57" s="59">
        <f ca="1">AVERAGE(OFFSET($BH$3,0,0,'Données projet'!$E$11+1,1))-AVERAGE(OFFSET($H$3,0,0,'Données projet'!$E$11+1,1))</f>
        <v>250.90038883668348</v>
      </c>
      <c r="BJ57" s="59">
        <f t="shared" si="38"/>
        <v>141.96132114475608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38.301241063594809</v>
      </c>
      <c r="BQ57" s="21">
        <f>EXP(-LN(2)/25)*BQ56+(1-EXP(-LN(2)/25))/(LN(2)/25)*Calculateur!BL57*Calculateur!BN57*VLOOKUP('Données projet'!$B$11,Paramètres!$A$1:$I$89,3,0)*0.475*44/12</f>
        <v>6.1193147140831678</v>
      </c>
      <c r="BR57" s="21">
        <f>EXP(-LN(2)/2)*BR56+(1-EXP(-LN(2)/2))/(LN(2)/2)*BL57*BO57*VLOOKUP('Données projet'!$B$11,Paramètres!$A$1:$I$89,3,0)*0.475*44/12</f>
        <v>9.2238147222482023E-4</v>
      </c>
      <c r="BS57" s="22">
        <f t="shared" si="9"/>
        <v>44.421478159150197</v>
      </c>
      <c r="BT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7.4</v>
      </c>
      <c r="BY57" s="12">
        <f>IF('Données projet'!$A$114&gt;35,BY56+BX57-CG56,IF(A57&lt;'Données projet'!$A$114,$BV$205^A57,IF(A57='Données projet'!$A$114,'Données projet'!$B$114,BY56+BX57-CG56)))</f>
        <v>271.59999999999997</v>
      </c>
      <c r="BZ57" s="13">
        <f>BY57*VLOOKUP('Données projet'!$B$12,Paramètres!$A$1:$I$89,3,0)*VLOOKUP('Données projet'!$B$12,Paramètres!$A$1:$I$89,5,0)</f>
        <v>216.08496</v>
      </c>
      <c r="CA57" s="13">
        <f t="shared" si="39"/>
        <v>53.26308393083157</v>
      </c>
      <c r="CB57" s="20">
        <f t="shared" si="10"/>
        <v>469.11450984619825</v>
      </c>
      <c r="CC57" s="59">
        <f t="shared" si="11"/>
        <v>762.44784317953156</v>
      </c>
      <c r="CD57" s="59">
        <f ca="1">AVERAGE(OFFSET($CC$3,0,0,'Données projet'!$E$12+1,1))-AVERAGE(OFFSET($H$3,0,0,'Données projet'!$E$12+1,1))</f>
        <v>279.49721661620544</v>
      </c>
      <c r="CE57" s="59">
        <f t="shared" si="40"/>
        <v>275.18739333988754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41.106309084692292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41.106309084692292</v>
      </c>
      <c r="CO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23.4</v>
      </c>
      <c r="CT57" s="12">
        <f>IF('Données projet'!$A$140&gt;35,CT56+CS57-DB56,IF(A57&lt;'Données projet'!$A$140,$CQ$205^A57,IF(A57='Données projet'!$A$140,'Données projet'!$B$140,CT56+CS57-DB56)))</f>
        <v>616.6</v>
      </c>
      <c r="CU57" s="17">
        <f>CT57*VLOOKUP('Données projet'!$B$13,Paramètres!$A$1:$I$89,3,0)*VLOOKUP('Données projet'!$B$13,Paramètres!$A$1:$I$89,5,0)</f>
        <v>304.60040000000004</v>
      </c>
      <c r="CV57" s="13">
        <f t="shared" si="41"/>
        <v>72.140028167549659</v>
      </c>
      <c r="CW57" s="20">
        <f t="shared" si="13"/>
        <v>656.15624572514901</v>
      </c>
      <c r="CX57" s="59">
        <f t="shared" si="14"/>
        <v>949.48957905848238</v>
      </c>
      <c r="CY57" s="59">
        <f ca="1">AVERAGE(OFFSET($CX$3,0,0,'Données projet'!$E$13+1,1))-AVERAGE(OFFSET($H$3,0,0,'Données projet'!$E$13+1,1))</f>
        <v>396.27049617044378</v>
      </c>
      <c r="CZ57" s="59">
        <f t="shared" si="42"/>
        <v>335.2680289568774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80.858175578700155</v>
      </c>
      <c r="DG57" s="21">
        <f>EXP(-LN(2)/25)*DG56+(1-EXP(-LN(2)/25))/(LN(2)/25)*Calculateur!DB57*Calculateur!DD57*VLOOKUP('Données projet'!$B$13,Paramètres!$A$1:$I$89,3,0)*0.475*44/12</f>
        <v>24.164807124764</v>
      </c>
      <c r="DH57" s="21">
        <f>EXP(-LN(2)/2)*DH56+(1-EXP(-LN(2)/2))/(LN(2)/2)*DB57*DE57*VLOOKUP('Données projet'!$B$13,Paramètres!$A$1:$I$89,3,0)*0.475*44/12</f>
        <v>9.388046729673492E-5</v>
      </c>
      <c r="DI57" s="22">
        <f t="shared" si="15"/>
        <v>105.02307658393144</v>
      </c>
      <c r="DJ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15.6</v>
      </c>
      <c r="DO57" s="12">
        <f>IF('Données projet'!$A$166&gt;35,DO56+DN57-DW56,IF(A57&lt;'Données projet'!$A$166,$DL$205^A57,IF(A57='Données projet'!$A$166,'Données projet'!$B$166,DO56+DN57-DW56)))</f>
        <v>354.4</v>
      </c>
      <c r="DP57" s="17">
        <f>DO57*VLOOKUP('Données projet'!$B$14,Paramètres!$A$1:$I$89,3,0)*VLOOKUP('Données projet'!$B$14,Paramètres!$A$1:$I$89,5,0)</f>
        <v>202.71679999999998</v>
      </c>
      <c r="DQ57" s="13">
        <f t="shared" si="43"/>
        <v>50.34076846801689</v>
      </c>
      <c r="DR57" s="20">
        <f t="shared" si="16"/>
        <v>440.74193174846272</v>
      </c>
      <c r="DS57" s="59">
        <f t="shared" si="17"/>
        <v>734.07526508179603</v>
      </c>
      <c r="DT57" s="59">
        <f ca="1">AVERAGE(OFFSET($DS$3,0,0,'Données projet'!$E$14+1,1))-AVERAGE(OFFSET($H$3,0,0,'Données projet'!$E$14+1,1))</f>
        <v>307.43900954374504</v>
      </c>
      <c r="DU57" s="59">
        <f t="shared" si="44"/>
        <v>185.25270859048999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45.961489276313749</v>
      </c>
      <c r="EB57" s="21">
        <f>EXP(-LN(2)/25)*EB56+(1-EXP(-LN(2)/25))/(LN(2)/25)*Calculateur!DW57*Calculateur!DY57*VLOOKUP('Données projet'!$B$14,Paramètres!$A$1:$I$89,3,0)*0.475*44/12</f>
        <v>13.735785102497431</v>
      </c>
      <c r="EC57" s="21">
        <f>EXP(-LN(2)/2)*EC56+(1-EXP(-LN(2)/2))/(LN(2)/2)*DW57*DZ57*VLOOKUP('Données projet'!$B$14,Paramètres!$A$1:$I$89,3,0)*0.475*44/12</f>
        <v>8.8939390070590937E-5</v>
      </c>
      <c r="ED57" s="22">
        <f t="shared" si="18"/>
        <v>59.697363318201248</v>
      </c>
      <c r="EE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>
        <f>VLOOKUP(A57,'Données projet'!$A$191:$I$211,2,0)</f>
        <v>374</v>
      </c>
      <c r="EH57" s="12">
        <f>VLOOKUP(A57,'Données projet'!$A$191:$I$211,9,0)</f>
        <v>11.533333333333331</v>
      </c>
      <c r="EI57" s="12">
        <f t="array" ref="EI57">INDEX(EH:EH,MIN(IF(ISNUMBER(EH57:EH253),ROW(EH57:EH253),"")))</f>
        <v>11.533333333333331</v>
      </c>
      <c r="EJ57" s="12">
        <f>IF('Données projet'!$A$192&gt;35,EJ56+EI57-ER56,IF(A57&lt;'Données projet'!$A$192,$EG$205^A57,IF(A57='Données projet'!$A$192,'Données projet'!$B$192,EJ56+EI57-ER56)))</f>
        <v>374</v>
      </c>
      <c r="EK57" s="17">
        <f>EJ57*VLOOKUP('Données projet'!$B$15,Paramètres!$A$1:$I$89,3,0)*VLOOKUP('Données projet'!$B$15,Paramètres!$A$1:$I$89,5,0)</f>
        <v>233.37599999999998</v>
      </c>
      <c r="EL57" s="13">
        <f t="shared" si="45"/>
        <v>57.012031446990107</v>
      </c>
      <c r="EM57" s="20">
        <f t="shared" si="19"/>
        <v>505.75915477017446</v>
      </c>
      <c r="EN57" s="59">
        <f t="shared" si="20"/>
        <v>799.09248810350778</v>
      </c>
      <c r="EO57" s="59">
        <f ca="1">AVERAGE(OFFSET($EN$3,0,0,'Données projet'!$E$15+1,1))-AVERAGE(OFFSET($H$3,0,0,'Données projet'!$E$15+1,1))</f>
        <v>269.77739619445515</v>
      </c>
      <c r="EP57" s="59">
        <f t="shared" si="46"/>
        <v>347.56964743629885</v>
      </c>
      <c r="EQ57" s="15">
        <f>IF(ISNA(VLOOKUP(A57,'Données projet'!$A$191:$I$211,3,0)),0,VLOOKUP(A57,'Données projet'!$A$191:$I$211,3,0))</f>
        <v>8</v>
      </c>
      <c r="ER57" s="15">
        <f>IF(ISNA(VLOOKUP(A57,'Données projet'!$A$191:$I$211,4,0)),0,VLOOKUP(A57,'Données projet'!$A$191:$I$211,4,0))</f>
        <v>46.9</v>
      </c>
      <c r="ES57" s="16">
        <f>IF(ISNA(VLOOKUP(A57,'Données projet'!$A$191:$I$211,5,0)),0%,VLOOKUP(A57,'Données projet'!$A$191:$I$211,5,0)*VLOOKUP('Données projet'!$B$15,Paramètres!$A$1:$I$89,7,0))</f>
        <v>0.6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86.240478409395863</v>
      </c>
      <c r="EW57" s="21">
        <f>EXP(-LN(2)/25)*EW56+(1-EXP(-LN(2)/25))/(LN(2)/25)*Calculateur!ER57*Calculateur!ET57*VLOOKUP('Données projet'!$B$15,Paramètres!$A$1:$I$89,3,0)*0.475*44/12</f>
        <v>47.160708021592498</v>
      </c>
      <c r="EX57" s="21">
        <f>EXP(-LN(2)/2)*EX56+(1-EXP(-LN(2)/2))/(LN(2)/2)*ER57*EU57*VLOOKUP('Données projet'!$B$15,Paramètres!$A$1:$I$89,3,0)*0.475*44/12</f>
        <v>6.0640493229948375E-6</v>
      </c>
      <c r="EY57" s="22">
        <f t="shared" si="21"/>
        <v>133.40119249503769</v>
      </c>
      <c r="EZ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8.4</v>
      </c>
      <c r="FE57" s="12">
        <f>IF('Données projet'!$A$218&gt;35,FE56+FD57-FM56,IF(A57&lt;'Données projet'!$A$218,$FB$205^A57,IF(A57='Données projet'!$A$218,'Données projet'!$B$218,FE56+FD57-FM56)))</f>
        <v>315.59999999999985</v>
      </c>
      <c r="FF57" s="17">
        <f>FE57*VLOOKUP('Données projet'!$B$16,Paramètres!$A$1:$I$89,3,0)*VLOOKUP('Données projet'!$B$16,Paramètres!$A$1:$I$89,5,0)</f>
        <v>251.0913599999999</v>
      </c>
      <c r="FG57" s="13">
        <f t="shared" si="47"/>
        <v>60.81957989149403</v>
      </c>
      <c r="FH57" s="20">
        <f t="shared" si="22"/>
        <v>543.24488697768527</v>
      </c>
      <c r="FI57" s="59">
        <f t="shared" si="23"/>
        <v>836.57822031101864</v>
      </c>
      <c r="FJ57" s="59">
        <f ca="1">AVERAGE(OFFSET($FI$3,0,0,'Données projet'!$E$16+1,1))-AVERAGE(OFFSET($H$3,0,0,'Données projet'!$E$16+1,1))</f>
        <v>331.52724290297675</v>
      </c>
      <c r="FK57" s="59">
        <f t="shared" si="48"/>
        <v>322.79102610158054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46.753766357292207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46.753766357292207</v>
      </c>
      <c r="FU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25.4</v>
      </c>
      <c r="FZ57" s="12">
        <f>IF('Données projet'!$A$244&gt;35,FZ56+FY57-GH56,IF(A57&lt;'Données projet'!$A$244,$FW$205^A57,IF(A57='Données projet'!$A$244,'Données projet'!$B$244,FZ56+FY57-GH56)))</f>
        <v>668.60000000000036</v>
      </c>
      <c r="GA57" s="17">
        <f>FZ57*VLOOKUP('Données projet'!$B$17,Paramètres!$A$1:$I$89,3,0)*VLOOKUP('Données projet'!$B$17,Paramètres!$A$1:$I$89,5,0)</f>
        <v>330.28840000000019</v>
      </c>
      <c r="GB57" s="13">
        <f t="shared" si="49"/>
        <v>77.490096809619459</v>
      </c>
      <c r="GC57" s="20">
        <f t="shared" si="25"/>
        <v>710.21421527675409</v>
      </c>
      <c r="GD57" s="59">
        <f t="shared" si="26"/>
        <v>1003.5475486100875</v>
      </c>
      <c r="GE57" s="59">
        <f ca="1">AVERAGE(OFFSET($GD$3,0,0,'Données projet'!$E$17+1,1))-AVERAGE(OFFSET($H$3,0,0,'Données projet'!$E$17+1,1))</f>
        <v>434.08297999735811</v>
      </c>
      <c r="GF57" s="59">
        <f t="shared" si="50"/>
        <v>371.04090283546122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88.943993136570171</v>
      </c>
      <c r="GM57" s="21">
        <f>EXP(-LN(2)/25)*GM56+(1-EXP(-LN(2)/25))/(LN(2)/25)*Calculateur!GH57*Calculateur!GJ57*VLOOKUP('Données projet'!$B$17,Paramètres!$A$1:$I$89,3,0)*0.475*44/12</f>
        <v>26.58128783724041</v>
      </c>
      <c r="GN57" s="21">
        <f>EXP(-LN(2)/2)*GN56+(1-EXP(-LN(2)/2))/(LN(2)/2)*GH57*GK57*VLOOKUP('Données projet'!$B$17,Paramètres!$A$1:$I$89,3,0)*0.475*44/12</f>
        <v>1.8349364062543634E-4</v>
      </c>
      <c r="GO57" s="21">
        <f t="shared" si="27"/>
        <v>115.5254644674512</v>
      </c>
      <c r="GP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17.2</v>
      </c>
      <c r="GU57" s="12">
        <f>IF('Données projet'!$A$270&gt;35,GU56+GT57-HC56,IF(A57&lt;'Données projet'!$A$270,$GR$205^A57,IF(A57='Données projet'!$A$270,'Données projet'!$B$270,GU56+GT57-HC56)))</f>
        <v>405.8</v>
      </c>
      <c r="GV57" s="17">
        <f>GU57*VLOOKUP('Données projet'!$B$18,Paramètres!$A$1:$I$89,3,0)*VLOOKUP('Données projet'!$B$18,Paramètres!$A$1:$I$89,5,0)</f>
        <v>232.11760000000001</v>
      </c>
      <c r="GW57" s="13">
        <f t="shared" si="51"/>
        <v>56.74031164741583</v>
      </c>
      <c r="GX57" s="20">
        <f t="shared" si="28"/>
        <v>503.09419611924926</v>
      </c>
      <c r="GY57" s="59">
        <f t="shared" si="29"/>
        <v>796.42752945258258</v>
      </c>
      <c r="GZ57" s="59">
        <f ca="1">AVERAGE(OFFSET($GY$3,0,0,'Données projet'!$E$18+1,1))-AVERAGE(OFFSET($H$3,0,0,'Données projet'!$E$18+1,1))</f>
        <v>362.57172983134313</v>
      </c>
      <c r="HA57" s="59">
        <f t="shared" si="52"/>
        <v>232.03250917542471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53.621737489032739</v>
      </c>
      <c r="HH57" s="21">
        <f>EXP(-LN(2)/25)*HH56+(1-EXP(-LN(2)/25))/(LN(2)/25)*Calculateur!HC57*Calculateur!HE57*VLOOKUP('Données projet'!$B$18,Paramètres!$A$1:$I$89,3,0)*0.475*44/12</f>
        <v>16.025082619580342</v>
      </c>
      <c r="HI57" s="21">
        <f>EXP(-LN(2)/2)*HI56+(1-EXP(-LN(2)/2))/(LN(2)/2)*HC57*HF57*VLOOKUP('Données projet'!$B$18,Paramètres!$A$1:$I$89,3,0)*0.475*44/12</f>
        <v>1.8281985736732576E-4</v>
      </c>
      <c r="HJ57" s="22">
        <f t="shared" si="30"/>
        <v>69.647002928470457</v>
      </c>
    </row>
    <row r="58" spans="1:218" x14ac:dyDescent="0.3">
      <c r="A58" s="10">
        <f t="shared" si="31"/>
        <v>55</v>
      </c>
      <c r="B58" s="71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5">
        <f t="shared" si="1"/>
        <v>353.91169488268253</v>
      </c>
      <c r="I58" s="6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232</v>
      </c>
      <c r="L58" s="12">
        <f>VLOOKUP(A58,'Données projet'!$A$35:$I$55,9,0)</f>
        <v>6</v>
      </c>
      <c r="M58" s="12">
        <f t="array" ref="M58">INDEX(L:L,MIN(IF(ISNUMBER(L58:L254),ROW(L58:L254),"")))</f>
        <v>6</v>
      </c>
      <c r="N58" s="13">
        <f>IF('Données projet'!$A$36&gt;35,N57+M58-V57,IF(A58&lt;'Données projet'!$A$36,$K$205^A58,IF(A58='Données projet'!$A$36,'Données projet'!$B$36,N57+M58-V57)))</f>
        <v>231.99999999999989</v>
      </c>
      <c r="O58" s="13">
        <f>N58*VLOOKUP('Données projet'!$B$9,Paramètres!$A$1:$I$89,3,0)*VLOOKUP('Données projet'!$B$9,Paramètres!$A$1:$I$89,5,0)</f>
        <v>184.57919999999993</v>
      </c>
      <c r="P58" s="13">
        <f t="shared" si="33"/>
        <v>46.339479465836618</v>
      </c>
      <c r="Q58" s="20">
        <f t="shared" si="53"/>
        <v>402.18336673633195</v>
      </c>
      <c r="R58" s="59">
        <f t="shared" si="0"/>
        <v>695.51670006966526</v>
      </c>
      <c r="S58" s="59">
        <f ca="1">AVERAGE(OFFSET($R$3,0,0,'Données projet'!$E$9+1,1))-AVERAGE(OFFSET($H$3,0,0,'Données projet'!$E$9+1,1))</f>
        <v>225.2323446080772</v>
      </c>
      <c r="T58" s="59">
        <f t="shared" si="34"/>
        <v>222.29030402759292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13</v>
      </c>
      <c r="W58" s="16">
        <f>IF(ISNA(VLOOKUP(A58,'Données projet'!$A$35:$I$55,5,0)),0%,VLOOKUP(A58,'Données projet'!$A$35:$I$55,5,0)*VLOOKUP('Données projet'!$B$9,Paramètres!$A$1:$I$89,7,0))</f>
        <v>0.53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40.130681064631787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40.130681064631787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590</v>
      </c>
      <c r="AG58" s="12">
        <f>VLOOKUP(A58,'Données projet'!$A$61:$I$81,9,0)</f>
        <v>21.6</v>
      </c>
      <c r="AH58" s="12">
        <f t="array" ref="AH58">INDEX(AG:AG,MIN(IF(ISNUMBER(AG58:AG254),ROW(AG58:AG254),"")))</f>
        <v>21.6</v>
      </c>
      <c r="AI58" s="13">
        <f>IF('Données projet'!$A$62&gt;35,AI57+AH58-AQ57,IF(A58&lt;'Données projet'!$A$62,$AF$205^A58,IF(A58='Données projet'!$A$62,'Données projet'!$B$62,AI57+AH58-AQ57)))</f>
        <v>590</v>
      </c>
      <c r="AJ58" s="13">
        <f>AI58*VLOOKUP('Données projet'!$B$10,Paramètres!$A$1:$I$89,3,0)*VLOOKUP('Données projet'!$B$10,Paramètres!$A$1:$I$89,5,0)</f>
        <v>291.45999999999998</v>
      </c>
      <c r="AK58" s="13">
        <f t="shared" si="35"/>
        <v>69.383153430242459</v>
      </c>
      <c r="AL58" s="20">
        <f t="shared" si="4"/>
        <v>628.46849222433877</v>
      </c>
      <c r="AM58" s="59">
        <f t="shared" si="5"/>
        <v>921.80182555767215</v>
      </c>
      <c r="AN58" s="59">
        <f ca="1">AVERAGE(OFFSET($AM$3,0,0,'Données projet'!$E$10+1,1))-AVERAGE(OFFSET($H$3,0,0,'Données projet'!$E$10+1,1))</f>
        <v>360.05819346986135</v>
      </c>
      <c r="AO58" s="59">
        <f t="shared" si="36"/>
        <v>300.47468388351081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63</v>
      </c>
      <c r="AR58" s="16">
        <f>IF(ISNA(VLOOKUP(A58,'Données projet'!$A$61:$I$81,5,0)),0%,VLOOKUP(A58,'Données projet'!$A$61:$I$81,5,0)*VLOOKUP('Données projet'!$B$10,Paramètres!$A$1:$I$89,7,0))</f>
        <v>0.55000000000000004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94.052272907001395</v>
      </c>
      <c r="AV58" s="21">
        <f>EXP(-LN(2)/25)*AV57+(1-EXP(-LN(2)/25))/(LN(2)/25)*Calculateur!AQ58*Calculateur!AS58*VLOOKUP('Données projet'!$B$10,Paramètres!$A$1:$I$89,3,0)*0.475*44/12</f>
        <v>21.153617282848817</v>
      </c>
      <c r="AW58" s="21">
        <f>EXP(-LN(2)/2)*AW57+(1-EXP(-LN(2)/2))/(LN(2)/2)*AQ58*AT58*VLOOKUP('Données projet'!$B$10,Paramètres!$A$1:$I$89,3,0)*0.475*44/12</f>
        <v>9.052297506338608E-6</v>
      </c>
      <c r="AX58" s="21">
        <f t="shared" si="6"/>
        <v>115.20589924214771</v>
      </c>
      <c r="AY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310</v>
      </c>
      <c r="BB58" s="12">
        <f>VLOOKUP(A58,'Données projet'!$A$87:$I$107,9,0)</f>
        <v>13.6</v>
      </c>
      <c r="BC58" s="12">
        <f t="array" ref="BC58">INDEX(BB:BB,MIN(IF(ISNUMBER(BB58:BB254),ROW(BB58:BB254),"")))</f>
        <v>13.6</v>
      </c>
      <c r="BD58" s="12">
        <f>IF('Données projet'!$A$88&gt;35,BD57+BC58-BL57,IF(A58&lt;'Données projet'!$A$88,$BA$205^A58,IF(A58='Données projet'!$A$88,'Données projet'!$B$88,BD57+BC58-BL57)))</f>
        <v>310</v>
      </c>
      <c r="BE58" s="13">
        <f>BD58*VLOOKUP('Données projet'!$B$11,Paramètres!$A$1:$I$89,3,0)*VLOOKUP('Données projet'!$B$11,Paramètres!$A$1:$I$89,5,0)</f>
        <v>177.32000000000002</v>
      </c>
      <c r="BF58" s="13">
        <f t="shared" si="37"/>
        <v>44.725415986136333</v>
      </c>
      <c r="BG58" s="20">
        <f t="shared" si="7"/>
        <v>386.72909950918751</v>
      </c>
      <c r="BH58" s="59">
        <f t="shared" si="8"/>
        <v>680.06243284252082</v>
      </c>
      <c r="BI58" s="59">
        <f ca="1">AVERAGE(OFFSET($BH$3,0,0,'Données projet'!$E$11+1,1))-AVERAGE(OFFSET($H$3,0,0,'Données projet'!$E$11+1,1))</f>
        <v>250.90038883668348</v>
      </c>
      <c r="BJ58" s="59">
        <f t="shared" si="38"/>
        <v>141.96132114475608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35</v>
      </c>
      <c r="BM58" s="16">
        <f>IF(ISNA(VLOOKUP(A58,'Données projet'!$A$87:$I$107,5,0)),0%,VLOOKUP(A58,'Données projet'!$A$87:$I$107,5,0)*VLOOKUP('Données projet'!$B$11,Paramètres!$A$1:$I$89,7,0))</f>
        <v>0.45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49.501196266842832</v>
      </c>
      <c r="BQ58" s="21">
        <f>EXP(-LN(2)/25)*BQ57+(1-EXP(-LN(2)/25))/(LN(2)/25)*Calculateur!BL58*Calculateur!BN58*VLOOKUP('Données projet'!$B$11,Paramètres!$A$1:$I$89,3,0)*0.475*44/12</f>
        <v>5.9519817314257883</v>
      </c>
      <c r="BR58" s="21">
        <f>EXP(-LN(2)/2)*BR57+(1-EXP(-LN(2)/2))/(LN(2)/2)*BL58*BO58*VLOOKUP('Données projet'!$B$11,Paramètres!$A$1:$I$89,3,0)*0.475*44/12</f>
        <v>6.5222219385100159E-4</v>
      </c>
      <c r="BS58" s="22">
        <f t="shared" si="9"/>
        <v>55.453830220462471</v>
      </c>
      <c r="BT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279</v>
      </c>
      <c r="BW58" s="12">
        <f>VLOOKUP(A58,'Données projet'!$A$113:$I$133,9,0)</f>
        <v>7.4</v>
      </c>
      <c r="BX58" s="12">
        <f t="array" ref="BX58">INDEX(BW:BW,MIN(IF(ISNUMBER(BW58:BW254),ROW(BW58:BW254),"")))</f>
        <v>7.4</v>
      </c>
      <c r="BY58" s="12">
        <f>IF('Données projet'!$A$114&gt;35,BY57+BX58-CG57,IF(A58&lt;'Données projet'!$A$114,$BV$205^A58,IF(A58='Données projet'!$A$114,'Données projet'!$B$114,BY57+BX58-CG57)))</f>
        <v>278.99999999999994</v>
      </c>
      <c r="BZ58" s="13">
        <f>BY58*VLOOKUP('Données projet'!$B$12,Paramètres!$A$1:$I$89,3,0)*VLOOKUP('Données projet'!$B$12,Paramètres!$A$1:$I$89,5,0)</f>
        <v>221.97239999999996</v>
      </c>
      <c r="CA58" s="13">
        <f t="shared" si="39"/>
        <v>54.543354171476821</v>
      </c>
      <c r="CB58" s="20">
        <f t="shared" si="10"/>
        <v>481.59827184865543</v>
      </c>
      <c r="CC58" s="59">
        <f t="shared" si="11"/>
        <v>774.93160518198874</v>
      </c>
      <c r="CD58" s="59">
        <f ca="1">AVERAGE(OFFSET($CC$3,0,0,'Données projet'!$E$12+1,1))-AVERAGE(OFFSET($H$3,0,0,'Données projet'!$E$12+1,1))</f>
        <v>279.49721661620544</v>
      </c>
      <c r="CE58" s="59">
        <f t="shared" si="40"/>
        <v>275.18739333988754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16</v>
      </c>
      <c r="CH58" s="16">
        <f>IF(ISNA(VLOOKUP(A58,'Données projet'!$A$113:$I$133,5,0)),0%,VLOOKUP(A58,'Données projet'!$A$113:$I$133,5,0)*VLOOKUP('Données projet'!$B$12,Paramètres!$A$1:$I$89,7,0))</f>
        <v>0.53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47.758503179864732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47.758503179864732</v>
      </c>
      <c r="CO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640</v>
      </c>
      <c r="CR58" s="12">
        <f>VLOOKUP(A58,'Données projet'!$A$139:$I$159,9,0)</f>
        <v>23.4</v>
      </c>
      <c r="CS58" s="12">
        <f t="array" ref="CS58">INDEX(CR:CR,MIN(IF(ISNUMBER(CR58:CR254),ROW(CR58:CR254),"")))</f>
        <v>23.4</v>
      </c>
      <c r="CT58" s="12">
        <f>IF('Données projet'!$A$140&gt;35,CT57+CS58-DB57,IF(A58&lt;'Données projet'!$A$140,$CQ$205^A58,IF(A58='Données projet'!$A$140,'Données projet'!$B$140,CT57+CS58-DB57)))</f>
        <v>640</v>
      </c>
      <c r="CU58" s="17">
        <f>CT58*VLOOKUP('Données projet'!$B$13,Paramètres!$A$1:$I$89,3,0)*VLOOKUP('Données projet'!$B$13,Paramètres!$A$1:$I$89,5,0)</f>
        <v>316.15999999999997</v>
      </c>
      <c r="CV58" s="13">
        <f t="shared" si="41"/>
        <v>74.553806463174055</v>
      </c>
      <c r="CW58" s="20">
        <f t="shared" si="13"/>
        <v>680.49321292336128</v>
      </c>
      <c r="CX58" s="59">
        <f t="shared" si="14"/>
        <v>973.82654625669466</v>
      </c>
      <c r="CY58" s="59">
        <f ca="1">AVERAGE(OFFSET($CX$3,0,0,'Données projet'!$E$13+1,1))-AVERAGE(OFFSET($H$3,0,0,'Données projet'!$E$13+1,1))</f>
        <v>396.27049617044378</v>
      </c>
      <c r="CZ58" s="59">
        <f t="shared" si="42"/>
        <v>335.2680289568774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68</v>
      </c>
      <c r="DC58" s="16">
        <f>IF(ISNA(VLOOKUP(A58,'Données projet'!$A$139:$I$159,5,0)),0%,VLOOKUP(A58,'Données projet'!$A$139:$I$159,5,0)*VLOOKUP('Données projet'!$B$13,Paramètres!$A$1:$I$89,7,0))</f>
        <v>0.55000000000000004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103.7816703271379</v>
      </c>
      <c r="DG58" s="21">
        <f>EXP(-LN(2)/25)*DG57+(1-EXP(-LN(2)/25))/(LN(2)/25)*Calculateur!DB58*Calculateur!DD58*VLOOKUP('Données projet'!$B$13,Paramètres!$A$1:$I$89,3,0)*0.475*44/12</f>
        <v>23.504019203165353</v>
      </c>
      <c r="DH58" s="21">
        <f>EXP(-LN(2)/2)*DH57+(1-EXP(-LN(2)/2))/(LN(2)/2)*DB58*DE58*VLOOKUP('Données projet'!$B$13,Paramètres!$A$1:$I$89,3,0)*0.475*44/12</f>
        <v>6.6383515046483169E-5</v>
      </c>
      <c r="DI58" s="22">
        <f t="shared" si="15"/>
        <v>127.28575591381831</v>
      </c>
      <c r="DJ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370</v>
      </c>
      <c r="DM58" s="12">
        <f>VLOOKUP(A58,'Données projet'!$A$165:$I$185,9,0)</f>
        <v>15.6</v>
      </c>
      <c r="DN58" s="12">
        <f t="array" ref="DN58">INDEX(DM:DM,MIN(IF(ISNUMBER(DM58:DM254),ROW(DM58:DM254),"")))</f>
        <v>15.6</v>
      </c>
      <c r="DO58" s="12">
        <f>IF('Données projet'!$A$166&gt;35,DO57+DN58-DW57,IF(A58&lt;'Données projet'!$A$166,$DL$205^A58,IF(A58='Données projet'!$A$166,'Données projet'!$B$166,DO57+DN58-DW57)))</f>
        <v>370</v>
      </c>
      <c r="DP58" s="17">
        <f>DO58*VLOOKUP('Données projet'!$B$14,Paramètres!$A$1:$I$89,3,0)*VLOOKUP('Données projet'!$B$14,Paramètres!$A$1:$I$89,5,0)</f>
        <v>211.64000000000001</v>
      </c>
      <c r="DQ58" s="13">
        <f t="shared" si="43"/>
        <v>52.293804542136542</v>
      </c>
      <c r="DR58" s="20">
        <f t="shared" si="16"/>
        <v>459.68470957755449</v>
      </c>
      <c r="DS58" s="59">
        <f t="shared" si="17"/>
        <v>753.01804291088774</v>
      </c>
      <c r="DT58" s="59">
        <f ca="1">AVERAGE(OFFSET($DS$3,0,0,'Données projet'!$E$14+1,1))-AVERAGE(OFFSET($H$3,0,0,'Données projet'!$E$14+1,1))</f>
        <v>307.43900954374504</v>
      </c>
      <c r="DU58" s="59">
        <f t="shared" si="44"/>
        <v>185.25270859048999</v>
      </c>
      <c r="DV58" s="15">
        <f>IF(ISNA(VLOOKUP(A58,'Données projet'!$A$165:$I$185,3,0)),0,VLOOKUP(A58,'Données projet'!$A$165:$I$185,3,0))</f>
        <v>8</v>
      </c>
      <c r="DW58" s="15">
        <f>IF(ISNA(VLOOKUP(A58,'Données projet'!$A$165:$I$185,4,0)),0,VLOOKUP(A58,'Données projet'!$A$165:$I$185,4,0))</f>
        <v>42</v>
      </c>
      <c r="DX58" s="16">
        <f>IF(ISNA(VLOOKUP(A58,'Données projet'!$A$165:$I$185,5,0)),0%,VLOOKUP(A58,'Données projet'!$A$165:$I$185,5,0)*VLOOKUP('Données projet'!$B$14,Paramètres!$A$1:$I$89,7,0))</f>
        <v>0.45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59.401435520211372</v>
      </c>
      <c r="EB58" s="21">
        <f>EXP(-LN(2)/25)*EB57+(1-EXP(-LN(2)/25))/(LN(2)/25)*Calculateur!DW58*Calculateur!DY58*VLOOKUP('Données projet'!$B$14,Paramètres!$A$1:$I$89,3,0)*0.475*44/12</f>
        <v>13.360179336536094</v>
      </c>
      <c r="EC58" s="21">
        <f>EXP(-LN(2)/2)*EC57+(1-EXP(-LN(2)/2))/(LN(2)/2)*DW58*DZ58*VLOOKUP('Données projet'!$B$14,Paramètres!$A$1:$I$89,3,0)*0.475*44/12</f>
        <v>6.2889645833510342E-5</v>
      </c>
      <c r="ED58" s="22">
        <f t="shared" si="18"/>
        <v>72.761677746393303</v>
      </c>
      <c r="EE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12.316666666666663</v>
      </c>
      <c r="EJ58" s="12">
        <f>IF('Données projet'!$A$192&gt;35,EJ57+EI58-ER57,IF(A58&lt;'Données projet'!$A$192,$EG$205^A58,IF(A58='Données projet'!$A$192,'Données projet'!$B$192,EJ57+EI58-ER57)))</f>
        <v>339.41666666666669</v>
      </c>
      <c r="EK58" s="17">
        <f>EJ58*VLOOKUP('Données projet'!$B$15,Paramètres!$A$1:$I$89,3,0)*VLOOKUP('Données projet'!$B$15,Paramètres!$A$1:$I$89,5,0)</f>
        <v>211.79600000000002</v>
      </c>
      <c r="EL58" s="13">
        <f t="shared" si="45"/>
        <v>52.327862151963842</v>
      </c>
      <c r="EM58" s="20">
        <f t="shared" si="19"/>
        <v>460.01572658133705</v>
      </c>
      <c r="EN58" s="59">
        <f t="shared" si="20"/>
        <v>753.34905991467031</v>
      </c>
      <c r="EO58" s="59">
        <f ca="1">AVERAGE(OFFSET($EN$3,0,0,'Données projet'!$E$15+1,1))-AVERAGE(OFFSET($H$3,0,0,'Données projet'!$E$15+1,1))</f>
        <v>269.77739619445515</v>
      </c>
      <c r="EP58" s="59">
        <f t="shared" si="46"/>
        <v>347.56964743629885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84.549355229285467</v>
      </c>
      <c r="EW58" s="21">
        <f>EXP(-LN(2)/25)*EW57+(1-EXP(-LN(2)/25))/(LN(2)/25)*Calculateur!ER58*Calculateur!ET58*VLOOKUP('Données projet'!$B$15,Paramètres!$A$1:$I$89,3,0)*0.475*44/12</f>
        <v>45.871095980668201</v>
      </c>
      <c r="EX58" s="21">
        <f>EXP(-LN(2)/2)*EX57+(1-EXP(-LN(2)/2))/(LN(2)/2)*ER58*EU58*VLOOKUP('Données projet'!$B$15,Paramètres!$A$1:$I$89,3,0)*0.475*44/12</f>
        <v>4.2879303977393421E-6</v>
      </c>
      <c r="EY58" s="22">
        <f t="shared" si="21"/>
        <v>130.42045549788409</v>
      </c>
      <c r="EZ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324</v>
      </c>
      <c r="FC58" s="12">
        <f>VLOOKUP(A58,'Données projet'!$A$217:$I$237,9,0)</f>
        <v>8.4</v>
      </c>
      <c r="FD58" s="12">
        <f t="array" ref="FD58">INDEX(FC:FC,MIN(IF(ISNUMBER(FC58:FC254),ROW(FC58:FC254),"")))</f>
        <v>8.4</v>
      </c>
      <c r="FE58" s="12">
        <f>IF('Données projet'!$A$218&gt;35,FE57+FD58-FM57,IF(A58&lt;'Données projet'!$A$218,$FB$205^A58,IF(A58='Données projet'!$A$218,'Données projet'!$B$218,FE57+FD58-FM57)))</f>
        <v>323.99999999999983</v>
      </c>
      <c r="FF58" s="17">
        <f>FE58*VLOOKUP('Données projet'!$B$16,Paramètres!$A$1:$I$89,3,0)*VLOOKUP('Données projet'!$B$16,Paramètres!$A$1:$I$89,5,0)</f>
        <v>257.7743999999999</v>
      </c>
      <c r="FG58" s="13">
        <f t="shared" si="47"/>
        <v>62.247732872134243</v>
      </c>
      <c r="FH58" s="20">
        <f t="shared" si="22"/>
        <v>557.37188141896695</v>
      </c>
      <c r="FI58" s="59">
        <f t="shared" si="23"/>
        <v>850.70521475230021</v>
      </c>
      <c r="FJ58" s="59">
        <f ca="1">AVERAGE(OFFSET($FI$3,0,0,'Données projet'!$E$16+1,1))-AVERAGE(OFFSET($H$3,0,0,'Données projet'!$E$16+1,1))</f>
        <v>331.52724290297675</v>
      </c>
      <c r="FK58" s="59">
        <f t="shared" si="48"/>
        <v>322.79102610158054</v>
      </c>
      <c r="FL58" s="15">
        <f>IF(ISNA(VLOOKUP(A58,'Données projet'!$A$217:$I$237,3,0)),0,VLOOKUP(A58,'Données projet'!$A$217:$I$237,3,0))</f>
        <v>10</v>
      </c>
      <c r="FM58" s="15">
        <f>IF(ISNA(VLOOKUP(A58,'Données projet'!$A$217:$I$237,4,0)),0,VLOOKUP(A58,'Données projet'!$A$217:$I$237,4,0))</f>
        <v>18</v>
      </c>
      <c r="FN58" s="16">
        <f>IF(ISNA(VLOOKUP(A58,'Données projet'!$A$217:$I$237,5,0)),0%,VLOOKUP(A58,'Données projet'!$A$217:$I$237,5,0)*VLOOKUP('Données projet'!$B$16,Paramètres!$A$1:$I$89,7,0))</f>
        <v>0.53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54.227500227951566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54.227500227951566</v>
      </c>
      <c r="FU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694</v>
      </c>
      <c r="FX58" s="12">
        <f>VLOOKUP(A58,'Données projet'!$A$243:$I$263,9,0)</f>
        <v>25.4</v>
      </c>
      <c r="FY58" s="12">
        <f t="array" ref="FY58">INDEX(FX:FX,MIN(IF(ISNUMBER(FX58:FX254),ROW(FX58:FX254),"")))</f>
        <v>25.4</v>
      </c>
      <c r="FZ58" s="12">
        <f>IF('Données projet'!$A$244&gt;35,FZ57+FY58-GH57,IF(A58&lt;'Données projet'!$A$244,$FW$205^A58,IF(A58='Données projet'!$A$244,'Données projet'!$B$244,FZ57+FY58-GH57)))</f>
        <v>694.00000000000034</v>
      </c>
      <c r="GA58" s="17">
        <f>FZ58*VLOOKUP('Données projet'!$B$17,Paramètres!$A$1:$I$89,3,0)*VLOOKUP('Données projet'!$B$17,Paramètres!$A$1:$I$89,5,0)</f>
        <v>342.83600000000018</v>
      </c>
      <c r="GB58" s="13">
        <f t="shared" si="49"/>
        <v>80.085598410344375</v>
      </c>
      <c r="GC58" s="20">
        <f t="shared" si="25"/>
        <v>736.58845056468351</v>
      </c>
      <c r="GD58" s="59">
        <f t="shared" si="26"/>
        <v>1029.9217838980169</v>
      </c>
      <c r="GE58" s="59">
        <f ca="1">AVERAGE(OFFSET($GD$3,0,0,'Données projet'!$E$17+1,1))-AVERAGE(OFFSET($H$3,0,0,'Données projet'!$E$17+1,1))</f>
        <v>434.08297999735811</v>
      </c>
      <c r="GF58" s="59">
        <f t="shared" si="50"/>
        <v>371.04090283546122</v>
      </c>
      <c r="GG58" s="15">
        <f>IF(ISNA(VLOOKUP(A58,'Données projet'!$A$243:$I$263,3,0)),0,VLOOKUP(A58,'Données projet'!$A$243:$I$263,3,0))</f>
        <v>8</v>
      </c>
      <c r="GH58" s="15">
        <f>IF(ISNA(VLOOKUP(A58,'Données projet'!$A$243:$I$263,4,0)),0,VLOOKUP(A58,'Données projet'!$A$243:$I$263,4,0))</f>
        <v>73</v>
      </c>
      <c r="GI58" s="16">
        <f>IF(ISNA(VLOOKUP(A58,'Données projet'!$A$243:$I$263,5,0)),0%,VLOOKUP(A58,'Données projet'!$A$243:$I$263,5,0)*VLOOKUP('Données projet'!$B$17,Paramètres!$A$1:$I$89,7,0))</f>
        <v>0.55000000000000004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113.51106774727444</v>
      </c>
      <c r="GM58" s="21">
        <f>EXP(-LN(2)/25)*GM57+(1-EXP(-LN(2)/25))/(LN(2)/25)*Calculateur!GH58*Calculateur!GJ58*VLOOKUP('Données projet'!$B$17,Paramètres!$A$1:$I$89,3,0)*0.475*44/12</f>
        <v>25.854421123481895</v>
      </c>
      <c r="GN58" s="21">
        <f>EXP(-LN(2)/2)*GN57+(1-EXP(-LN(2)/2))/(LN(2)/2)*GH58*GK58*VLOOKUP('Données projet'!$B$17,Paramètres!$A$1:$I$89,3,0)*0.475*44/12</f>
        <v>1.297495975908534E-4</v>
      </c>
      <c r="GO58" s="21">
        <f t="shared" si="27"/>
        <v>139.36561862035393</v>
      </c>
      <c r="GP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projet'!$A$269:$I$289,2,0)</f>
        <v>423</v>
      </c>
      <c r="GS58" s="12">
        <f>VLOOKUP(A58,'Données projet'!$A$269:$I$289,9,0)</f>
        <v>17.2</v>
      </c>
      <c r="GT58" s="12">
        <f t="array" ref="GT58">INDEX(GS:GS,MIN(IF(ISNUMBER(GS58:GS254),ROW(GS58:GS254),"")))</f>
        <v>17.2</v>
      </c>
      <c r="GU58" s="12">
        <f>IF('Données projet'!$A$270&gt;35,GU57+GT58-HC57,IF(A58&lt;'Données projet'!$A$270,$GR$205^A58,IF(A58='Données projet'!$A$270,'Données projet'!$B$270,GU57+GT58-HC57)))</f>
        <v>423</v>
      </c>
      <c r="GV58" s="17">
        <f>GU58*VLOOKUP('Données projet'!$B$18,Paramètres!$A$1:$I$89,3,0)*VLOOKUP('Données projet'!$B$18,Paramètres!$A$1:$I$89,5,0)</f>
        <v>241.95600000000002</v>
      </c>
      <c r="GW58" s="13">
        <f t="shared" si="51"/>
        <v>58.860174395053612</v>
      </c>
      <c r="GX58" s="20">
        <f t="shared" si="28"/>
        <v>523.92150373805168</v>
      </c>
      <c r="GY58" s="59">
        <f t="shared" si="29"/>
        <v>817.25483707138505</v>
      </c>
      <c r="GZ58" s="59">
        <f ca="1">AVERAGE(OFFSET($GY$3,0,0,'Données projet'!$E$18+1,1))-AVERAGE(OFFSET($H$3,0,0,'Données projet'!$E$18+1,1))</f>
        <v>362.57172983134313</v>
      </c>
      <c r="HA58" s="59">
        <f t="shared" si="52"/>
        <v>232.03250917542471</v>
      </c>
      <c r="HB58" s="15">
        <f>IF(ISNA(VLOOKUP(A58,'Données projet'!$A$269:$I$289,3,0)),0,VLOOKUP(A58,'Données projet'!$A$269:$I$289,3,0))</f>
        <v>8</v>
      </c>
      <c r="HC58" s="15">
        <f>IF(ISNA(VLOOKUP(A58,'Données projet'!$A$269:$I$289,4,0)),0,VLOOKUP(A58,'Données projet'!$A$269:$I$289,4,0))</f>
        <v>47</v>
      </c>
      <c r="HD58" s="16">
        <f>IF(ISNA(VLOOKUP(A58,'Données projet'!$A$269:$I$289,5,0)),0%,VLOOKUP(A58,'Données projet'!$A$269:$I$289,5,0)*VLOOKUP('Données projet'!$B$18,Paramètres!$A$1:$I$89,7,0))</f>
        <v>0.45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68.618759391919696</v>
      </c>
      <c r="HH58" s="21">
        <f>EXP(-LN(2)/25)*HH57+(1-EXP(-LN(2)/25))/(LN(2)/25)*Calculateur!HC58*Calculateur!HE58*VLOOKUP('Données projet'!$B$18,Paramètres!$A$1:$I$89,3,0)*0.475*44/12</f>
        <v>15.586875892625448</v>
      </c>
      <c r="HI58" s="21">
        <f>EXP(-LN(2)/2)*HI57+(1-EXP(-LN(2)/2))/(LN(2)/2)*HC58*HF58*VLOOKUP('Données projet'!$B$18,Paramètres!$A$1:$I$89,3,0)*0.475*44/12</f>
        <v>1.2927316087999344E-4</v>
      </c>
      <c r="HJ58" s="22">
        <f t="shared" si="30"/>
        <v>84.205764557706019</v>
      </c>
    </row>
    <row r="59" spans="1:218" x14ac:dyDescent="0.3">
      <c r="A59" s="10">
        <f t="shared" si="31"/>
        <v>56</v>
      </c>
      <c r="B59" s="71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5">
        <f t="shared" si="1"/>
        <v>354.98218203268914</v>
      </c>
      <c r="I59" s="6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5.2</v>
      </c>
      <c r="N59" s="13">
        <f>IF('Données projet'!$A$36&gt;35,N58+M59-V58,IF(A59&lt;'Données projet'!$A$36,$K$205^A59,IF(A59='Données projet'!$A$36,'Données projet'!$B$36,N58+M59-V58)))</f>
        <v>224.19999999999987</v>
      </c>
      <c r="O59" s="13">
        <f>N59*VLOOKUP('Données projet'!$B$9,Paramètres!$A$1:$I$89,3,0)*VLOOKUP('Données projet'!$B$9,Paramètres!$A$1:$I$89,5,0)</f>
        <v>178.37351999999993</v>
      </c>
      <c r="P59" s="13">
        <f t="shared" si="33"/>
        <v>44.960133388294842</v>
      </c>
      <c r="Q59" s="20">
        <f t="shared" si="53"/>
        <v>388.97277965128006</v>
      </c>
      <c r="R59" s="59">
        <f t="shared" si="0"/>
        <v>682.30611298461338</v>
      </c>
      <c r="S59" s="59">
        <f ca="1">AVERAGE(OFFSET($R$3,0,0,'Données projet'!$E$9+1,1))-AVERAGE(OFFSET($H$3,0,0,'Données projet'!$E$9+1,1))</f>
        <v>225.2323446080772</v>
      </c>
      <c r="T59" s="59">
        <f t="shared" si="34"/>
        <v>222.29030402759292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39.343742886252876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39.343742886252876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20.399999999999999</v>
      </c>
      <c r="AI59" s="13">
        <f>IF('Données projet'!$A$62&gt;35,AI58+AH59-AQ58,IF(A59&lt;'Données projet'!$A$62,$AF$205^A59,IF(A59='Données projet'!$A$62,'Données projet'!$B$62,AI58+AH59-AQ58)))</f>
        <v>547.4</v>
      </c>
      <c r="AJ59" s="13">
        <f>AI59*VLOOKUP('Données projet'!$B$10,Paramètres!$A$1:$I$89,3,0)*VLOOKUP('Données projet'!$B$10,Paramètres!$A$1:$I$89,5,0)</f>
        <v>270.41559999999998</v>
      </c>
      <c r="AK59" s="13">
        <f t="shared" si="35"/>
        <v>64.937462199941521</v>
      </c>
      <c r="AL59" s="20">
        <f t="shared" si="4"/>
        <v>584.07324999823152</v>
      </c>
      <c r="AM59" s="59">
        <f t="shared" si="5"/>
        <v>877.40658333156489</v>
      </c>
      <c r="AN59" s="59">
        <f ca="1">AVERAGE(OFFSET($AM$3,0,0,'Données projet'!$E$10+1,1))-AVERAGE(OFFSET($H$3,0,0,'Données projet'!$E$10+1,1))</f>
        <v>360.05819346986135</v>
      </c>
      <c r="AO59" s="59">
        <f t="shared" si="36"/>
        <v>300.47468388351081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92.207965201517126</v>
      </c>
      <c r="AV59" s="21">
        <f>EXP(-LN(2)/25)*AV58+(1-EXP(-LN(2)/25))/(LN(2)/25)*Calculateur!AQ59*Calculateur!AS59*VLOOKUP('Données projet'!$B$10,Paramètres!$A$1:$I$89,3,0)*0.475*44/12</f>
        <v>20.575170505828929</v>
      </c>
      <c r="AW59" s="21">
        <f>EXP(-LN(2)/2)*AW58+(1-EXP(-LN(2)/2))/(LN(2)/2)*AQ59*AT59*VLOOKUP('Données projet'!$B$10,Paramètres!$A$1:$I$89,3,0)*0.475*44/12</f>
        <v>6.400940952050104E-6</v>
      </c>
      <c r="AX59" s="21">
        <f t="shared" si="6"/>
        <v>112.783142108287</v>
      </c>
      <c r="AY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13.2</v>
      </c>
      <c r="BD59" s="12">
        <f>IF('Données projet'!$A$88&gt;35,BD58+BC59-BL58,IF(A59&lt;'Données projet'!$A$88,$BA$205^A59,IF(A59='Données projet'!$A$88,'Données projet'!$B$88,BD58+BC59-BL58)))</f>
        <v>288.2</v>
      </c>
      <c r="BE59" s="13">
        <f>BD59*VLOOKUP('Données projet'!$B$11,Paramètres!$A$1:$I$89,3,0)*VLOOKUP('Données projet'!$B$11,Paramètres!$A$1:$I$89,5,0)</f>
        <v>164.85040000000001</v>
      </c>
      <c r="BF59" s="13">
        <f t="shared" si="37"/>
        <v>41.934627880383069</v>
      </c>
      <c r="BG59" s="20">
        <f t="shared" si="7"/>
        <v>360.15059022500054</v>
      </c>
      <c r="BH59" s="59">
        <f t="shared" si="8"/>
        <v>653.4839235583338</v>
      </c>
      <c r="BI59" s="59">
        <f ca="1">AVERAGE(OFFSET($BH$3,0,0,'Données projet'!$E$11+1,1))-AVERAGE(OFFSET($H$3,0,0,'Données projet'!$E$11+1,1))</f>
        <v>250.90038883668348</v>
      </c>
      <c r="BJ59" s="59">
        <f t="shared" si="38"/>
        <v>141.96132114475608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48.530508000798484</v>
      </c>
      <c r="BQ59" s="21">
        <f>EXP(-LN(2)/25)*BQ58+(1-EXP(-LN(2)/25))/(LN(2)/25)*Calculateur!BL59*Calculateur!BN59*VLOOKUP('Données projet'!$B$11,Paramètres!$A$1:$I$89,3,0)*0.475*44/12</f>
        <v>5.7892244779788342</v>
      </c>
      <c r="BR59" s="21">
        <f>EXP(-LN(2)/2)*BR58+(1-EXP(-LN(2)/2))/(LN(2)/2)*BL59*BO59*VLOOKUP('Données projet'!$B$11,Paramètres!$A$1:$I$89,3,0)*0.475*44/12</f>
        <v>4.6119073611241022E-4</v>
      </c>
      <c r="BS59" s="22">
        <f t="shared" si="9"/>
        <v>54.320193669513429</v>
      </c>
      <c r="BT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6.2</v>
      </c>
      <c r="BY59" s="12">
        <f>IF('Données projet'!$A$114&gt;35,BY58+BX59-CG58,IF(A59&lt;'Données projet'!$A$114,$BV$205^A59,IF(A59='Données projet'!$A$114,'Données projet'!$B$114,BY58+BX59-CG58)))</f>
        <v>269.19999999999993</v>
      </c>
      <c r="BZ59" s="13">
        <f>BY59*VLOOKUP('Données projet'!$B$12,Paramètres!$A$1:$I$89,3,0)*VLOOKUP('Données projet'!$B$12,Paramètres!$A$1:$I$89,5,0)</f>
        <v>214.17551999999998</v>
      </c>
      <c r="CA59" s="13">
        <f t="shared" si="39"/>
        <v>52.846993696165399</v>
      </c>
      <c r="CB59" s="20">
        <f t="shared" si="10"/>
        <v>465.06421135415468</v>
      </c>
      <c r="CC59" s="59">
        <f t="shared" si="11"/>
        <v>758.39754468748799</v>
      </c>
      <c r="CD59" s="59">
        <f ca="1">AVERAGE(OFFSET($CC$3,0,0,'Données projet'!$E$12+1,1))-AVERAGE(OFFSET($H$3,0,0,'Données projet'!$E$12+1,1))</f>
        <v>279.49721661620544</v>
      </c>
      <c r="CE59" s="59">
        <f t="shared" si="40"/>
        <v>275.18739333988754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46.821988062318198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46.821988062318198</v>
      </c>
      <c r="CO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22.4</v>
      </c>
      <c r="CT59" s="12">
        <f>IF('Données projet'!$A$140&gt;35,CT58+CS59-DB58,IF(A59&lt;'Données projet'!$A$140,$CQ$205^A59,IF(A59='Données projet'!$A$140,'Données projet'!$B$140,CT58+CS59-DB58)))</f>
        <v>594.4</v>
      </c>
      <c r="CU59" s="17">
        <f>CT59*VLOOKUP('Données projet'!$B$13,Paramètres!$A$1:$I$89,3,0)*VLOOKUP('Données projet'!$B$13,Paramètres!$A$1:$I$89,5,0)</f>
        <v>293.6336</v>
      </c>
      <c r="CV59" s="13">
        <f t="shared" si="41"/>
        <v>69.840159942070457</v>
      </c>
      <c r="CW59" s="20">
        <f t="shared" si="13"/>
        <v>633.05013189910608</v>
      </c>
      <c r="CX59" s="59">
        <f t="shared" si="14"/>
        <v>926.38346523243945</v>
      </c>
      <c r="CY59" s="59">
        <f ca="1">AVERAGE(OFFSET($CX$3,0,0,'Données projet'!$E$13+1,1))-AVERAGE(OFFSET($H$3,0,0,'Données projet'!$E$13+1,1))</f>
        <v>396.27049617044378</v>
      </c>
      <c r="CZ59" s="59">
        <f t="shared" si="42"/>
        <v>335.2680289568774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101.74657507259121</v>
      </c>
      <c r="DG59" s="21">
        <f>EXP(-LN(2)/25)*DG58+(1-EXP(-LN(2)/25))/(LN(2)/25)*Calculateur!DB59*Calculateur!DD59*VLOOKUP('Données projet'!$B$13,Paramètres!$A$1:$I$89,3,0)*0.475*44/12</f>
        <v>22.861300562032145</v>
      </c>
      <c r="DH59" s="21">
        <f>EXP(-LN(2)/2)*DH58+(1-EXP(-LN(2)/2))/(LN(2)/2)*DB59*DE59*VLOOKUP('Données projet'!$B$13,Paramètres!$A$1:$I$89,3,0)*0.475*44/12</f>
        <v>4.694023364836746E-5</v>
      </c>
      <c r="DI59" s="22">
        <f t="shared" si="15"/>
        <v>124.607922574857</v>
      </c>
      <c r="DJ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14.4</v>
      </c>
      <c r="DO59" s="12">
        <f>IF('Données projet'!$A$166&gt;35,DO58+DN59-DW58,IF(A59&lt;'Données projet'!$A$166,$DL$205^A59,IF(A59='Données projet'!$A$166,'Données projet'!$B$166,DO58+DN59-DW58)))</f>
        <v>342.4</v>
      </c>
      <c r="DP59" s="17">
        <f>DO59*VLOOKUP('Données projet'!$B$14,Paramètres!$A$1:$I$89,3,0)*VLOOKUP('Données projet'!$B$14,Paramètres!$A$1:$I$89,5,0)</f>
        <v>195.85279999999997</v>
      </c>
      <c r="DQ59" s="13">
        <f t="shared" si="43"/>
        <v>48.831630161867864</v>
      </c>
      <c r="DR59" s="20">
        <f t="shared" si="16"/>
        <v>426.1587158652531</v>
      </c>
      <c r="DS59" s="59">
        <f t="shared" si="17"/>
        <v>719.49204919858641</v>
      </c>
      <c r="DT59" s="59">
        <f ca="1">AVERAGE(OFFSET($DS$3,0,0,'Données projet'!$E$14+1,1))-AVERAGE(OFFSET($H$3,0,0,'Données projet'!$E$14+1,1))</f>
        <v>307.43900954374504</v>
      </c>
      <c r="DU59" s="59">
        <f t="shared" si="44"/>
        <v>185.25270859048999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58.236609600958154</v>
      </c>
      <c r="EB59" s="21">
        <f>EXP(-LN(2)/25)*EB58+(1-EXP(-LN(2)/25))/(LN(2)/25)*Calculateur!DW59*Calculateur!DY59*VLOOKUP('Données projet'!$B$14,Paramètres!$A$1:$I$89,3,0)*0.475*44/12</f>
        <v>12.994844529997218</v>
      </c>
      <c r="EC59" s="21">
        <f>EXP(-LN(2)/2)*EC58+(1-EXP(-LN(2)/2))/(LN(2)/2)*DW59*DZ59*VLOOKUP('Données projet'!$B$14,Paramètres!$A$1:$I$89,3,0)*0.475*44/12</f>
        <v>4.4469695035295468E-5</v>
      </c>
      <c r="ED59" s="22">
        <f t="shared" si="18"/>
        <v>71.231498600650411</v>
      </c>
      <c r="EE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12.316666666666663</v>
      </c>
      <c r="EJ59" s="12">
        <f>IF('Données projet'!$A$192&gt;35,EJ58+EI59-ER58,IF(A59&lt;'Données projet'!$A$192,$EG$205^A59,IF(A59='Données projet'!$A$192,'Données projet'!$B$192,EJ58+EI59-ER58)))</f>
        <v>351.73333333333335</v>
      </c>
      <c r="EK59" s="17">
        <f>EJ59*VLOOKUP('Données projet'!$B$15,Paramètres!$A$1:$I$89,3,0)*VLOOKUP('Données projet'!$B$15,Paramètres!$A$1:$I$89,5,0)</f>
        <v>219.48159999999999</v>
      </c>
      <c r="EL59" s="13">
        <f t="shared" si="45"/>
        <v>54.002198576508427</v>
      </c>
      <c r="EM59" s="20">
        <f t="shared" si="19"/>
        <v>476.31761585408549</v>
      </c>
      <c r="EN59" s="59">
        <f t="shared" si="20"/>
        <v>769.65094918741875</v>
      </c>
      <c r="EO59" s="59">
        <f ca="1">AVERAGE(OFFSET($EN$3,0,0,'Données projet'!$E$15+1,1))-AVERAGE(OFFSET($H$3,0,0,'Données projet'!$E$15+1,1))</f>
        <v>269.77739619445515</v>
      </c>
      <c r="EP59" s="59">
        <f t="shared" si="46"/>
        <v>347.56964743629885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82.891393943253746</v>
      </c>
      <c r="EW59" s="21">
        <f>EXP(-LN(2)/25)*EW58+(1-EXP(-LN(2)/25))/(LN(2)/25)*Calculateur!ER59*Calculateur!ET59*VLOOKUP('Données projet'!$B$15,Paramètres!$A$1:$I$89,3,0)*0.475*44/12</f>
        <v>44.616748448820729</v>
      </c>
      <c r="EX59" s="21">
        <f>EXP(-LN(2)/2)*EX58+(1-EXP(-LN(2)/2))/(LN(2)/2)*ER59*EU59*VLOOKUP('Données projet'!$B$15,Paramètres!$A$1:$I$89,3,0)*0.475*44/12</f>
        <v>3.0320246614974188E-6</v>
      </c>
      <c r="EY59" s="22">
        <f t="shared" si="21"/>
        <v>127.50814542409914</v>
      </c>
      <c r="EZ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7.4</v>
      </c>
      <c r="FE59" s="12">
        <f>IF('Données projet'!$A$218&gt;35,FE58+FD59-FM58,IF(A59&lt;'Données projet'!$A$218,$FB$205^A59,IF(A59='Données projet'!$A$218,'Données projet'!$B$218,FE58+FD59-FM58)))</f>
        <v>313.39999999999981</v>
      </c>
      <c r="FF59" s="17">
        <f>FE59*VLOOKUP('Données projet'!$B$16,Paramètres!$A$1:$I$89,3,0)*VLOOKUP('Données projet'!$B$16,Paramètres!$A$1:$I$89,5,0)</f>
        <v>249.34103999999988</v>
      </c>
      <c r="FG59" s="13">
        <f t="shared" si="47"/>
        <v>60.444812818312201</v>
      </c>
      <c r="FH59" s="20">
        <f t="shared" si="22"/>
        <v>539.54369365856019</v>
      </c>
      <c r="FI59" s="59">
        <f t="shared" si="23"/>
        <v>832.87702699189344</v>
      </c>
      <c r="FJ59" s="59">
        <f ca="1">AVERAGE(OFFSET($FI$3,0,0,'Données projet'!$E$16+1,1))-AVERAGE(OFFSET($H$3,0,0,'Données projet'!$E$16+1,1))</f>
        <v>331.52724290297675</v>
      </c>
      <c r="FK59" s="59">
        <f t="shared" si="48"/>
        <v>322.79102610158054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53.164132023990639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53.164132023990639</v>
      </c>
      <c r="FU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23.8</v>
      </c>
      <c r="FZ59" s="12">
        <f>IF('Données projet'!$A$244&gt;35,FZ58+FY59-GH58,IF(A59&lt;'Données projet'!$A$244,$FW$205^A59,IF(A59='Données projet'!$A$244,'Données projet'!$B$244,FZ58+FY59-GH58)))</f>
        <v>644.8000000000003</v>
      </c>
      <c r="GA59" s="17">
        <f>FZ59*VLOOKUP('Données projet'!$B$17,Paramètres!$A$1:$I$89,3,0)*VLOOKUP('Données projet'!$B$17,Paramètres!$A$1:$I$89,5,0)</f>
        <v>318.53120000000018</v>
      </c>
      <c r="GB59" s="13">
        <f t="shared" si="49"/>
        <v>75.047659477422243</v>
      </c>
      <c r="GC59" s="20">
        <f t="shared" si="25"/>
        <v>685.48318025651076</v>
      </c>
      <c r="GD59" s="59">
        <f t="shared" si="26"/>
        <v>978.81651358984413</v>
      </c>
      <c r="GE59" s="59">
        <f ca="1">AVERAGE(OFFSET($GD$3,0,0,'Données projet'!$E$17+1,1))-AVERAGE(OFFSET($H$3,0,0,'Données projet'!$E$17+1,1))</f>
        <v>434.08297999735811</v>
      </c>
      <c r="GF59" s="59">
        <f t="shared" si="50"/>
        <v>371.04090283546122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111.28518494366533</v>
      </c>
      <c r="GM59" s="21">
        <f>EXP(-LN(2)/25)*GM58+(1-EXP(-LN(2)/25))/(LN(2)/25)*Calculateur!GH59*Calculateur!GJ59*VLOOKUP('Données projet'!$B$17,Paramètres!$A$1:$I$89,3,0)*0.475*44/12</f>
        <v>25.147430618235369</v>
      </c>
      <c r="GN59" s="21">
        <f>EXP(-LN(2)/2)*GN58+(1-EXP(-LN(2)/2))/(LN(2)/2)*GH59*GK59*VLOOKUP('Données projet'!$B$17,Paramètres!$A$1:$I$89,3,0)*0.475*44/12</f>
        <v>9.1746820312718169E-5</v>
      </c>
      <c r="GO59" s="21">
        <f t="shared" si="27"/>
        <v>136.43270730872101</v>
      </c>
      <c r="GP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16.2</v>
      </c>
      <c r="GU59" s="12">
        <f>IF('Données projet'!$A$270&gt;35,GU58+GT59-HC58,IF(A59&lt;'Données projet'!$A$270,$GR$205^A59,IF(A59='Données projet'!$A$270,'Données projet'!$B$270,GU58+GT59-HC58)))</f>
        <v>392.2</v>
      </c>
      <c r="GV59" s="17">
        <f>GU59*VLOOKUP('Données projet'!$B$18,Paramètres!$A$1:$I$89,3,0)*VLOOKUP('Données projet'!$B$18,Paramètres!$A$1:$I$89,5,0)</f>
        <v>224.33839999999998</v>
      </c>
      <c r="GW59" s="13">
        <f t="shared" si="51"/>
        <v>55.056741180960593</v>
      </c>
      <c r="GX59" s="20">
        <f t="shared" si="28"/>
        <v>486.61320422350633</v>
      </c>
      <c r="GY59" s="59">
        <f t="shared" si="29"/>
        <v>779.94653755683964</v>
      </c>
      <c r="GZ59" s="59">
        <f ca="1">AVERAGE(OFFSET($GY$3,0,0,'Données projet'!$E$18+1,1))-AVERAGE(OFFSET($H$3,0,0,'Données projet'!$E$18+1,1))</f>
        <v>362.57172983134313</v>
      </c>
      <c r="HA59" s="59">
        <f t="shared" si="52"/>
        <v>232.03250917542471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67.273187373554705</v>
      </c>
      <c r="HH59" s="21">
        <f>EXP(-LN(2)/25)*HH58+(1-EXP(-LN(2)/25))/(LN(2)/25)*Calculateur!HC59*Calculateur!HE59*VLOOKUP('Données projet'!$B$18,Paramètres!$A$1:$I$89,3,0)*0.475*44/12</f>
        <v>15.160651951663427</v>
      </c>
      <c r="HI59" s="21">
        <f>EXP(-LN(2)/2)*HI58+(1-EXP(-LN(2)/2))/(LN(2)/2)*HC59*HF59*VLOOKUP('Données projet'!$B$18,Paramètres!$A$1:$I$89,3,0)*0.475*44/12</f>
        <v>9.1409928683662881E-5</v>
      </c>
      <c r="HJ59" s="22">
        <f t="shared" si="30"/>
        <v>82.433930735146816</v>
      </c>
    </row>
    <row r="60" spans="1:218" x14ac:dyDescent="0.3">
      <c r="A60" s="10">
        <f t="shared" si="31"/>
        <v>57</v>
      </c>
      <c r="B60" s="71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5">
        <f t="shared" si="1"/>
        <v>356.05218587986496</v>
      </c>
      <c r="I60" s="6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5.2</v>
      </c>
      <c r="N60" s="13">
        <f>IF('Données projet'!$A$36&gt;35,N59+M60-V59,IF(A60&lt;'Données projet'!$A$36,$K$205^A60,IF(A60='Données projet'!$A$36,'Données projet'!$B$36,N59+M60-V59)))</f>
        <v>229.39999999999986</v>
      </c>
      <c r="O60" s="13">
        <f>N60*VLOOKUP('Données projet'!$B$9,Paramètres!$A$1:$I$89,3,0)*VLOOKUP('Données projet'!$B$9,Paramètres!$A$1:$I$89,5,0)</f>
        <v>182.51063999999988</v>
      </c>
      <c r="P60" s="13">
        <f t="shared" si="33"/>
        <v>45.880306213791371</v>
      </c>
      <c r="Q60" s="20">
        <f t="shared" si="53"/>
        <v>397.78089798901971</v>
      </c>
      <c r="R60" s="59">
        <f t="shared" si="0"/>
        <v>691.11423132235302</v>
      </c>
      <c r="S60" s="59">
        <f ca="1">AVERAGE(OFFSET($R$3,0,0,'Données projet'!$E$9+1,1))-AVERAGE(OFFSET($H$3,0,0,'Données projet'!$E$9+1,1))</f>
        <v>225.2323446080772</v>
      </c>
      <c r="T60" s="59">
        <f t="shared" si="34"/>
        <v>222.29030402759292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38.572236085567077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38.572236085567077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20.399999999999999</v>
      </c>
      <c r="AI60" s="13">
        <f>IF('Données projet'!$A$62&gt;35,AI59+AH60-AQ59,IF(A60&lt;'Données projet'!$A$62,$AF$205^A60,IF(A60='Données projet'!$A$62,'Données projet'!$B$62,AI59+AH60-AQ59)))</f>
        <v>567.79999999999995</v>
      </c>
      <c r="AJ60" s="13">
        <f>AI60*VLOOKUP('Données projet'!$B$10,Paramètres!$A$1:$I$89,3,0)*VLOOKUP('Données projet'!$B$10,Paramètres!$A$1:$I$89,5,0)</f>
        <v>280.4932</v>
      </c>
      <c r="AK60" s="13">
        <f t="shared" si="35"/>
        <v>67.071225541046843</v>
      </c>
      <c r="AL60" s="20">
        <f t="shared" si="4"/>
        <v>605.34137448398985</v>
      </c>
      <c r="AM60" s="59">
        <f t="shared" si="5"/>
        <v>898.67470781732322</v>
      </c>
      <c r="AN60" s="59">
        <f ca="1">AVERAGE(OFFSET($AM$3,0,0,'Données projet'!$E$10+1,1))-AVERAGE(OFFSET($H$3,0,0,'Données projet'!$E$10+1,1))</f>
        <v>360.05819346986135</v>
      </c>
      <c r="AO60" s="59">
        <f t="shared" si="36"/>
        <v>300.47468388351081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90.399823245220787</v>
      </c>
      <c r="AV60" s="21">
        <f>EXP(-LN(2)/25)*AV59+(1-EXP(-LN(2)/25))/(LN(2)/25)*Calculateur!AQ60*Calculateur!AS60*VLOOKUP('Données projet'!$B$10,Paramètres!$A$1:$I$89,3,0)*0.475*44/12</f>
        <v>20.012541386345845</v>
      </c>
      <c r="AW60" s="21">
        <f>EXP(-LN(2)/2)*AW59+(1-EXP(-LN(2)/2))/(LN(2)/2)*AQ60*AT60*VLOOKUP('Données projet'!$B$10,Paramètres!$A$1:$I$89,3,0)*0.475*44/12</f>
        <v>4.526148753169304E-6</v>
      </c>
      <c r="AX60" s="21">
        <f t="shared" si="6"/>
        <v>110.41236915771539</v>
      </c>
      <c r="AY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13.2</v>
      </c>
      <c r="BD60" s="12">
        <f>IF('Données projet'!$A$88&gt;35,BD59+BC60-BL59,IF(A60&lt;'Données projet'!$A$88,$BA$205^A60,IF(A60='Données projet'!$A$88,'Données projet'!$B$88,BD59+BC60-BL59)))</f>
        <v>301.39999999999998</v>
      </c>
      <c r="BE60" s="13">
        <f>BD60*VLOOKUP('Données projet'!$B$11,Paramètres!$A$1:$I$89,3,0)*VLOOKUP('Données projet'!$B$11,Paramètres!$A$1:$I$89,5,0)</f>
        <v>172.40079999999998</v>
      </c>
      <c r="BF60" s="13">
        <f t="shared" si="37"/>
        <v>43.627283280202789</v>
      </c>
      <c r="BG60" s="20">
        <f t="shared" si="7"/>
        <v>376.24891171301982</v>
      </c>
      <c r="BH60" s="59">
        <f t="shared" si="8"/>
        <v>669.58224504635314</v>
      </c>
      <c r="BI60" s="59">
        <f ca="1">AVERAGE(OFFSET($BH$3,0,0,'Données projet'!$E$11+1,1))-AVERAGE(OFFSET($H$3,0,0,'Données projet'!$E$11+1,1))</f>
        <v>250.90038883668348</v>
      </c>
      <c r="BJ60" s="59">
        <f t="shared" si="38"/>
        <v>141.96132114475608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47.578854339589881</v>
      </c>
      <c r="BQ60" s="21">
        <f>EXP(-LN(2)/25)*BQ59+(1-EXP(-LN(2)/25))/(LN(2)/25)*Calculateur!BL60*Calculateur!BN60*VLOOKUP('Données projet'!$B$11,Paramètres!$A$1:$I$89,3,0)*0.475*44/12</f>
        <v>5.6309178301864193</v>
      </c>
      <c r="BR60" s="21">
        <f>EXP(-LN(2)/2)*BR59+(1-EXP(-LN(2)/2))/(LN(2)/2)*BL60*BO60*VLOOKUP('Données projet'!$B$11,Paramètres!$A$1:$I$89,3,0)*0.475*44/12</f>
        <v>3.2611109692550085E-4</v>
      </c>
      <c r="BS60" s="22">
        <f t="shared" si="9"/>
        <v>53.210098280873225</v>
      </c>
      <c r="BT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6.2</v>
      </c>
      <c r="BY60" s="12">
        <f>IF('Données projet'!$A$114&gt;35,BY59+BX60-CG59,IF(A60&lt;'Données projet'!$A$114,$BV$205^A60,IF(A60='Données projet'!$A$114,'Données projet'!$B$114,BY59+BX60-CG59)))</f>
        <v>275.39999999999992</v>
      </c>
      <c r="BZ60" s="13">
        <f>BY60*VLOOKUP('Données projet'!$B$12,Paramètres!$A$1:$I$89,3,0)*VLOOKUP('Données projet'!$B$12,Paramètres!$A$1:$I$89,5,0)</f>
        <v>219.10823999999994</v>
      </c>
      <c r="CA60" s="13">
        <f t="shared" si="39"/>
        <v>53.921020297295854</v>
      </c>
      <c r="CB60" s="20">
        <f t="shared" si="10"/>
        <v>475.52596168445672</v>
      </c>
      <c r="CC60" s="59">
        <f t="shared" si="11"/>
        <v>768.85929501779003</v>
      </c>
      <c r="CD60" s="59">
        <f ca="1">AVERAGE(OFFSET($CC$3,0,0,'Données projet'!$E$12+1,1))-AVERAGE(OFFSET($H$3,0,0,'Données projet'!$E$12+1,1))</f>
        <v>279.49721661620544</v>
      </c>
      <c r="CE60" s="59">
        <f t="shared" si="40"/>
        <v>275.18739333988754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45.903837435008931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45.903837435008931</v>
      </c>
      <c r="CO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22.4</v>
      </c>
      <c r="CT60" s="12">
        <f>IF('Données projet'!$A$140&gt;35,CT59+CS60-DB59,IF(A60&lt;'Données projet'!$A$140,$CQ$205^A60,IF(A60='Données projet'!$A$140,'Données projet'!$B$140,CT59+CS60-DB59)))</f>
        <v>616.79999999999995</v>
      </c>
      <c r="CU60" s="17">
        <f>CT60*VLOOKUP('Données projet'!$B$13,Paramètres!$A$1:$I$89,3,0)*VLOOKUP('Données projet'!$B$13,Paramètres!$A$1:$I$89,5,0)</f>
        <v>304.69920000000002</v>
      </c>
      <c r="CV60" s="13">
        <f t="shared" si="41"/>
        <v>72.160703394832638</v>
      </c>
      <c r="CW60" s="20">
        <f t="shared" si="13"/>
        <v>656.36433174600018</v>
      </c>
      <c r="CX60" s="59">
        <f t="shared" si="14"/>
        <v>949.69766507933355</v>
      </c>
      <c r="CY60" s="59">
        <f ca="1">AVERAGE(OFFSET($CX$3,0,0,'Données projet'!$E$13+1,1))-AVERAGE(OFFSET($H$3,0,0,'Données projet'!$E$13+1,1))</f>
        <v>396.27049617044378</v>
      </c>
      <c r="CZ60" s="59">
        <f t="shared" si="42"/>
        <v>335.2680289568774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99.75138679470065</v>
      </c>
      <c r="DG60" s="21">
        <f>EXP(-LN(2)/25)*DG59+(1-EXP(-LN(2)/25))/(LN(2)/25)*Calculateur!DB60*Calculateur!DD60*VLOOKUP('Données projet'!$B$13,Paramètres!$A$1:$I$89,3,0)*0.475*44/12</f>
        <v>22.236157095939831</v>
      </c>
      <c r="DH60" s="21">
        <f>EXP(-LN(2)/2)*DH59+(1-EXP(-LN(2)/2))/(LN(2)/2)*DB60*DE60*VLOOKUP('Données projet'!$B$13,Paramètres!$A$1:$I$89,3,0)*0.475*44/12</f>
        <v>3.3191757523241585E-5</v>
      </c>
      <c r="DI60" s="22">
        <f t="shared" si="15"/>
        <v>121.987577082398</v>
      </c>
      <c r="DJ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14.4</v>
      </c>
      <c r="DO60" s="12">
        <f>IF('Données projet'!$A$166&gt;35,DO59+DN60-DW59,IF(A60&lt;'Données projet'!$A$166,$DL$205^A60,IF(A60='Données projet'!$A$166,'Données projet'!$B$166,DO59+DN60-DW59)))</f>
        <v>356.79999999999995</v>
      </c>
      <c r="DP60" s="17">
        <f>DO60*VLOOKUP('Données projet'!$B$14,Paramètres!$A$1:$I$89,3,0)*VLOOKUP('Données projet'!$B$14,Paramètres!$A$1:$I$89,5,0)</f>
        <v>204.08959999999999</v>
      </c>
      <c r="DQ60" s="13">
        <f t="shared" si="43"/>
        <v>50.641876474764501</v>
      </c>
      <c r="DR60" s="20">
        <f t="shared" si="16"/>
        <v>443.6573215268815</v>
      </c>
      <c r="DS60" s="59">
        <f t="shared" si="17"/>
        <v>736.99065486021482</v>
      </c>
      <c r="DT60" s="59">
        <f ca="1">AVERAGE(OFFSET($DS$3,0,0,'Données projet'!$E$14+1,1))-AVERAGE(OFFSET($H$3,0,0,'Données projet'!$E$14+1,1))</f>
        <v>307.43900954374504</v>
      </c>
      <c r="DU60" s="59">
        <f t="shared" si="44"/>
        <v>185.25270859048999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57.094625207507832</v>
      </c>
      <c r="EB60" s="21">
        <f>EXP(-LN(2)/25)*EB59+(1-EXP(-LN(2)/25))/(LN(2)/25)*Calculateur!DW60*Calculateur!DY60*VLOOKUP('Données projet'!$B$14,Paramètres!$A$1:$I$89,3,0)*0.475*44/12</f>
        <v>12.639499822955271</v>
      </c>
      <c r="EC60" s="21">
        <f>EXP(-LN(2)/2)*EC59+(1-EXP(-LN(2)/2))/(LN(2)/2)*DW60*DZ60*VLOOKUP('Données projet'!$B$14,Paramètres!$A$1:$I$89,3,0)*0.475*44/12</f>
        <v>3.1444822916755171E-5</v>
      </c>
      <c r="ED60" s="22">
        <f t="shared" si="18"/>
        <v>69.734156475286028</v>
      </c>
      <c r="EE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12.316666666666663</v>
      </c>
      <c r="EJ60" s="12">
        <f>IF('Données projet'!$A$192&gt;35,EJ59+EI60-ER59,IF(A60&lt;'Données projet'!$A$192,$EG$205^A60,IF(A60='Données projet'!$A$192,'Données projet'!$B$192,EJ59+EI60-ER59)))</f>
        <v>364.05</v>
      </c>
      <c r="EK60" s="17">
        <f>EJ60*VLOOKUP('Données projet'!$B$15,Paramètres!$A$1:$I$89,3,0)*VLOOKUP('Données projet'!$B$15,Paramètres!$A$1:$I$89,5,0)</f>
        <v>227.16720000000001</v>
      </c>
      <c r="EL60" s="13">
        <f t="shared" si="45"/>
        <v>55.669722848822659</v>
      </c>
      <c r="EM60" s="20">
        <f t="shared" si="19"/>
        <v>492.60764062836614</v>
      </c>
      <c r="EN60" s="59">
        <f t="shared" si="20"/>
        <v>785.94097396169946</v>
      </c>
      <c r="EO60" s="59">
        <f ca="1">AVERAGE(OFFSET($EN$3,0,0,'Données projet'!$E$15+1,1))-AVERAGE(OFFSET($H$3,0,0,'Données projet'!$E$15+1,1))</f>
        <v>269.77739619445515</v>
      </c>
      <c r="EP60" s="59">
        <f t="shared" si="46"/>
        <v>347.56964743629885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81.265944266784587</v>
      </c>
      <c r="EW60" s="21">
        <f>EXP(-LN(2)/25)*EW59+(1-EXP(-LN(2)/25))/(LN(2)/25)*Calculateur!ER60*Calculateur!ET60*VLOOKUP('Données projet'!$B$15,Paramètres!$A$1:$I$89,3,0)*0.475*44/12</f>
        <v>43.396701116194897</v>
      </c>
      <c r="EX60" s="21">
        <f>EXP(-LN(2)/2)*EX59+(1-EXP(-LN(2)/2))/(LN(2)/2)*ER60*EU60*VLOOKUP('Données projet'!$B$15,Paramètres!$A$1:$I$89,3,0)*0.475*44/12</f>
        <v>2.1439651988696711E-6</v>
      </c>
      <c r="EY60" s="22">
        <f t="shared" si="21"/>
        <v>124.6626475269447</v>
      </c>
      <c r="EZ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7.4</v>
      </c>
      <c r="FE60" s="12">
        <f>IF('Données projet'!$A$218&gt;35,FE59+FD60-FM59,IF(A60&lt;'Données projet'!$A$218,$FB$205^A60,IF(A60='Données projet'!$A$218,'Données projet'!$B$218,FE59+FD60-FM59)))</f>
        <v>320.79999999999978</v>
      </c>
      <c r="FF60" s="17">
        <f>FE60*VLOOKUP('Données projet'!$B$16,Paramètres!$A$1:$I$89,3,0)*VLOOKUP('Données projet'!$B$16,Paramètres!$A$1:$I$89,5,0)</f>
        <v>255.22847999999985</v>
      </c>
      <c r="FG60" s="13">
        <f t="shared" si="47"/>
        <v>61.704188876103551</v>
      </c>
      <c r="FH60" s="20">
        <f t="shared" si="22"/>
        <v>551.99106495921342</v>
      </c>
      <c r="FI60" s="59">
        <f t="shared" si="23"/>
        <v>845.32439829254668</v>
      </c>
      <c r="FJ60" s="59">
        <f ca="1">AVERAGE(OFFSET($FI$3,0,0,'Données projet'!$E$16+1,1))-AVERAGE(OFFSET($H$3,0,0,'Données projet'!$E$16+1,1))</f>
        <v>331.52724290297675</v>
      </c>
      <c r="FK60" s="59">
        <f t="shared" si="48"/>
        <v>322.79102610158054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52.121615821918823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52.121615821918823</v>
      </c>
      <c r="FU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23.8</v>
      </c>
      <c r="FZ60" s="12">
        <f>IF('Données projet'!$A$244&gt;35,FZ59+FY60-GH59,IF(A60&lt;'Données projet'!$A$244,$FW$205^A60,IF(A60='Données projet'!$A$244,'Données projet'!$B$244,FZ59+FY60-GH59)))</f>
        <v>668.60000000000025</v>
      </c>
      <c r="GA60" s="17">
        <f>FZ60*VLOOKUP('Données projet'!$B$17,Paramètres!$A$1:$I$89,3,0)*VLOOKUP('Données projet'!$B$17,Paramètres!$A$1:$I$89,5,0)</f>
        <v>330.28840000000014</v>
      </c>
      <c r="GB60" s="13">
        <f t="shared" si="49"/>
        <v>77.490096809619459</v>
      </c>
      <c r="GC60" s="20">
        <f t="shared" si="25"/>
        <v>710.21421527675409</v>
      </c>
      <c r="GD60" s="59">
        <f t="shared" si="26"/>
        <v>1003.5475486100875</v>
      </c>
      <c r="GE60" s="59">
        <f ca="1">AVERAGE(OFFSET($GD$3,0,0,'Données projet'!$E$17+1,1))-AVERAGE(OFFSET($H$3,0,0,'Données projet'!$E$17+1,1))</f>
        <v>434.08297999735811</v>
      </c>
      <c r="GF60" s="59">
        <f t="shared" si="50"/>
        <v>371.04090283546122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109.10295034418054</v>
      </c>
      <c r="GM60" s="21">
        <f>EXP(-LN(2)/25)*GM59+(1-EXP(-LN(2)/25))/(LN(2)/25)*Calculateur!GH60*Calculateur!GJ60*VLOOKUP('Données projet'!$B$17,Paramètres!$A$1:$I$89,3,0)*0.475*44/12</f>
        <v>24.45977280553382</v>
      </c>
      <c r="GN60" s="21">
        <f>EXP(-LN(2)/2)*GN59+(1-EXP(-LN(2)/2))/(LN(2)/2)*GH60*GK60*VLOOKUP('Données projet'!$B$17,Paramètres!$A$1:$I$89,3,0)*0.475*44/12</f>
        <v>6.4874798795426698E-5</v>
      </c>
      <c r="GO60" s="21">
        <f t="shared" si="27"/>
        <v>133.56278802451317</v>
      </c>
      <c r="GP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16.2</v>
      </c>
      <c r="GU60" s="12">
        <f>IF('Données projet'!$A$270&gt;35,GU59+GT60-HC59,IF(A60&lt;'Données projet'!$A$270,$GR$205^A60,IF(A60='Données projet'!$A$270,'Données projet'!$B$270,GU59+GT60-HC59)))</f>
        <v>408.4</v>
      </c>
      <c r="GV60" s="17">
        <f>GU60*VLOOKUP('Données projet'!$B$18,Paramètres!$A$1:$I$89,3,0)*VLOOKUP('Données projet'!$B$18,Paramètres!$A$1:$I$89,5,0)</f>
        <v>233.60480000000001</v>
      </c>
      <c r="GW60" s="13">
        <f t="shared" si="51"/>
        <v>57.061416699587255</v>
      </c>
      <c r="GX60" s="20">
        <f t="shared" si="28"/>
        <v>506.24366075178114</v>
      </c>
      <c r="GY60" s="59">
        <f t="shared" si="29"/>
        <v>799.57699408511439</v>
      </c>
      <c r="GZ60" s="59">
        <f ca="1">AVERAGE(OFFSET($GY$3,0,0,'Données projet'!$E$18+1,1))-AVERAGE(OFFSET($H$3,0,0,'Données projet'!$E$18+1,1))</f>
        <v>362.57172983134313</v>
      </c>
      <c r="HA60" s="59">
        <f t="shared" si="52"/>
        <v>232.03250917542471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65.954001201751964</v>
      </c>
      <c r="HH60" s="21">
        <f>EXP(-LN(2)/25)*HH59+(1-EXP(-LN(2)/25))/(LN(2)/25)*Calculateur!HC60*Calculateur!HE60*VLOOKUP('Données projet'!$B$18,Paramètres!$A$1:$I$89,3,0)*0.475*44/12</f>
        <v>14.746083126781155</v>
      </c>
      <c r="HI60" s="21">
        <f>EXP(-LN(2)/2)*HI59+(1-EXP(-LN(2)/2))/(LN(2)/2)*HC60*HF60*VLOOKUP('Données projet'!$B$18,Paramètres!$A$1:$I$89,3,0)*0.475*44/12</f>
        <v>6.4636580439996722E-5</v>
      </c>
      <c r="HJ60" s="22">
        <f t="shared" si="30"/>
        <v>80.70014896511357</v>
      </c>
    </row>
    <row r="61" spans="1:218" x14ac:dyDescent="0.3">
      <c r="A61" s="10">
        <f t="shared" si="31"/>
        <v>58</v>
      </c>
      <c r="B61" s="71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5">
        <f t="shared" si="1"/>
        <v>357.12171588148163</v>
      </c>
      <c r="I61" s="6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5.2</v>
      </c>
      <c r="N61" s="13">
        <f>IF('Données projet'!$A$36&gt;35,N60+M61-V60,IF(A61&lt;'Données projet'!$A$36,$K$205^A61,IF(A61='Données projet'!$A$36,'Données projet'!$B$36,N60+M61-V60)))</f>
        <v>234.59999999999985</v>
      </c>
      <c r="O61" s="13">
        <f>N61*VLOOKUP('Données projet'!$B$9,Paramètres!$A$1:$I$89,3,0)*VLOOKUP('Données projet'!$B$9,Paramètres!$A$1:$I$89,5,0)</f>
        <v>186.64775999999989</v>
      </c>
      <c r="P61" s="13">
        <f t="shared" si="33"/>
        <v>46.79805411155214</v>
      </c>
      <c r="Q61" s="20">
        <f t="shared" si="53"/>
        <v>406.58479291095313</v>
      </c>
      <c r="R61" s="59">
        <f t="shared" si="0"/>
        <v>699.91812624428644</v>
      </c>
      <c r="S61" s="59">
        <f ca="1">AVERAGE(OFFSET($R$3,0,0,'Données projet'!$E$9+1,1))-AVERAGE(OFFSET($H$3,0,0,'Données projet'!$E$9+1,1))</f>
        <v>225.2323446080772</v>
      </c>
      <c r="T61" s="59">
        <f t="shared" si="34"/>
        <v>222.29030402759292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37.815858062670046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37.815858062670046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20.399999999999999</v>
      </c>
      <c r="AI61" s="13">
        <f>IF('Données projet'!$A$62&gt;35,AI60+AH61-AQ60,IF(A61&lt;'Données projet'!$A$62,$AF$205^A61,IF(A61='Données projet'!$A$62,'Données projet'!$B$62,AI60+AH61-AQ60)))</f>
        <v>588.19999999999993</v>
      </c>
      <c r="AJ61" s="13">
        <f>AI61*VLOOKUP('Données projet'!$B$10,Paramètres!$A$1:$I$89,3,0)*VLOOKUP('Données projet'!$B$10,Paramètres!$A$1:$I$89,5,0)</f>
        <v>290.57079999999996</v>
      </c>
      <c r="AK61" s="13">
        <f t="shared" si="35"/>
        <v>69.196082016229582</v>
      </c>
      <c r="AL61" s="20">
        <f t="shared" si="4"/>
        <v>626.59398617826639</v>
      </c>
      <c r="AM61" s="59">
        <f t="shared" si="5"/>
        <v>919.92731951159976</v>
      </c>
      <c r="AN61" s="59">
        <f ca="1">AVERAGE(OFFSET($AM$3,0,0,'Données projet'!$E$10+1,1))-AVERAGE(OFFSET($H$3,0,0,'Données projet'!$E$10+1,1))</f>
        <v>360.05819346986135</v>
      </c>
      <c r="AO61" s="59">
        <f t="shared" si="36"/>
        <v>300.47468388351081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88.627137849829722</v>
      </c>
      <c r="AV61" s="21">
        <f>EXP(-LN(2)/25)*AV60+(1-EXP(-LN(2)/25))/(LN(2)/25)*Calculateur!AQ61*Calculateur!AS61*VLOOKUP('Données projet'!$B$10,Paramètres!$A$1:$I$89,3,0)*0.475*44/12</f>
        <v>19.465297389722405</v>
      </c>
      <c r="AW61" s="21">
        <f>EXP(-LN(2)/2)*AW60+(1-EXP(-LN(2)/2))/(LN(2)/2)*AQ61*AT61*VLOOKUP('Données projet'!$B$10,Paramètres!$A$1:$I$89,3,0)*0.475*44/12</f>
        <v>3.200470476025052E-6</v>
      </c>
      <c r="AX61" s="21">
        <f t="shared" si="6"/>
        <v>108.0924384400226</v>
      </c>
      <c r="AY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13.2</v>
      </c>
      <c r="BD61" s="12">
        <f>IF('Données projet'!$A$88&gt;35,BD60+BC61-BL60,IF(A61&lt;'Données projet'!$A$88,$BA$205^A61,IF(A61='Données projet'!$A$88,'Données projet'!$B$88,BD60+BC61-BL60)))</f>
        <v>314.59999999999997</v>
      </c>
      <c r="BE61" s="13">
        <f>BD61*VLOOKUP('Données projet'!$B$11,Paramètres!$A$1:$I$89,3,0)*VLOOKUP('Données projet'!$B$11,Paramètres!$A$1:$I$89,5,0)</f>
        <v>179.95119999999997</v>
      </c>
      <c r="BF61" s="13">
        <f t="shared" si="37"/>
        <v>45.311328894322806</v>
      </c>
      <c r="BG61" s="20">
        <f t="shared" si="7"/>
        <v>392.33223782427882</v>
      </c>
      <c r="BH61" s="59">
        <f t="shared" si="8"/>
        <v>685.66557115761213</v>
      </c>
      <c r="BI61" s="59">
        <f ca="1">AVERAGE(OFFSET($BH$3,0,0,'Données projet'!$E$11+1,1))-AVERAGE(OFFSET($H$3,0,0,'Données projet'!$E$11+1,1))</f>
        <v>250.90038883668348</v>
      </c>
      <c r="BJ61" s="59">
        <f t="shared" si="38"/>
        <v>141.96132114475608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46.645862026226162</v>
      </c>
      <c r="BQ61" s="21">
        <f>EXP(-LN(2)/25)*BQ60+(1-EXP(-LN(2)/25))/(LN(2)/25)*Calculateur!BL61*Calculateur!BN61*VLOOKUP('Données projet'!$B$11,Paramètres!$A$1:$I$89,3,0)*0.475*44/12</f>
        <v>5.4769400860028723</v>
      </c>
      <c r="BR61" s="21">
        <f>EXP(-LN(2)/2)*BR60+(1-EXP(-LN(2)/2))/(LN(2)/2)*BL61*BO61*VLOOKUP('Données projet'!$B$11,Paramètres!$A$1:$I$89,3,0)*0.475*44/12</f>
        <v>2.3059536805620514E-4</v>
      </c>
      <c r="BS61" s="22">
        <f t="shared" si="9"/>
        <v>52.123032707597091</v>
      </c>
      <c r="BT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6.2</v>
      </c>
      <c r="BY61" s="12">
        <f>IF('Données projet'!$A$114&gt;35,BY60+BX61-CG60,IF(A61&lt;'Données projet'!$A$114,$BV$205^A61,IF(A61='Données projet'!$A$114,'Données projet'!$B$114,BY60+BX61-CG60)))</f>
        <v>281.59999999999991</v>
      </c>
      <c r="BZ61" s="13">
        <f>BY61*VLOOKUP('Données projet'!$B$12,Paramètres!$A$1:$I$89,3,0)*VLOOKUP('Données projet'!$B$12,Paramètres!$A$1:$I$89,5,0)</f>
        <v>224.04095999999993</v>
      </c>
      <c r="CA61" s="13">
        <f t="shared" si="39"/>
        <v>54.992235867381233</v>
      </c>
      <c r="CB61" s="20">
        <f t="shared" si="10"/>
        <v>485.98281613568884</v>
      </c>
      <c r="CC61" s="59">
        <f t="shared" si="11"/>
        <v>779.31614946902209</v>
      </c>
      <c r="CD61" s="59">
        <f ca="1">AVERAGE(OFFSET($CC$3,0,0,'Données projet'!$E$12+1,1))-AVERAGE(OFFSET($H$3,0,0,'Données projet'!$E$12+1,1))</f>
        <v>279.49721661620544</v>
      </c>
      <c r="CE61" s="59">
        <f t="shared" si="40"/>
        <v>275.18739333988754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45.003691181484612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45.003691181484612</v>
      </c>
      <c r="CO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22.4</v>
      </c>
      <c r="CT61" s="12">
        <f>IF('Données projet'!$A$140&gt;35,CT60+CS61-DB60,IF(A61&lt;'Données projet'!$A$140,$CQ$205^A61,IF(A61='Données projet'!$A$140,'Données projet'!$B$140,CT60+CS61-DB60)))</f>
        <v>639.19999999999993</v>
      </c>
      <c r="CU61" s="17">
        <f>CT61*VLOOKUP('Données projet'!$B$13,Paramètres!$A$1:$I$89,3,0)*VLOOKUP('Données projet'!$B$13,Paramètres!$A$1:$I$89,5,0)</f>
        <v>315.76479999999998</v>
      </c>
      <c r="CV61" s="13">
        <f t="shared" si="41"/>
        <v>74.471455790571582</v>
      </c>
      <c r="CW61" s="20">
        <f t="shared" si="13"/>
        <v>679.66147883524548</v>
      </c>
      <c r="CX61" s="59">
        <f t="shared" si="14"/>
        <v>972.99481216857885</v>
      </c>
      <c r="CY61" s="59">
        <f ca="1">AVERAGE(OFFSET($CX$3,0,0,'Données projet'!$E$13+1,1))-AVERAGE(OFFSET($H$3,0,0,'Données projet'!$E$13+1,1))</f>
        <v>396.27049617044378</v>
      </c>
      <c r="CZ61" s="59">
        <f t="shared" si="42"/>
        <v>335.2680289568774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97.79532294199484</v>
      </c>
      <c r="DG61" s="21">
        <f>EXP(-LN(2)/25)*DG60+(1-EXP(-LN(2)/25))/(LN(2)/25)*Calculateur!DB61*Calculateur!DD61*VLOOKUP('Données projet'!$B$13,Paramètres!$A$1:$I$89,3,0)*0.475*44/12</f>
        <v>21.628108210802676</v>
      </c>
      <c r="DH61" s="21">
        <f>EXP(-LN(2)/2)*DH60+(1-EXP(-LN(2)/2))/(LN(2)/2)*DB61*DE61*VLOOKUP('Données projet'!$B$13,Paramètres!$A$1:$I$89,3,0)*0.475*44/12</f>
        <v>2.347011682418373E-5</v>
      </c>
      <c r="DI61" s="22">
        <f t="shared" si="15"/>
        <v>119.42345462291435</v>
      </c>
      <c r="DJ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14.4</v>
      </c>
      <c r="DO61" s="12">
        <f>IF('Données projet'!$A$166&gt;35,DO60+DN61-DW60,IF(A61&lt;'Données projet'!$A$166,$DL$205^A61,IF(A61='Données projet'!$A$166,'Données projet'!$B$166,DO60+DN61-DW60)))</f>
        <v>371.19999999999993</v>
      </c>
      <c r="DP61" s="17">
        <f>DO61*VLOOKUP('Données projet'!$B$14,Paramètres!$A$1:$I$89,3,0)*VLOOKUP('Données projet'!$B$14,Paramètres!$A$1:$I$89,5,0)</f>
        <v>212.32639999999998</v>
      </c>
      <c r="DQ61" s="13">
        <f t="shared" si="43"/>
        <v>52.443636199504745</v>
      </c>
      <c r="DR61" s="20">
        <f t="shared" si="16"/>
        <v>461.141146380804</v>
      </c>
      <c r="DS61" s="59">
        <f t="shared" si="17"/>
        <v>754.47447971413726</v>
      </c>
      <c r="DT61" s="59">
        <f ca="1">AVERAGE(OFFSET($DS$3,0,0,'Données projet'!$E$14+1,1))-AVERAGE(OFFSET($H$3,0,0,'Données projet'!$E$14+1,1))</f>
        <v>307.43900954374504</v>
      </c>
      <c r="DU61" s="59">
        <f t="shared" si="44"/>
        <v>185.25270859048999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55.975034431471364</v>
      </c>
      <c r="EB61" s="21">
        <f>EXP(-LN(2)/25)*EB60+(1-EXP(-LN(2)/25))/(LN(2)/25)*Calculateur!DW61*Calculateur!DY61*VLOOKUP('Données projet'!$B$14,Paramètres!$A$1:$I$89,3,0)*0.475*44/12</f>
        <v>12.293872035614152</v>
      </c>
      <c r="EC61" s="21">
        <f>EXP(-LN(2)/2)*EC60+(1-EXP(-LN(2)/2))/(LN(2)/2)*DW61*DZ61*VLOOKUP('Données projet'!$B$14,Paramètres!$A$1:$I$89,3,0)*0.475*44/12</f>
        <v>2.2234847517647734E-5</v>
      </c>
      <c r="ED61" s="22">
        <f t="shared" si="18"/>
        <v>68.268928701933035</v>
      </c>
      <c r="EE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12.316666666666663</v>
      </c>
      <c r="EJ61" s="12">
        <f>IF('Données projet'!$A$192&gt;35,EJ60+EI61-ER60,IF(A61&lt;'Données projet'!$A$192,$EG$205^A61,IF(A61='Données projet'!$A$192,'Données projet'!$B$192,EJ60+EI61-ER60)))</f>
        <v>376.36666666666667</v>
      </c>
      <c r="EK61" s="17">
        <f>EJ61*VLOOKUP('Données projet'!$B$15,Paramètres!$A$1:$I$89,3,0)*VLOOKUP('Données projet'!$B$15,Paramètres!$A$1:$I$89,5,0)</f>
        <v>234.8528</v>
      </c>
      <c r="EL61" s="13">
        <f t="shared" si="45"/>
        <v>57.330691860456056</v>
      </c>
      <c r="EM61" s="20">
        <f t="shared" si="19"/>
        <v>508.88624832362757</v>
      </c>
      <c r="EN61" s="59">
        <f t="shared" si="20"/>
        <v>802.21958165696083</v>
      </c>
      <c r="EO61" s="59">
        <f ca="1">AVERAGE(OFFSET($EN$3,0,0,'Données projet'!$E$15+1,1))-AVERAGE(OFFSET($H$3,0,0,'Données projet'!$E$15+1,1))</f>
        <v>269.77739619445515</v>
      </c>
      <c r="EP61" s="59">
        <f t="shared" si="46"/>
        <v>347.56964743629885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79.67236866704458</v>
      </c>
      <c r="EW61" s="21">
        <f>EXP(-LN(2)/25)*EW60+(1-EXP(-LN(2)/25))/(LN(2)/25)*Calculateur!ER61*Calculateur!ET61*VLOOKUP('Données projet'!$B$15,Paramètres!$A$1:$I$89,3,0)*0.475*44/12</f>
        <v>42.210016042039221</v>
      </c>
      <c r="EX61" s="21">
        <f>EXP(-LN(2)/2)*EX60+(1-EXP(-LN(2)/2))/(LN(2)/2)*ER61*EU61*VLOOKUP('Données projet'!$B$15,Paramètres!$A$1:$I$89,3,0)*0.475*44/12</f>
        <v>1.5160123307487094E-6</v>
      </c>
      <c r="EY61" s="22">
        <f t="shared" si="21"/>
        <v>121.88238622509613</v>
      </c>
      <c r="EZ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7.4</v>
      </c>
      <c r="FE61" s="12">
        <f>IF('Données projet'!$A$218&gt;35,FE60+FD61-FM60,IF(A61&lt;'Données projet'!$A$218,$FB$205^A61,IF(A61='Données projet'!$A$218,'Données projet'!$B$218,FE60+FD61-FM60)))</f>
        <v>328.19999999999976</v>
      </c>
      <c r="FF61" s="17">
        <f>FE61*VLOOKUP('Données projet'!$B$16,Paramètres!$A$1:$I$89,3,0)*VLOOKUP('Données projet'!$B$16,Paramètres!$A$1:$I$89,5,0)</f>
        <v>261.11591999999985</v>
      </c>
      <c r="FG61" s="13">
        <f t="shared" si="47"/>
        <v>62.960187681145797</v>
      </c>
      <c r="FH61" s="20">
        <f t="shared" si="22"/>
        <v>564.43255421132858</v>
      </c>
      <c r="FI61" s="59">
        <f t="shared" si="23"/>
        <v>857.76588754466184</v>
      </c>
      <c r="FJ61" s="59">
        <f ca="1">AVERAGE(OFFSET($FI$3,0,0,'Données projet'!$E$16+1,1))-AVERAGE(OFFSET($H$3,0,0,'Données projet'!$E$16+1,1))</f>
        <v>331.52724290297675</v>
      </c>
      <c r="FK61" s="59">
        <f t="shared" si="48"/>
        <v>322.79102610158054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51.099542726697543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51.099542726697543</v>
      </c>
      <c r="FU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23.8</v>
      </c>
      <c r="FZ61" s="12">
        <f>IF('Données projet'!$A$244&gt;35,FZ60+FY61-GH60,IF(A61&lt;'Données projet'!$A$244,$FW$205^A61,IF(A61='Données projet'!$A$244,'Données projet'!$B$244,FZ60+FY61-GH60)))</f>
        <v>692.4000000000002</v>
      </c>
      <c r="GA61" s="17">
        <f>FZ61*VLOOKUP('Données projet'!$B$17,Paramètres!$A$1:$I$89,3,0)*VLOOKUP('Données projet'!$B$17,Paramètres!$A$1:$I$89,5,0)</f>
        <v>342.04560000000009</v>
      </c>
      <c r="GB61" s="13">
        <f t="shared" si="49"/>
        <v>79.922432674592855</v>
      </c>
      <c r="GC61" s="20">
        <f t="shared" si="25"/>
        <v>734.92765690824933</v>
      </c>
      <c r="GD61" s="59">
        <f t="shared" si="26"/>
        <v>1028.2609902415827</v>
      </c>
      <c r="GE61" s="59">
        <f ca="1">AVERAGE(OFFSET($GD$3,0,0,'Données projet'!$E$17+1,1))-AVERAGE(OFFSET($H$3,0,0,'Données projet'!$E$17+1,1))</f>
        <v>434.08297999735811</v>
      </c>
      <c r="GF61" s="59">
        <f t="shared" si="50"/>
        <v>371.04090283546122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106.96350803415997</v>
      </c>
      <c r="GM61" s="21">
        <f>EXP(-LN(2)/25)*GM60+(1-EXP(-LN(2)/25))/(LN(2)/25)*Calculateur!GH61*Calculateur!GJ61*VLOOKUP('Données projet'!$B$17,Paramètres!$A$1:$I$89,3,0)*0.475*44/12</f>
        <v>23.79091903188295</v>
      </c>
      <c r="GN61" s="21">
        <f>EXP(-LN(2)/2)*GN60+(1-EXP(-LN(2)/2))/(LN(2)/2)*GH61*GK61*VLOOKUP('Données projet'!$B$17,Paramètres!$A$1:$I$89,3,0)*0.475*44/12</f>
        <v>4.5873410156359085E-5</v>
      </c>
      <c r="GO61" s="21">
        <f t="shared" si="27"/>
        <v>130.75447293945308</v>
      </c>
      <c r="GP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16.2</v>
      </c>
      <c r="GU61" s="12">
        <f>IF('Données projet'!$A$270&gt;35,GU60+GT61-HC60,IF(A61&lt;'Données projet'!$A$270,$GR$205^A61,IF(A61='Données projet'!$A$270,'Données projet'!$B$270,GU60+GT61-HC60)))</f>
        <v>424.59999999999997</v>
      </c>
      <c r="GV61" s="17">
        <f>GU61*VLOOKUP('Données projet'!$B$18,Paramètres!$A$1:$I$89,3,0)*VLOOKUP('Données projet'!$B$18,Paramètres!$A$1:$I$89,5,0)</f>
        <v>242.87119999999999</v>
      </c>
      <c r="GW61" s="13">
        <f t="shared" si="51"/>
        <v>59.056854931621622</v>
      </c>
      <c r="GX61" s="20">
        <f t="shared" si="28"/>
        <v>525.85802900590761</v>
      </c>
      <c r="GY61" s="59">
        <f t="shared" si="29"/>
        <v>819.19136233924087</v>
      </c>
      <c r="GZ61" s="59">
        <f ca="1">AVERAGE(OFFSET($GY$3,0,0,'Données projet'!$E$18+1,1))-AVERAGE(OFFSET($H$3,0,0,'Données projet'!$E$18+1,1))</f>
        <v>362.57172983134313</v>
      </c>
      <c r="HA61" s="59">
        <f t="shared" si="52"/>
        <v>232.03250917542471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64.660683466154154</v>
      </c>
      <c r="HH61" s="21">
        <f>EXP(-LN(2)/25)*HH60+(1-EXP(-LN(2)/25))/(LN(2)/25)*Calculateur!HC61*Calculateur!HE61*VLOOKUP('Données projet'!$B$18,Paramètres!$A$1:$I$89,3,0)*0.475*44/12</f>
        <v>14.342850708216515</v>
      </c>
      <c r="HI61" s="21">
        <f>EXP(-LN(2)/2)*HI60+(1-EXP(-LN(2)/2))/(LN(2)/2)*HC61*HF61*VLOOKUP('Données projet'!$B$18,Paramètres!$A$1:$I$89,3,0)*0.475*44/12</f>
        <v>4.570496434183144E-5</v>
      </c>
      <c r="HJ61" s="22">
        <f t="shared" si="30"/>
        <v>79.003579879335007</v>
      </c>
    </row>
    <row r="62" spans="1:218" x14ac:dyDescent="0.3">
      <c r="A62" s="10">
        <f t="shared" si="31"/>
        <v>59</v>
      </c>
      <c r="B62" s="71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5">
        <f t="shared" si="1"/>
        <v>358.19078115001309</v>
      </c>
      <c r="I62" s="6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5.2</v>
      </c>
      <c r="N62" s="13">
        <f>IF('Données projet'!$A$36&gt;35,N61+M62-V61,IF(A62&lt;'Données projet'!$A$36,$K$205^A62,IF(A62='Données projet'!$A$36,'Données projet'!$B$36,N61+M62-V61)))</f>
        <v>239.79999999999984</v>
      </c>
      <c r="O62" s="13">
        <f>N62*VLOOKUP('Données projet'!$B$9,Paramètres!$A$1:$I$89,3,0)*VLOOKUP('Données projet'!$B$9,Paramètres!$A$1:$I$89,5,0)</f>
        <v>190.78487999999987</v>
      </c>
      <c r="P62" s="13">
        <f t="shared" si="33"/>
        <v>47.713437020051622</v>
      </c>
      <c r="Q62" s="20">
        <f t="shared" si="53"/>
        <v>415.384568809923</v>
      </c>
      <c r="R62" s="59">
        <f t="shared" si="0"/>
        <v>708.71790214325631</v>
      </c>
      <c r="S62" s="59">
        <f ca="1">AVERAGE(OFFSET($R$3,0,0,'Données projet'!$E$9+1,1))-AVERAGE(OFFSET($H$3,0,0,'Données projet'!$E$9+1,1))</f>
        <v>225.2323446080772</v>
      </c>
      <c r="T62" s="59">
        <f t="shared" si="34"/>
        <v>222.29030402759292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37.074312151456986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37.074312151456986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20.399999999999999</v>
      </c>
      <c r="AI62" s="13">
        <f>IF('Données projet'!$A$62&gt;35,AI61+AH62-AQ61,IF(A62&lt;'Données projet'!$A$62,$AF$205^A62,IF(A62='Données projet'!$A$62,'Données projet'!$B$62,AI61+AH62-AQ61)))</f>
        <v>608.59999999999991</v>
      </c>
      <c r="AJ62" s="13">
        <f>AI62*VLOOKUP('Données projet'!$B$10,Paramètres!$A$1:$I$89,3,0)*VLOOKUP('Données projet'!$B$10,Paramètres!$A$1:$I$89,5,0)</f>
        <v>300.64839999999998</v>
      </c>
      <c r="AK62" s="13">
        <f t="shared" si="35"/>
        <v>71.312375936220576</v>
      </c>
      <c r="AL62" s="20">
        <f t="shared" si="4"/>
        <v>647.83168475558409</v>
      </c>
      <c r="AM62" s="59">
        <f t="shared" si="5"/>
        <v>941.16501808891735</v>
      </c>
      <c r="AN62" s="59">
        <f ca="1">AVERAGE(OFFSET($AM$3,0,0,'Données projet'!$E$10+1,1))-AVERAGE(OFFSET($H$3,0,0,'Données projet'!$E$10+1,1))</f>
        <v>360.05819346986135</v>
      </c>
      <c r="AO62" s="59">
        <f t="shared" si="36"/>
        <v>300.47468388351081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86.889213733810948</v>
      </c>
      <c r="AV62" s="21">
        <f>EXP(-LN(2)/25)*AV61+(1-EXP(-LN(2)/25))/(LN(2)/25)*Calculateur!AQ62*Calculateur!AS62*VLOOKUP('Données projet'!$B$10,Paramètres!$A$1:$I$89,3,0)*0.475*44/12</f>
        <v>18.933017808964944</v>
      </c>
      <c r="AW62" s="21">
        <f>EXP(-LN(2)/2)*AW61+(1-EXP(-LN(2)/2))/(LN(2)/2)*AQ62*AT62*VLOOKUP('Données projet'!$B$10,Paramètres!$A$1:$I$89,3,0)*0.475*44/12</f>
        <v>2.263074376584652E-6</v>
      </c>
      <c r="AX62" s="21">
        <f t="shared" si="6"/>
        <v>105.82223380585027</v>
      </c>
      <c r="AY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13.2</v>
      </c>
      <c r="BD62" s="12">
        <f>IF('Données projet'!$A$88&gt;35,BD61+BC62-BL61,IF(A62&lt;'Données projet'!$A$88,$BA$205^A62,IF(A62='Données projet'!$A$88,'Données projet'!$B$88,BD61+BC62-BL61)))</f>
        <v>327.79999999999995</v>
      </c>
      <c r="BE62" s="13">
        <f>BD62*VLOOKUP('Données projet'!$B$11,Paramètres!$A$1:$I$89,3,0)*VLOOKUP('Données projet'!$B$11,Paramètres!$A$1:$I$89,5,0)</f>
        <v>187.50159999999997</v>
      </c>
      <c r="BF62" s="13">
        <f t="shared" si="37"/>
        <v>46.987167279662351</v>
      </c>
      <c r="BG62" s="20">
        <f t="shared" si="7"/>
        <v>408.40126967874517</v>
      </c>
      <c r="BH62" s="59">
        <f t="shared" si="8"/>
        <v>701.73460301207842</v>
      </c>
      <c r="BI62" s="59">
        <f ca="1">AVERAGE(OFFSET($BH$3,0,0,'Données projet'!$E$11+1,1))-AVERAGE(OFFSET($H$3,0,0,'Données projet'!$E$11+1,1))</f>
        <v>250.90038883668348</v>
      </c>
      <c r="BJ62" s="59">
        <f t="shared" si="38"/>
        <v>141.96132114475608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45.731165123058382</v>
      </c>
      <c r="BQ62" s="21">
        <f>EXP(-LN(2)/25)*BQ61+(1-EXP(-LN(2)/25))/(LN(2)/25)*Calculateur!BL62*Calculateur!BN62*VLOOKUP('Données projet'!$B$11,Paramètres!$A$1:$I$89,3,0)*0.475*44/12</f>
        <v>5.3271728713313626</v>
      </c>
      <c r="BR62" s="21">
        <f>EXP(-LN(2)/2)*BR61+(1-EXP(-LN(2)/2))/(LN(2)/2)*BL62*BO62*VLOOKUP('Données projet'!$B$11,Paramètres!$A$1:$I$89,3,0)*0.475*44/12</f>
        <v>1.6305554846275045E-4</v>
      </c>
      <c r="BS62" s="22">
        <f t="shared" si="9"/>
        <v>51.058501049938208</v>
      </c>
      <c r="BT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6.2</v>
      </c>
      <c r="BY62" s="12">
        <f>IF('Données projet'!$A$114&gt;35,BY61+BX62-CG61,IF(A62&lt;'Données projet'!$A$114,$BV$205^A62,IF(A62='Données projet'!$A$114,'Données projet'!$B$114,BY61+BX62-CG61)))</f>
        <v>287.7999999999999</v>
      </c>
      <c r="BZ62" s="13">
        <f>BY62*VLOOKUP('Données projet'!$B$12,Paramètres!$A$1:$I$89,3,0)*VLOOKUP('Données projet'!$B$12,Paramètres!$A$1:$I$89,5,0)</f>
        <v>228.97367999999994</v>
      </c>
      <c r="CA62" s="13">
        <f t="shared" si="39"/>
        <v>56.060709423888284</v>
      </c>
      <c r="CB62" s="20">
        <f t="shared" si="10"/>
        <v>496.43489491327199</v>
      </c>
      <c r="CC62" s="59">
        <f t="shared" si="11"/>
        <v>789.7682282466053</v>
      </c>
      <c r="CD62" s="59">
        <f ca="1">AVERAGE(OFFSET($CC$3,0,0,'Données projet'!$E$12+1,1))-AVERAGE(OFFSET($H$3,0,0,'Données projet'!$E$12+1,1))</f>
        <v>279.49721661620544</v>
      </c>
      <c r="CE62" s="59">
        <f t="shared" si="40"/>
        <v>275.18739333988754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44.121196246956906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44.121196246956906</v>
      </c>
      <c r="CO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22.4</v>
      </c>
      <c r="CT62" s="12">
        <f>IF('Données projet'!$A$140&gt;35,CT61+CS62-DB61,IF(A62&lt;'Données projet'!$A$140,$CQ$205^A62,IF(A62='Données projet'!$A$140,'Données projet'!$B$140,CT61+CS62-DB61)))</f>
        <v>661.59999999999991</v>
      </c>
      <c r="CU62" s="17">
        <f>CT62*VLOOKUP('Données projet'!$B$13,Paramètres!$A$1:$I$89,3,0)*VLOOKUP('Données projet'!$B$13,Paramètres!$A$1:$I$89,5,0)</f>
        <v>326.83039999999994</v>
      </c>
      <c r="CV62" s="13">
        <f t="shared" si="41"/>
        <v>76.772799562793949</v>
      </c>
      <c r="CW62" s="20">
        <f t="shared" si="13"/>
        <v>702.94223923853258</v>
      </c>
      <c r="CX62" s="59">
        <f t="shared" si="14"/>
        <v>996.27557257186595</v>
      </c>
      <c r="CY62" s="59">
        <f ca="1">AVERAGE(OFFSET($CX$3,0,0,'Données projet'!$E$13+1,1))-AVERAGE(OFFSET($H$3,0,0,'Données projet'!$E$13+1,1))</f>
        <v>396.27049617044378</v>
      </c>
      <c r="CZ62" s="59">
        <f t="shared" si="42"/>
        <v>335.2680289568774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95.877616308359435</v>
      </c>
      <c r="DG62" s="21">
        <f>EXP(-LN(2)/25)*DG61+(1-EXP(-LN(2)/25))/(LN(2)/25)*Calculateur!DB62*Calculateur!DD62*VLOOKUP('Données projet'!$B$13,Paramètres!$A$1:$I$89,3,0)*0.475*44/12</f>
        <v>21.036686454405498</v>
      </c>
      <c r="DH62" s="21">
        <f>EXP(-LN(2)/2)*DH61+(1-EXP(-LN(2)/2))/(LN(2)/2)*DB62*DE62*VLOOKUP('Données projet'!$B$13,Paramètres!$A$1:$I$89,3,0)*0.475*44/12</f>
        <v>1.6595878761620792E-5</v>
      </c>
      <c r="DI62" s="22">
        <f t="shared" si="15"/>
        <v>116.9143193586437</v>
      </c>
      <c r="DJ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14.4</v>
      </c>
      <c r="DO62" s="12">
        <f>IF('Données projet'!$A$166&gt;35,DO61+DN62-DW61,IF(A62&lt;'Données projet'!$A$166,$DL$205^A62,IF(A62='Données projet'!$A$166,'Données projet'!$B$166,DO61+DN62-DW61)))</f>
        <v>385.59999999999991</v>
      </c>
      <c r="DP62" s="17">
        <f>DO62*VLOOKUP('Données projet'!$B$14,Paramètres!$A$1:$I$89,3,0)*VLOOKUP('Données projet'!$B$14,Paramètres!$A$1:$I$89,5,0)</f>
        <v>220.56319999999997</v>
      </c>
      <c r="DQ62" s="13">
        <f t="shared" si="43"/>
        <v>54.23727623736265</v>
      </c>
      <c r="DR62" s="20">
        <f t="shared" si="16"/>
        <v>478.6108294467399</v>
      </c>
      <c r="DS62" s="59">
        <f t="shared" si="17"/>
        <v>771.94416278007316</v>
      </c>
      <c r="DT62" s="59">
        <f ca="1">AVERAGE(OFFSET($DS$3,0,0,'Données projet'!$E$14+1,1))-AVERAGE(OFFSET($H$3,0,0,'Données projet'!$E$14+1,1))</f>
        <v>307.43900954374504</v>
      </c>
      <c r="DU62" s="59">
        <f t="shared" si="44"/>
        <v>185.25270859048999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54.877398147670029</v>
      </c>
      <c r="EB62" s="21">
        <f>EXP(-LN(2)/25)*EB61+(1-EXP(-LN(2)/25))/(LN(2)/25)*Calculateur!DW62*Calculateur!DY62*VLOOKUP('Données projet'!$B$14,Paramètres!$A$1:$I$89,3,0)*0.475*44/12</f>
        <v>11.957695458293651</v>
      </c>
      <c r="EC62" s="21">
        <f>EXP(-LN(2)/2)*EC61+(1-EXP(-LN(2)/2))/(LN(2)/2)*DW62*DZ62*VLOOKUP('Données projet'!$B$14,Paramètres!$A$1:$I$89,3,0)*0.475*44/12</f>
        <v>1.5722411458377586E-5</v>
      </c>
      <c r="ED62" s="22">
        <f t="shared" si="18"/>
        <v>66.83510932837514</v>
      </c>
      <c r="EE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12.316666666666663</v>
      </c>
      <c r="EJ62" s="12">
        <f>IF('Données projet'!$A$192&gt;35,EJ61+EI62-ER61,IF(A62&lt;'Données projet'!$A$192,$EG$205^A62,IF(A62='Données projet'!$A$192,'Données projet'!$B$192,EJ61+EI62-ER61)))</f>
        <v>388.68333333333334</v>
      </c>
      <c r="EK62" s="17">
        <f>EJ62*VLOOKUP('Données projet'!$B$15,Paramètres!$A$1:$I$89,3,0)*VLOOKUP('Données projet'!$B$15,Paramètres!$A$1:$I$89,5,0)</f>
        <v>242.5384</v>
      </c>
      <c r="EL62" s="13">
        <f t="shared" si="45"/>
        <v>58.985344734966667</v>
      </c>
      <c r="EM62" s="20">
        <f t="shared" si="19"/>
        <v>525.15385541340027</v>
      </c>
      <c r="EN62" s="59">
        <f t="shared" si="20"/>
        <v>818.48718874673364</v>
      </c>
      <c r="EO62" s="59">
        <f ca="1">AVERAGE(OFFSET($EN$3,0,0,'Données projet'!$E$15+1,1))-AVERAGE(OFFSET($H$3,0,0,'Données projet'!$E$15+1,1))</f>
        <v>269.77739619445515</v>
      </c>
      <c r="EP62" s="59">
        <f t="shared" si="46"/>
        <v>347.56964743629885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78.110042112830328</v>
      </c>
      <c r="EW62" s="21">
        <f>EXP(-LN(2)/25)*EW61+(1-EXP(-LN(2)/25))/(LN(2)/25)*Calculateur!ER62*Calculateur!ET62*VLOOKUP('Données projet'!$B$15,Paramètres!$A$1:$I$89,3,0)*0.475*44/12</f>
        <v>41.055780933641387</v>
      </c>
      <c r="EX62" s="21">
        <f>EXP(-LN(2)/2)*EX61+(1-EXP(-LN(2)/2))/(LN(2)/2)*ER62*EU62*VLOOKUP('Données projet'!$B$15,Paramètres!$A$1:$I$89,3,0)*0.475*44/12</f>
        <v>1.0719825994348355E-6</v>
      </c>
      <c r="EY62" s="22">
        <f t="shared" si="21"/>
        <v>119.16582411845431</v>
      </c>
      <c r="EZ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7.4</v>
      </c>
      <c r="FE62" s="12">
        <f>IF('Données projet'!$A$218&gt;35,FE61+FD62-FM61,IF(A62&lt;'Données projet'!$A$218,$FB$205^A62,IF(A62='Données projet'!$A$218,'Données projet'!$B$218,FE61+FD62-FM61)))</f>
        <v>335.59999999999974</v>
      </c>
      <c r="FF62" s="17">
        <f>FE62*VLOOKUP('Données projet'!$B$16,Paramètres!$A$1:$I$89,3,0)*VLOOKUP('Données projet'!$B$16,Paramètres!$A$1:$I$89,5,0)</f>
        <v>267.00335999999982</v>
      </c>
      <c r="FG62" s="13">
        <f t="shared" si="47"/>
        <v>64.212894147794728</v>
      </c>
      <c r="FH62" s="20">
        <f t="shared" si="22"/>
        <v>576.86830930740882</v>
      </c>
      <c r="FI62" s="59">
        <f t="shared" si="23"/>
        <v>870.20164264074219</v>
      </c>
      <c r="FJ62" s="59">
        <f ca="1">AVERAGE(OFFSET($FI$3,0,0,'Données projet'!$E$16+1,1))-AVERAGE(OFFSET($H$3,0,0,'Données projet'!$E$16+1,1))</f>
        <v>331.52724290297675</v>
      </c>
      <c r="FK62" s="59">
        <f t="shared" si="48"/>
        <v>322.79102610158054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50.097511861470515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50.097511861470515</v>
      </c>
      <c r="FU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23.8</v>
      </c>
      <c r="FZ62" s="12">
        <f>IF('Données projet'!$A$244&gt;35,FZ61+FY62-GH61,IF(A62&lt;'Données projet'!$A$244,$FW$205^A62,IF(A62='Données projet'!$A$244,'Données projet'!$B$244,FZ61+FY62-GH61)))</f>
        <v>716.20000000000016</v>
      </c>
      <c r="GA62" s="17">
        <f>FZ62*VLOOKUP('Données projet'!$B$17,Paramètres!$A$1:$I$89,3,0)*VLOOKUP('Données projet'!$B$17,Paramètres!$A$1:$I$89,5,0)</f>
        <v>353.8028000000001</v>
      </c>
      <c r="GB62" s="13">
        <f t="shared" si="49"/>
        <v>82.345054088850119</v>
      </c>
      <c r="GC62" s="20">
        <f t="shared" si="25"/>
        <v>759.62417920474752</v>
      </c>
      <c r="GD62" s="59">
        <f t="shared" si="26"/>
        <v>1052.9575125380809</v>
      </c>
      <c r="GE62" s="59">
        <f ca="1">AVERAGE(OFFSET($GD$3,0,0,'Données projet'!$E$17+1,1))-AVERAGE(OFFSET($H$3,0,0,'Données projet'!$E$17+1,1))</f>
        <v>434.08297999735811</v>
      </c>
      <c r="GF62" s="59">
        <f t="shared" si="50"/>
        <v>371.04090283546122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104.86601888290795</v>
      </c>
      <c r="GM62" s="21">
        <f>EXP(-LN(2)/25)*GM61+(1-EXP(-LN(2)/25))/(LN(2)/25)*Calculateur!GH62*Calculateur!GJ62*VLOOKUP('Données projet'!$B$17,Paramètres!$A$1:$I$89,3,0)*0.475*44/12</f>
        <v>23.140355099846055</v>
      </c>
      <c r="GN62" s="21">
        <f>EXP(-LN(2)/2)*GN61+(1-EXP(-LN(2)/2))/(LN(2)/2)*GH62*GK62*VLOOKUP('Données projet'!$B$17,Paramètres!$A$1:$I$89,3,0)*0.475*44/12</f>
        <v>3.2437399397713349E-5</v>
      </c>
      <c r="GO62" s="21">
        <f t="shared" si="27"/>
        <v>128.00640642015341</v>
      </c>
      <c r="GP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16.2</v>
      </c>
      <c r="GU62" s="12">
        <f>IF('Données projet'!$A$270&gt;35,GU61+GT62-HC61,IF(A62&lt;'Données projet'!$A$270,$GR$205^A62,IF(A62='Données projet'!$A$270,'Données projet'!$B$270,GU61+GT62-HC61)))</f>
        <v>440.79999999999995</v>
      </c>
      <c r="GV62" s="17">
        <f>GU62*VLOOKUP('Données projet'!$B$18,Paramètres!$A$1:$I$89,3,0)*VLOOKUP('Données projet'!$B$18,Paramètres!$A$1:$I$89,5,0)</f>
        <v>252.13759999999996</v>
      </c>
      <c r="GW62" s="13">
        <f t="shared" si="51"/>
        <v>61.043448657490721</v>
      </c>
      <c r="GX62" s="20">
        <f t="shared" si="28"/>
        <v>545.45699307846292</v>
      </c>
      <c r="GY62" s="59">
        <f t="shared" si="29"/>
        <v>838.79032641179629</v>
      </c>
      <c r="GZ62" s="59">
        <f ca="1">AVERAGE(OFFSET($GY$3,0,0,'Données projet'!$E$18+1,1))-AVERAGE(OFFSET($H$3,0,0,'Données projet'!$E$18+1,1))</f>
        <v>362.57172983134313</v>
      </c>
      <c r="HA62" s="59">
        <f t="shared" si="52"/>
        <v>232.03250917542471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63.392726902505494</v>
      </c>
      <c r="HH62" s="21">
        <f>EXP(-LN(2)/25)*HH61+(1-EXP(-LN(2)/25))/(LN(2)/25)*Calculateur!HC62*Calculateur!HE62*VLOOKUP('Données projet'!$B$18,Paramètres!$A$1:$I$89,3,0)*0.475*44/12</f>
        <v>13.950644701342597</v>
      </c>
      <c r="HI62" s="21">
        <f>EXP(-LN(2)/2)*HI61+(1-EXP(-LN(2)/2))/(LN(2)/2)*HC62*HF62*VLOOKUP('Données projet'!$B$18,Paramètres!$A$1:$I$89,3,0)*0.475*44/12</f>
        <v>3.2318290219998361E-5</v>
      </c>
      <c r="HJ62" s="22">
        <f t="shared" si="30"/>
        <v>77.343403922138307</v>
      </c>
    </row>
    <row r="63" spans="1:218" x14ac:dyDescent="0.3">
      <c r="A63" s="10">
        <f t="shared" si="31"/>
        <v>60</v>
      </c>
      <c r="B63" s="71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5">
        <f t="shared" si="1"/>
        <v>359.25939047133363</v>
      </c>
      <c r="I63" s="6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245</v>
      </c>
      <c r="L63" s="12">
        <f>VLOOKUP(A63,'Données projet'!$A$35:$I$55,9,0)</f>
        <v>5.2</v>
      </c>
      <c r="M63" s="12">
        <f t="array" ref="M63">INDEX(L:L,MIN(IF(ISNUMBER(L63:L259),ROW(L63:L259),"")))</f>
        <v>5.2</v>
      </c>
      <c r="N63" s="13">
        <f>IF('Données projet'!$A$36&gt;35,N62+M63-V62,IF(A63&lt;'Données projet'!$A$36,$K$205^A63,IF(A63='Données projet'!$A$36,'Données projet'!$B$36,N62+M63-V62)))</f>
        <v>244.99999999999983</v>
      </c>
      <c r="O63" s="13">
        <f>N63*VLOOKUP('Données projet'!$B$9,Paramètres!$A$1:$I$89,3,0)*VLOOKUP('Données projet'!$B$9,Paramètres!$A$1:$I$89,5,0)</f>
        <v>194.92199999999988</v>
      </c>
      <c r="P63" s="13">
        <f t="shared" si="33"/>
        <v>48.626512129794925</v>
      </c>
      <c r="Q63" s="20">
        <f t="shared" si="53"/>
        <v>424.18032529272591</v>
      </c>
      <c r="R63" s="59">
        <f t="shared" si="0"/>
        <v>717.51365862605917</v>
      </c>
      <c r="S63" s="59">
        <f ca="1">AVERAGE(OFFSET($R$3,0,0,'Données projet'!$E$9+1,1))-AVERAGE(OFFSET($H$3,0,0,'Données projet'!$E$9+1,1))</f>
        <v>225.2323446080772</v>
      </c>
      <c r="T63" s="59">
        <f t="shared" si="34"/>
        <v>222.29030402759292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12</v>
      </c>
      <c r="W63" s="16">
        <f>IF(ISNA(VLOOKUP(A63,'Données projet'!$A$35:$I$55,5,0)),0%,VLOOKUP(A63,'Données projet'!$A$35:$I$55,5,0)*VLOOKUP('Données projet'!$B$9,Paramètres!$A$1:$I$89,7,0))</f>
        <v>0.53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41.941005311227265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41.941005311227265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629</v>
      </c>
      <c r="AG63" s="12">
        <f>VLOOKUP(A63,'Données projet'!$A$61:$I$81,9,0)</f>
        <v>20.399999999999999</v>
      </c>
      <c r="AH63" s="12">
        <f t="array" ref="AH63">INDEX(AG:AG,MIN(IF(ISNUMBER(AG63:AG259),ROW(AG63:AG259),"")))</f>
        <v>20.399999999999999</v>
      </c>
      <c r="AI63" s="13">
        <f>IF('Données projet'!$A$62&gt;35,AI62+AH63-AQ62,IF(A63&lt;'Données projet'!$A$62,$AF$205^A63,IF(A63='Données projet'!$A$62,'Données projet'!$B$62,AI62+AH63-AQ62)))</f>
        <v>628.99999999999989</v>
      </c>
      <c r="AJ63" s="13">
        <f>AI63*VLOOKUP('Données projet'!$B$10,Paramètres!$A$1:$I$89,3,0)*VLOOKUP('Données projet'!$B$10,Paramètres!$A$1:$I$89,5,0)</f>
        <v>310.72599999999994</v>
      </c>
      <c r="AK63" s="13">
        <f t="shared" si="35"/>
        <v>73.420427219774837</v>
      </c>
      <c r="AL63" s="20">
        <f t="shared" si="4"/>
        <v>669.05502740777422</v>
      </c>
      <c r="AM63" s="59">
        <f t="shared" si="5"/>
        <v>962.38836074110759</v>
      </c>
      <c r="AN63" s="59">
        <f ca="1">AVERAGE(OFFSET($AM$3,0,0,'Données projet'!$E$10+1,1))-AVERAGE(OFFSET($H$3,0,0,'Données projet'!$E$10+1,1))</f>
        <v>360.05819346986135</v>
      </c>
      <c r="AO63" s="59">
        <f t="shared" si="36"/>
        <v>300.47468388351081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54</v>
      </c>
      <c r="AR63" s="16">
        <f>IF(ISNA(VLOOKUP(A63,'Données projet'!$A$61:$I$81,5,0)),0%,VLOOKUP(A63,'Données projet'!$A$61:$I$81,5,0)*VLOOKUP('Données projet'!$B$10,Paramètres!$A$1:$I$89,7,0))</f>
        <v>0.55000000000000004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104.64845762699611</v>
      </c>
      <c r="AV63" s="21">
        <f>EXP(-LN(2)/25)*AV62+(1-EXP(-LN(2)/25))/(LN(2)/25)*Calculateur!AQ63*Calculateur!AS63*VLOOKUP('Données projet'!$B$10,Paramètres!$A$1:$I$89,3,0)*0.475*44/12</f>
        <v>18.415293441334665</v>
      </c>
      <c r="AW63" s="21">
        <f>EXP(-LN(2)/2)*AW62+(1-EXP(-LN(2)/2))/(LN(2)/2)*AQ63*AT63*VLOOKUP('Données projet'!$B$10,Paramètres!$A$1:$I$89,3,0)*0.475*44/12</f>
        <v>1.600235238012526E-6</v>
      </c>
      <c r="AX63" s="21">
        <f t="shared" si="6"/>
        <v>123.06375266856601</v>
      </c>
      <c r="AY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341</v>
      </c>
      <c r="BB63" s="12">
        <f>VLOOKUP(A63,'Données projet'!$A$87:$I$107,9,0)</f>
        <v>13.2</v>
      </c>
      <c r="BC63" s="12">
        <f t="array" ref="BC63">INDEX(BB:BB,MIN(IF(ISNUMBER(BB63:BB259),ROW(BB63:BB259),"")))</f>
        <v>13.2</v>
      </c>
      <c r="BD63" s="12">
        <f>IF('Données projet'!$A$88&gt;35,BD62+BC63-BL62,IF(A63&lt;'Données projet'!$A$88,$BA$205^A63,IF(A63='Données projet'!$A$88,'Données projet'!$B$88,BD62+BC63-BL62)))</f>
        <v>340.99999999999994</v>
      </c>
      <c r="BE63" s="13">
        <f>BD63*VLOOKUP('Données projet'!$B$11,Paramètres!$A$1:$I$89,3,0)*VLOOKUP('Données projet'!$B$11,Paramètres!$A$1:$I$89,5,0)</f>
        <v>195.05199999999996</v>
      </c>
      <c r="BF63" s="13">
        <f t="shared" si="37"/>
        <v>48.655166737483917</v>
      </c>
      <c r="BG63" s="20">
        <f t="shared" si="7"/>
        <v>424.45664873445111</v>
      </c>
      <c r="BH63" s="59">
        <f t="shared" si="8"/>
        <v>717.78998206778442</v>
      </c>
      <c r="BI63" s="59">
        <f ca="1">AVERAGE(OFFSET($BH$3,0,0,'Données projet'!$E$11+1,1))-AVERAGE(OFFSET($H$3,0,0,'Données projet'!$E$11+1,1))</f>
        <v>250.90038883668348</v>
      </c>
      <c r="BJ63" s="59">
        <f t="shared" si="38"/>
        <v>141.96132114475608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35</v>
      </c>
      <c r="BM63" s="16">
        <f>IF(ISNA(VLOOKUP(A63,'Données projet'!$A$87:$I$107,5,0)),0%,VLOOKUP(A63,'Données projet'!$A$87:$I$107,5,0)*VLOOKUP('Données projet'!$B$11,Paramètres!$A$1:$I$89,7,0))</f>
        <v>0.45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56.78542404730652</v>
      </c>
      <c r="BQ63" s="21">
        <f>EXP(-LN(2)/25)*BQ62+(1-EXP(-LN(2)/25))/(LN(2)/25)*Calculateur!BL63*Calculateur!BN63*VLOOKUP('Données projet'!$B$11,Paramètres!$A$1:$I$89,3,0)*0.475*44/12</f>
        <v>5.1815010490209605</v>
      </c>
      <c r="BR63" s="21">
        <f>EXP(-LN(2)/2)*BR62+(1-EXP(-LN(2)/2))/(LN(2)/2)*BL63*BO63*VLOOKUP('Données projet'!$B$11,Paramètres!$A$1:$I$89,3,0)*0.475*44/12</f>
        <v>1.1529768402810258E-4</v>
      </c>
      <c r="BS63" s="22">
        <f t="shared" si="9"/>
        <v>61.967040394011505</v>
      </c>
      <c r="BT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294</v>
      </c>
      <c r="BW63" s="12">
        <f>VLOOKUP(A63,'Données projet'!$A$113:$I$133,9,0)</f>
        <v>6.2</v>
      </c>
      <c r="BX63" s="12">
        <f t="array" ref="BX63">INDEX(BW:BW,MIN(IF(ISNUMBER(BW63:BW259),ROW(BW63:BW259),"")))</f>
        <v>6.2</v>
      </c>
      <c r="BY63" s="12">
        <f>IF('Données projet'!$A$114&gt;35,BY62+BX63-CG62,IF(A63&lt;'Données projet'!$A$114,$BV$205^A63,IF(A63='Données projet'!$A$114,'Données projet'!$B$114,BY62+BX63-CG62)))</f>
        <v>293.99999999999989</v>
      </c>
      <c r="BZ63" s="13">
        <f>BY63*VLOOKUP('Données projet'!$B$12,Paramètres!$A$1:$I$89,3,0)*VLOOKUP('Données projet'!$B$12,Paramètres!$A$1:$I$89,5,0)</f>
        <v>233.90639999999991</v>
      </c>
      <c r="CA63" s="13">
        <f t="shared" si="39"/>
        <v>57.126506840778347</v>
      </c>
      <c r="CB63" s="20">
        <f t="shared" si="10"/>
        <v>506.88231274768879</v>
      </c>
      <c r="CC63" s="59">
        <f t="shared" si="11"/>
        <v>800.2156460810221</v>
      </c>
      <c r="CD63" s="59">
        <f ca="1">AVERAGE(OFFSET($CC$3,0,0,'Données projet'!$E$12+1,1))-AVERAGE(OFFSET($H$3,0,0,'Données projet'!$E$12+1,1))</f>
        <v>279.49721661620544</v>
      </c>
      <c r="CE63" s="59">
        <f t="shared" si="40"/>
        <v>275.18739333988754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14</v>
      </c>
      <c r="CH63" s="16">
        <f>IF(ISNA(VLOOKUP(A63,'Données projet'!$A$113:$I$133,5,0)),0%,VLOOKUP(A63,'Données projet'!$A$113:$I$133,5,0)*VLOOKUP('Données projet'!$B$12,Paramètres!$A$1:$I$89,7,0))</f>
        <v>0.53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49.781987275783123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49.781987275783123</v>
      </c>
      <c r="CO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684</v>
      </c>
      <c r="CR63" s="12">
        <f>VLOOKUP(A63,'Données projet'!$A$139:$I$159,9,0)</f>
        <v>22.4</v>
      </c>
      <c r="CS63" s="12">
        <f t="array" ref="CS63">INDEX(CR:CR,MIN(IF(ISNUMBER(CR63:CR259),ROW(CR63:CR259),"")))</f>
        <v>22.4</v>
      </c>
      <c r="CT63" s="12">
        <f>IF('Données projet'!$A$140&gt;35,CT62+CS63-DB62,IF(A63&lt;'Données projet'!$A$140,$CQ$205^A63,IF(A63='Données projet'!$A$140,'Données projet'!$B$140,CT62+CS63-DB62)))</f>
        <v>683.99999999999989</v>
      </c>
      <c r="CU63" s="17">
        <f>CT63*VLOOKUP('Données projet'!$B$13,Paramètres!$A$1:$I$89,3,0)*VLOOKUP('Données projet'!$B$13,Paramètres!$A$1:$I$89,5,0)</f>
        <v>337.89599999999996</v>
      </c>
      <c r="CV63" s="13">
        <f t="shared" si="41"/>
        <v>79.065089779515802</v>
      </c>
      <c r="CW63" s="20">
        <f t="shared" si="13"/>
        <v>726.20723136598997</v>
      </c>
      <c r="CX63" s="59">
        <f t="shared" si="14"/>
        <v>1019.5405646993233</v>
      </c>
      <c r="CY63" s="59">
        <f ca="1">AVERAGE(OFFSET($CX$3,0,0,'Données projet'!$E$13+1,1))-AVERAGE(OFFSET($H$3,0,0,'Données projet'!$E$13+1,1))</f>
        <v>396.27049617044378</v>
      </c>
      <c r="CZ63" s="59">
        <f t="shared" si="42"/>
        <v>335.2680289568774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60</v>
      </c>
      <c r="DC63" s="16">
        <f>IF(ISNA(VLOOKUP(A63,'Données projet'!$A$139:$I$159,5,0)),0%,VLOOKUP(A63,'Données projet'!$A$139:$I$159,5,0)*VLOOKUP('Données projet'!$B$13,Paramètres!$A$1:$I$89,7,0))</f>
        <v>0.55000000000000004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115.62316848469946</v>
      </c>
      <c r="DG63" s="21">
        <f>EXP(-LN(2)/25)*DG62+(1-EXP(-LN(2)/25))/(LN(2)/25)*Calculateur!DB63*Calculateur!DD63*VLOOKUP('Données projet'!$B$13,Paramètres!$A$1:$I$89,3,0)*0.475*44/12</f>
        <v>20.461437157038517</v>
      </c>
      <c r="DH63" s="21">
        <f>EXP(-LN(2)/2)*DH62+(1-EXP(-LN(2)/2))/(LN(2)/2)*DB63*DE63*VLOOKUP('Données projet'!$B$13,Paramètres!$A$1:$I$89,3,0)*0.475*44/12</f>
        <v>1.1735058412091865E-5</v>
      </c>
      <c r="DI63" s="22">
        <f t="shared" si="15"/>
        <v>136.08461737679642</v>
      </c>
      <c r="DJ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400</v>
      </c>
      <c r="DM63" s="12">
        <f>VLOOKUP(A63,'Données projet'!$A$165:$I$185,9,0)</f>
        <v>14.4</v>
      </c>
      <c r="DN63" s="12">
        <f t="array" ref="DN63">INDEX(DM:DM,MIN(IF(ISNUMBER(DM63:DM259),ROW(DM63:DM259),"")))</f>
        <v>14.4</v>
      </c>
      <c r="DO63" s="12">
        <f>IF('Données projet'!$A$166&gt;35,DO62+DN63-DW62,IF(A63&lt;'Données projet'!$A$166,$DL$205^A63,IF(A63='Données projet'!$A$166,'Données projet'!$B$166,DO62+DN63-DW62)))</f>
        <v>399.99999999999989</v>
      </c>
      <c r="DP63" s="17">
        <f>DO63*VLOOKUP('Données projet'!$B$14,Paramètres!$A$1:$I$89,3,0)*VLOOKUP('Données projet'!$B$14,Paramètres!$A$1:$I$89,5,0)</f>
        <v>228.79999999999993</v>
      </c>
      <c r="DQ63" s="13">
        <f t="shared" si="43"/>
        <v>56.023134533701196</v>
      </c>
      <c r="DR63" s="20">
        <f t="shared" si="16"/>
        <v>496.06695931286276</v>
      </c>
      <c r="DS63" s="59">
        <f t="shared" si="17"/>
        <v>789.40029264619602</v>
      </c>
      <c r="DT63" s="59">
        <f ca="1">AVERAGE(OFFSET($DS$3,0,0,'Données projet'!$E$14+1,1))-AVERAGE(OFFSET($H$3,0,0,'Données projet'!$E$14+1,1))</f>
        <v>307.43900954374504</v>
      </c>
      <c r="DU63" s="59">
        <f t="shared" si="44"/>
        <v>185.25270859048999</v>
      </c>
      <c r="DV63" s="15">
        <f>IF(ISNA(VLOOKUP(A63,'Données projet'!$A$165:$I$185,3,0)),0,VLOOKUP(A63,'Données projet'!$A$165:$I$185,3,0))</f>
        <v>9</v>
      </c>
      <c r="DW63" s="15">
        <f>IF(ISNA(VLOOKUP(A63,'Données projet'!$A$165:$I$185,4,0)),0,VLOOKUP(A63,'Données projet'!$A$165:$I$185,4,0))</f>
        <v>40</v>
      </c>
      <c r="DX63" s="16">
        <f>IF(ISNA(VLOOKUP(A63,'Données projet'!$A$165:$I$185,5,0)),0%,VLOOKUP(A63,'Données projet'!$A$165:$I$185,5,0)*VLOOKUP('Données projet'!$B$14,Paramètres!$A$1:$I$89,7,0))</f>
        <v>0.45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67.459593475107525</v>
      </c>
      <c r="EB63" s="21">
        <f>EXP(-LN(2)/25)*EB62+(1-EXP(-LN(2)/25))/(LN(2)/25)*Calculateur!DW63*Calculateur!DY63*VLOOKUP('Données projet'!$B$14,Paramètres!$A$1:$I$89,3,0)*0.475*44/12</f>
        <v>11.630711647158737</v>
      </c>
      <c r="EC63" s="21">
        <f>EXP(-LN(2)/2)*EC62+(1-EXP(-LN(2)/2))/(LN(2)/2)*DW63*DZ63*VLOOKUP('Données projet'!$B$14,Paramètres!$A$1:$I$89,3,0)*0.475*44/12</f>
        <v>1.1117423758823867E-5</v>
      </c>
      <c r="ED63" s="22">
        <f t="shared" si="18"/>
        <v>79.090316239690011</v>
      </c>
      <c r="EE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401</v>
      </c>
      <c r="EH63" s="12">
        <f>VLOOKUP(A63,'Données projet'!$A$191:$I$211,9,0)</f>
        <v>12.316666666666663</v>
      </c>
      <c r="EI63" s="12">
        <f t="array" ref="EI63">INDEX(EH:EH,MIN(IF(ISNUMBER(EH63:EH259),ROW(EH63:EH259),"")))</f>
        <v>12.316666666666663</v>
      </c>
      <c r="EJ63" s="12">
        <f>IF('Données projet'!$A$192&gt;35,EJ62+EI63-ER62,IF(A63&lt;'Données projet'!$A$192,$EG$205^A63,IF(A63='Données projet'!$A$192,'Données projet'!$B$192,EJ62+EI63-ER62)))</f>
        <v>401</v>
      </c>
      <c r="EK63" s="17">
        <f>EJ63*VLOOKUP('Données projet'!$B$15,Paramètres!$A$1:$I$89,3,0)*VLOOKUP('Données projet'!$B$15,Paramètres!$A$1:$I$89,5,0)</f>
        <v>250.22399999999999</v>
      </c>
      <c r="EL63" s="13">
        <f t="shared" si="45"/>
        <v>60.633904580527918</v>
      </c>
      <c r="EM63" s="20">
        <f t="shared" si="19"/>
        <v>541.41085047775289</v>
      </c>
      <c r="EN63" s="59">
        <f t="shared" si="20"/>
        <v>834.74418381108626</v>
      </c>
      <c r="EO63" s="59">
        <f ca="1">AVERAGE(OFFSET($EN$3,0,0,'Données projet'!$E$15+1,1))-AVERAGE(OFFSET($H$3,0,0,'Données projet'!$E$15+1,1))</f>
        <v>269.77739619445515</v>
      </c>
      <c r="EP63" s="59">
        <f t="shared" si="46"/>
        <v>347.56964743629885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76.57835182941912</v>
      </c>
      <c r="EW63" s="21">
        <f>EXP(-LN(2)/25)*EW62+(1-EXP(-LN(2)/25))/(LN(2)/25)*Calculateur!ER63*Calculateur!ET63*VLOOKUP('Données projet'!$B$15,Paramètres!$A$1:$I$89,3,0)*0.475*44/12</f>
        <v>39.933108444981279</v>
      </c>
      <c r="EX63" s="21">
        <f>EXP(-LN(2)/2)*EX62+(1-EXP(-LN(2)/2))/(LN(2)/2)*ER63*EU63*VLOOKUP('Données projet'!$B$15,Paramètres!$A$1:$I$89,3,0)*0.475*44/12</f>
        <v>7.5800616537435469E-7</v>
      </c>
      <c r="EY63" s="22">
        <f t="shared" si="21"/>
        <v>116.51146103240657</v>
      </c>
      <c r="EZ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343</v>
      </c>
      <c r="FC63" s="12">
        <f>VLOOKUP(A63,'Données projet'!$A$217:$I$237,9,0)</f>
        <v>7.4</v>
      </c>
      <c r="FD63" s="12">
        <f t="array" ref="FD63">INDEX(FC:FC,MIN(IF(ISNUMBER(FC63:FC259),ROW(FC63:FC259),"")))</f>
        <v>7.4</v>
      </c>
      <c r="FE63" s="12">
        <f>IF('Données projet'!$A$218&gt;35,FE62+FD63-FM62,IF(A63&lt;'Données projet'!$A$218,$FB$205^A63,IF(A63='Données projet'!$A$218,'Données projet'!$B$218,FE62+FD63-FM62)))</f>
        <v>342.99999999999972</v>
      </c>
      <c r="FF63" s="17">
        <f>FE63*VLOOKUP('Données projet'!$B$16,Paramètres!$A$1:$I$89,3,0)*VLOOKUP('Données projet'!$B$16,Paramètres!$A$1:$I$89,5,0)</f>
        <v>272.89079999999979</v>
      </c>
      <c r="FG63" s="13">
        <f t="shared" si="47"/>
        <v>65.462389231846373</v>
      </c>
      <c r="FH63" s="20">
        <f t="shared" si="22"/>
        <v>589.29847124546529</v>
      </c>
      <c r="FI63" s="59">
        <f t="shared" si="23"/>
        <v>882.63180457879866</v>
      </c>
      <c r="FJ63" s="59">
        <f ca="1">AVERAGE(OFFSET($FI$3,0,0,'Données projet'!$E$16+1,1))-AVERAGE(OFFSET($H$3,0,0,'Données projet'!$E$16+1,1))</f>
        <v>331.52724290297675</v>
      </c>
      <c r="FK63" s="59">
        <f t="shared" si="48"/>
        <v>322.79102610158054</v>
      </c>
      <c r="FL63" s="15">
        <f>IF(ISNA(VLOOKUP(A63,'Données projet'!$A$217:$I$237,3,0)),0,VLOOKUP(A63,'Données projet'!$A$217:$I$237,3,0))</f>
        <v>11</v>
      </c>
      <c r="FM63" s="15">
        <f>IF(ISNA(VLOOKUP(A63,'Données projet'!$A$217:$I$237,4,0)),0,VLOOKUP(A63,'Données projet'!$A$217:$I$237,4,0))</f>
        <v>17</v>
      </c>
      <c r="FN63" s="16">
        <f>IF(ISNA(VLOOKUP(A63,'Données projet'!$A$217:$I$237,5,0)),0%,VLOOKUP(A63,'Données projet'!$A$217:$I$237,5,0)*VLOOKUP('Données projet'!$B$16,Paramètres!$A$1:$I$89,7,0))</f>
        <v>0.53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57.039535438279415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57.039535438279415</v>
      </c>
      <c r="FU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740</v>
      </c>
      <c r="FX63" s="12">
        <f>VLOOKUP(A63,'Données projet'!$A$243:$I$263,9,0)</f>
        <v>23.8</v>
      </c>
      <c r="FY63" s="12">
        <f t="array" ref="FY63">INDEX(FX:FX,MIN(IF(ISNUMBER(FX63:FX259),ROW(FX63:FX259),"")))</f>
        <v>23.8</v>
      </c>
      <c r="FZ63" s="12">
        <f>IF('Données projet'!$A$244&gt;35,FZ62+FY63-GH62,IF(A63&lt;'Données projet'!$A$244,$FW$205^A63,IF(A63='Données projet'!$A$244,'Données projet'!$B$244,FZ62+FY63-GH62)))</f>
        <v>740.00000000000011</v>
      </c>
      <c r="GA63" s="17">
        <f>FZ63*VLOOKUP('Données projet'!$B$17,Paramètres!$A$1:$I$89,3,0)*VLOOKUP('Données projet'!$B$17,Paramètres!$A$1:$I$89,5,0)</f>
        <v>365.56000000000006</v>
      </c>
      <c r="GB63" s="13">
        <f t="shared" si="49"/>
        <v>84.758320887405773</v>
      </c>
      <c r="GC63" s="20">
        <f t="shared" si="25"/>
        <v>784.30440887889836</v>
      </c>
      <c r="GD63" s="59">
        <f t="shared" si="26"/>
        <v>1077.6377422122316</v>
      </c>
      <c r="GE63" s="59">
        <f ca="1">AVERAGE(OFFSET($GD$3,0,0,'Données projet'!$E$17+1,1))-AVERAGE(OFFSET($H$3,0,0,'Données projet'!$E$17+1,1))</f>
        <v>434.08297999735811</v>
      </c>
      <c r="GF63" s="59">
        <f t="shared" si="50"/>
        <v>371.04090283546122</v>
      </c>
      <c r="GG63" s="15">
        <f>IF(ISNA(VLOOKUP(A63,'Données projet'!$A$243:$I$263,3,0)),0,VLOOKUP(A63,'Données projet'!$A$243:$I$263,3,0))</f>
        <v>9</v>
      </c>
      <c r="GH63" s="15">
        <f>IF(ISNA(VLOOKUP(A63,'Données projet'!$A$243:$I$263,4,0)),0,VLOOKUP(A63,'Données projet'!$A$243:$I$263,4,0))</f>
        <v>66</v>
      </c>
      <c r="GI63" s="16">
        <f>IF(ISNA(VLOOKUP(A63,'Données projet'!$A$243:$I$263,5,0)),0%,VLOOKUP(A63,'Données projet'!$A$243:$I$263,5,0)*VLOOKUP('Données projet'!$B$17,Paramètres!$A$1:$I$89,7,0))</f>
        <v>0.55000000000000004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126.59787934240286</v>
      </c>
      <c r="GM63" s="21">
        <f>EXP(-LN(2)/25)*GM62+(1-EXP(-LN(2)/25))/(LN(2)/25)*Calculateur!GH63*Calculateur!GJ63*VLOOKUP('Données projet'!$B$17,Paramètres!$A$1:$I$89,3,0)*0.475*44/12</f>
        <v>22.507580872742377</v>
      </c>
      <c r="GN63" s="21">
        <f>EXP(-LN(2)/2)*GN62+(1-EXP(-LN(2)/2))/(LN(2)/2)*GH63*GK63*VLOOKUP('Données projet'!$B$17,Paramètres!$A$1:$I$89,3,0)*0.475*44/12</f>
        <v>2.2936705078179542E-5</v>
      </c>
      <c r="GO63" s="21">
        <f t="shared" si="27"/>
        <v>149.10548315185031</v>
      </c>
      <c r="GP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457</v>
      </c>
      <c r="GS63" s="12">
        <f>VLOOKUP(A63,'Données projet'!$A$269:$I$289,9,0)</f>
        <v>16.2</v>
      </c>
      <c r="GT63" s="12">
        <f t="array" ref="GT63">INDEX(GS:GS,MIN(IF(ISNUMBER(GS63:GS259),ROW(GS63:GS259),"")))</f>
        <v>16.2</v>
      </c>
      <c r="GU63" s="12">
        <f>IF('Données projet'!$A$270&gt;35,GU62+GT63-HC62,IF(A63&lt;'Données projet'!$A$270,$GR$205^A63,IF(A63='Données projet'!$A$270,'Données projet'!$B$270,GU62+GT63-HC62)))</f>
        <v>456.99999999999994</v>
      </c>
      <c r="GV63" s="17">
        <f>GU63*VLOOKUP('Données projet'!$B$18,Paramètres!$A$1:$I$89,3,0)*VLOOKUP('Données projet'!$B$18,Paramètres!$A$1:$I$89,5,0)</f>
        <v>261.404</v>
      </c>
      <c r="GW63" s="13">
        <f t="shared" si="51"/>
        <v>63.0215601512269</v>
      </c>
      <c r="GX63" s="20">
        <f t="shared" si="28"/>
        <v>565.04118393005353</v>
      </c>
      <c r="GY63" s="59">
        <f t="shared" si="29"/>
        <v>858.37451726338691</v>
      </c>
      <c r="GZ63" s="59">
        <f ca="1">AVERAGE(OFFSET($GY$3,0,0,'Données projet'!$E$18+1,1))-AVERAGE(OFFSET($H$3,0,0,'Données projet'!$E$18+1,1))</f>
        <v>362.57172983134313</v>
      </c>
      <c r="HA63" s="59">
        <f t="shared" si="52"/>
        <v>232.03250917542471</v>
      </c>
      <c r="HB63" s="15">
        <f>IF(ISNA(VLOOKUP(A63,'Données projet'!$A$269:$I$289,3,0)),0,VLOOKUP(A63,'Données projet'!$A$269:$I$289,3,0))</f>
        <v>9</v>
      </c>
      <c r="HC63" s="15">
        <f>IF(ISNA(VLOOKUP(A63,'Données projet'!$A$269:$I$289,4,0)),0,VLOOKUP(A63,'Données projet'!$A$269:$I$289,4,0))</f>
        <v>43</v>
      </c>
      <c r="HD63" s="16">
        <f>IF(ISNA(VLOOKUP(A63,'Données projet'!$A$269:$I$289,5,0)),0%,VLOOKUP(A63,'Données projet'!$A$269:$I$289,5,0)*VLOOKUP('Données projet'!$B$18,Paramètres!$A$1:$I$89,7,0))</f>
        <v>0.45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76.832314899388763</v>
      </c>
      <c r="HH63" s="21">
        <f>EXP(-LN(2)/25)*HH62+(1-EXP(-LN(2)/25))/(LN(2)/25)*Calculateur!HC63*Calculateur!HE63*VLOOKUP('Données projet'!$B$18,Paramètres!$A$1:$I$89,3,0)*0.475*44/12</f>
        <v>13.569163588351863</v>
      </c>
      <c r="HI63" s="21">
        <f>EXP(-LN(2)/2)*HI62+(1-EXP(-LN(2)/2))/(LN(2)/2)*HC63*HF63*VLOOKUP('Données projet'!$B$18,Paramètres!$A$1:$I$89,3,0)*0.475*44/12</f>
        <v>2.285248217091572E-5</v>
      </c>
      <c r="HJ63" s="22">
        <f t="shared" si="30"/>
        <v>90.401501340222808</v>
      </c>
    </row>
    <row r="64" spans="1:218" x14ac:dyDescent="0.3">
      <c r="A64" s="10">
        <f t="shared" si="31"/>
        <v>61</v>
      </c>
      <c r="B64" s="71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5">
        <f t="shared" si="1"/>
        <v>360.32755232166795</v>
      </c>
      <c r="I64" s="6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4.4000000000000004</v>
      </c>
      <c r="N64" s="13">
        <f>IF('Données projet'!$A$36&gt;35,N63+M64-V63,IF(A64&lt;'Données projet'!$A$36,$K$205^A64,IF(A64='Données projet'!$A$36,'Données projet'!$B$36,N63+M64-V63)))</f>
        <v>237.39999999999984</v>
      </c>
      <c r="O64" s="13">
        <f>N64*VLOOKUP('Données projet'!$B$9,Paramètres!$A$1:$I$89,3,0)*VLOOKUP('Données projet'!$B$9,Paramètres!$A$1:$I$89,5,0)</f>
        <v>188.87543999999988</v>
      </c>
      <c r="P64" s="13">
        <f t="shared" si="33"/>
        <v>47.291242769027726</v>
      </c>
      <c r="Q64" s="20">
        <f t="shared" si="53"/>
        <v>411.32363915605634</v>
      </c>
      <c r="R64" s="59">
        <f t="shared" si="0"/>
        <v>704.65697248938966</v>
      </c>
      <c r="S64" s="59">
        <f ca="1">AVERAGE(OFFSET($R$3,0,0,'Données projet'!$E$9+1,1))-AVERAGE(OFFSET($H$3,0,0,'Données projet'!$E$9+1,1))</f>
        <v>225.2323446080772</v>
      </c>
      <c r="T64" s="59">
        <f t="shared" si="34"/>
        <v>222.29030402759292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41.118567778561378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41.118567778561378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19.2</v>
      </c>
      <c r="AI64" s="13">
        <f>IF('Données projet'!$A$62&gt;35,AI63+AH64-AQ63,IF(A64&lt;'Données projet'!$A$62,$AF$205^A64,IF(A64='Données projet'!$A$62,'Données projet'!$B$62,AI63+AH64-AQ63)))</f>
        <v>594.19999999999993</v>
      </c>
      <c r="AJ64" s="13">
        <f>AI64*VLOOKUP('Données projet'!$B$10,Paramètres!$A$1:$I$89,3,0)*VLOOKUP('Données projet'!$B$10,Paramètres!$A$1:$I$89,5,0)</f>
        <v>293.53479999999996</v>
      </c>
      <c r="AK64" s="13">
        <f t="shared" si="35"/>
        <v>69.819395482466135</v>
      </c>
      <c r="AL64" s="20">
        <f t="shared" si="4"/>
        <v>632.84189046529514</v>
      </c>
      <c r="AM64" s="59">
        <f t="shared" si="5"/>
        <v>926.17522379862839</v>
      </c>
      <c r="AN64" s="59">
        <f ca="1">AVERAGE(OFFSET($AM$3,0,0,'Données projet'!$E$10+1,1))-AVERAGE(OFFSET($H$3,0,0,'Données projet'!$E$10+1,1))</f>
        <v>360.05819346986135</v>
      </c>
      <c r="AO64" s="59">
        <f t="shared" si="36"/>
        <v>300.47468388351081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102.59636520218724</v>
      </c>
      <c r="AV64" s="21">
        <f>EXP(-LN(2)/25)*AV63+(1-EXP(-LN(2)/25))/(LN(2)/25)*Calculateur!AQ64*Calculateur!AS64*VLOOKUP('Données projet'!$B$10,Paramètres!$A$1:$I$89,3,0)*0.475*44/12</f>
        <v>17.911726273763175</v>
      </c>
      <c r="AW64" s="21">
        <f>EXP(-LN(2)/2)*AW63+(1-EXP(-LN(2)/2))/(LN(2)/2)*AQ64*AT64*VLOOKUP('Données projet'!$B$10,Paramètres!$A$1:$I$89,3,0)*0.475*44/12</f>
        <v>1.131537188292326E-6</v>
      </c>
      <c r="AX64" s="21">
        <f t="shared" si="6"/>
        <v>120.50809260748761</v>
      </c>
      <c r="AY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12</v>
      </c>
      <c r="BD64" s="12">
        <f>IF('Données projet'!$A$88&gt;35,BD63+BC64-BL63,IF(A64&lt;'Données projet'!$A$88,$BA$205^A64,IF(A64='Données projet'!$A$88,'Données projet'!$B$88,BD63+BC64-BL63)))</f>
        <v>317.99999999999994</v>
      </c>
      <c r="BE64" s="13">
        <f>BD64*VLOOKUP('Données projet'!$B$11,Paramètres!$A$1:$I$89,3,0)*VLOOKUP('Données projet'!$B$11,Paramètres!$A$1:$I$89,5,0)</f>
        <v>181.89599999999999</v>
      </c>
      <c r="BF64" s="13">
        <f t="shared" si="37"/>
        <v>45.743753647228822</v>
      </c>
      <c r="BG64" s="20">
        <f t="shared" si="7"/>
        <v>396.47257093559011</v>
      </c>
      <c r="BH64" s="59">
        <f t="shared" si="8"/>
        <v>689.80590426892343</v>
      </c>
      <c r="BI64" s="59">
        <f ca="1">AVERAGE(OFFSET($BH$3,0,0,'Données projet'!$E$11+1,1))-AVERAGE(OFFSET($H$3,0,0,'Données projet'!$E$11+1,1))</f>
        <v>250.90038883668348</v>
      </c>
      <c r="BJ64" s="59">
        <f t="shared" si="38"/>
        <v>141.96132114475608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55.67189651742752</v>
      </c>
      <c r="BQ64" s="21">
        <f>EXP(-LN(2)/25)*BQ63+(1-EXP(-LN(2)/25))/(LN(2)/25)*Calculateur!BL64*Calculateur!BN64*VLOOKUP('Données projet'!$B$11,Paramètres!$A$1:$I$89,3,0)*0.475*44/12</f>
        <v>5.0398126303521851</v>
      </c>
      <c r="BR64" s="21">
        <f>EXP(-LN(2)/2)*BR63+(1-EXP(-LN(2)/2))/(LN(2)/2)*BL64*BO64*VLOOKUP('Données projet'!$B$11,Paramètres!$A$1:$I$89,3,0)*0.475*44/12</f>
        <v>8.152777423137524E-5</v>
      </c>
      <c r="BS64" s="22">
        <f t="shared" si="9"/>
        <v>60.711790675553942</v>
      </c>
      <c r="BT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285.19999999999987</v>
      </c>
      <c r="BZ64" s="13">
        <f>BY64*VLOOKUP('Données projet'!$B$12,Paramètres!$A$1:$I$89,3,0)*VLOOKUP('Données projet'!$B$12,Paramètres!$A$1:$I$89,5,0)</f>
        <v>226.90511999999993</v>
      </c>
      <c r="CA64" s="13">
        <f t="shared" si="39"/>
        <v>55.612969408444364</v>
      </c>
      <c r="CB64" s="20">
        <f t="shared" si="10"/>
        <v>492.05233905304044</v>
      </c>
      <c r="CC64" s="59">
        <f t="shared" si="11"/>
        <v>785.3856723863737</v>
      </c>
      <c r="CD64" s="59">
        <f ca="1">AVERAGE(OFFSET($CC$3,0,0,'Données projet'!$E$12+1,1))-AVERAGE(OFFSET($H$3,0,0,'Données projet'!$E$12+1,1))</f>
        <v>279.49721661620544</v>
      </c>
      <c r="CE64" s="59">
        <f t="shared" si="40"/>
        <v>275.18739333988754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48.805792869319056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48.805792869319056</v>
      </c>
      <c r="CO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21</v>
      </c>
      <c r="CT64" s="12">
        <f>IF('Données projet'!$A$140&gt;35,CT63+CS64-DB63,IF(A64&lt;'Données projet'!$A$140,$CQ$205^A64,IF(A64='Données projet'!$A$140,'Données projet'!$B$140,CT63+CS64-DB63)))</f>
        <v>644.99999999999989</v>
      </c>
      <c r="CU64" s="17">
        <f>CT64*VLOOKUP('Données projet'!$B$13,Paramètres!$A$1:$I$89,3,0)*VLOOKUP('Données projet'!$B$13,Paramètres!$A$1:$I$89,5,0)</f>
        <v>318.62999999999994</v>
      </c>
      <c r="CV64" s="13">
        <f t="shared" si="41"/>
        <v>75.068227379090629</v>
      </c>
      <c r="CW64" s="20">
        <f t="shared" si="13"/>
        <v>685.69107935191596</v>
      </c>
      <c r="CX64" s="59">
        <f t="shared" si="14"/>
        <v>979.02441268524922</v>
      </c>
      <c r="CY64" s="59">
        <f ca="1">AVERAGE(OFFSET($CX$3,0,0,'Données projet'!$E$13+1,1))-AVERAGE(OFFSET($H$3,0,0,'Données projet'!$E$13+1,1))</f>
        <v>396.27049617044378</v>
      </c>
      <c r="CZ64" s="59">
        <f t="shared" si="42"/>
        <v>335.2680289568774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113.35586867388369</v>
      </c>
      <c r="DG64" s="21">
        <f>EXP(-LN(2)/25)*DG63+(1-EXP(-LN(2)/25))/(LN(2)/25)*Calculateur!DB64*Calculateur!DD64*VLOOKUP('Données projet'!$B$13,Paramètres!$A$1:$I$89,3,0)*0.475*44/12</f>
        <v>19.901918081959085</v>
      </c>
      <c r="DH64" s="21">
        <f>EXP(-LN(2)/2)*DH63+(1-EXP(-LN(2)/2))/(LN(2)/2)*DB64*DE64*VLOOKUP('Données projet'!$B$13,Paramètres!$A$1:$I$89,3,0)*0.475*44/12</f>
        <v>8.2979393808103961E-6</v>
      </c>
      <c r="DI64" s="22">
        <f t="shared" si="15"/>
        <v>133.25779505378216</v>
      </c>
      <c r="DJ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13.4</v>
      </c>
      <c r="DO64" s="12">
        <f>IF('Données projet'!$A$166&gt;35,DO63+DN64-DW63,IF(A64&lt;'Données projet'!$A$166,$DL$205^A64,IF(A64='Données projet'!$A$166,'Données projet'!$B$166,DO63+DN64-DW63)))</f>
        <v>373.39999999999986</v>
      </c>
      <c r="DP64" s="17">
        <f>DO64*VLOOKUP('Données projet'!$B$14,Paramètres!$A$1:$I$89,3,0)*VLOOKUP('Données projet'!$B$14,Paramètres!$A$1:$I$89,5,0)</f>
        <v>213.58479999999992</v>
      </c>
      <c r="DQ64" s="13">
        <f t="shared" si="43"/>
        <v>52.71818131194199</v>
      </c>
      <c r="DR64" s="20">
        <f t="shared" si="16"/>
        <v>463.81102578496547</v>
      </c>
      <c r="DS64" s="59">
        <f t="shared" si="17"/>
        <v>757.14435911829878</v>
      </c>
      <c r="DT64" s="59">
        <f ca="1">AVERAGE(OFFSET($DS$3,0,0,'Données projet'!$E$14+1,1))-AVERAGE(OFFSET($H$3,0,0,'Données projet'!$E$14+1,1))</f>
        <v>307.43900954374504</v>
      </c>
      <c r="DU64" s="59">
        <f t="shared" si="44"/>
        <v>185.25270859048999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66.136751993349833</v>
      </c>
      <c r="EB64" s="21">
        <f>EXP(-LN(2)/25)*EB63+(1-EXP(-LN(2)/25))/(LN(2)/25)*Calculateur!DW64*Calculateur!DY64*VLOOKUP('Données projet'!$B$14,Paramètres!$A$1:$I$89,3,0)*0.475*44/12</f>
        <v>11.312669225534638</v>
      </c>
      <c r="EC64" s="21">
        <f>EXP(-LN(2)/2)*EC63+(1-EXP(-LN(2)/2))/(LN(2)/2)*DW64*DZ64*VLOOKUP('Données projet'!$B$14,Paramètres!$A$1:$I$89,3,0)*0.475*44/12</f>
        <v>7.8612057291887928E-6</v>
      </c>
      <c r="ED64" s="22">
        <f t="shared" si="18"/>
        <v>77.449429080090198</v>
      </c>
      <c r="EE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401</v>
      </c>
      <c r="EK64" s="17">
        <f>EJ64*VLOOKUP('Données projet'!$B$15,Paramètres!$A$1:$I$89,3,0)*VLOOKUP('Données projet'!$B$15,Paramètres!$A$1:$I$89,5,0)</f>
        <v>250.22399999999999</v>
      </c>
      <c r="EL64" s="13">
        <f t="shared" si="45"/>
        <v>60.633904580527918</v>
      </c>
      <c r="EM64" s="20">
        <f t="shared" si="19"/>
        <v>541.41085047775289</v>
      </c>
      <c r="EN64" s="59">
        <f t="shared" si="20"/>
        <v>834.74418381108626</v>
      </c>
      <c r="EO64" s="59">
        <f ca="1">AVERAGE(OFFSET($EN$3,0,0,'Données projet'!$E$15+1,1))-AVERAGE(OFFSET($H$3,0,0,'Données projet'!$E$15+1,1))</f>
        <v>269.77739619445515</v>
      </c>
      <c r="EP64" s="59">
        <f t="shared" si="46"/>
        <v>347.56964743629885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75.07669705822677</v>
      </c>
      <c r="EW64" s="21">
        <f>EXP(-LN(2)/25)*EW63+(1-EXP(-LN(2)/25))/(LN(2)/25)*Calculateur!ER64*Calculateur!ET64*VLOOKUP('Données projet'!$B$15,Paramètres!$A$1:$I$89,3,0)*0.475*44/12</f>
        <v>38.841135494562359</v>
      </c>
      <c r="EX64" s="21">
        <f>EXP(-LN(2)/2)*EX63+(1-EXP(-LN(2)/2))/(LN(2)/2)*ER64*EU64*VLOOKUP('Données projet'!$B$15,Paramètres!$A$1:$I$89,3,0)*0.475*44/12</f>
        <v>5.3599129971741777E-7</v>
      </c>
      <c r="EY64" s="22">
        <f t="shared" si="21"/>
        <v>113.91783308878043</v>
      </c>
      <c r="EZ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6</v>
      </c>
      <c r="FE64" s="12">
        <f>IF('Données projet'!$A$218&gt;35,FE63+FD64-FM63,IF(A64&lt;'Données projet'!$A$218,$FB$205^A64,IF(A64='Données projet'!$A$218,'Données projet'!$B$218,FE63+FD64-FM63)))</f>
        <v>331.99999999999972</v>
      </c>
      <c r="FF64" s="17">
        <f>FE64*VLOOKUP('Données projet'!$B$16,Paramètres!$A$1:$I$89,3,0)*VLOOKUP('Données projet'!$B$16,Paramètres!$A$1:$I$89,5,0)</f>
        <v>264.13919999999979</v>
      </c>
      <c r="FG64" s="13">
        <f t="shared" si="47"/>
        <v>63.60387543087441</v>
      </c>
      <c r="FH64" s="20">
        <f t="shared" si="22"/>
        <v>570.81918970877257</v>
      </c>
      <c r="FI64" s="59">
        <f t="shared" si="23"/>
        <v>864.15252304210594</v>
      </c>
      <c r="FJ64" s="59">
        <f ca="1">AVERAGE(OFFSET($FI$3,0,0,'Données projet'!$E$16+1,1))-AVERAGE(OFFSET($H$3,0,0,'Données projet'!$E$16+1,1))</f>
        <v>331.52724290297675</v>
      </c>
      <c r="FK64" s="59">
        <f t="shared" si="48"/>
        <v>322.79102610158054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55.921024939016078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55.921024939016078</v>
      </c>
      <c r="FU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22.4</v>
      </c>
      <c r="FZ64" s="12">
        <f>IF('Données projet'!$A$244&gt;35,FZ63+FY64-GH63,IF(A64&lt;'Données projet'!$A$244,$FW$205^A64,IF(A64='Données projet'!$A$244,'Données projet'!$B$244,FZ63+FY64-GH63)))</f>
        <v>696.40000000000009</v>
      </c>
      <c r="GA64" s="17">
        <f>FZ64*VLOOKUP('Données projet'!$B$17,Paramètres!$A$1:$I$89,3,0)*VLOOKUP('Données projet'!$B$17,Paramètres!$A$1:$I$89,5,0)</f>
        <v>344.02160000000009</v>
      </c>
      <c r="GB64" s="13">
        <f t="shared" si="49"/>
        <v>80.33026495995145</v>
      </c>
      <c r="GC64" s="20">
        <f t="shared" si="25"/>
        <v>739.07949813858215</v>
      </c>
      <c r="GD64" s="59">
        <f t="shared" si="26"/>
        <v>1032.4128314719155</v>
      </c>
      <c r="GE64" s="59">
        <f ca="1">AVERAGE(OFFSET($GD$3,0,0,'Données projet'!$E$17+1,1))-AVERAGE(OFFSET($H$3,0,0,'Données projet'!$E$17+1,1))</f>
        <v>434.08297999735811</v>
      </c>
      <c r="GF64" s="59">
        <f t="shared" si="50"/>
        <v>371.04090283546122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124.11537214558018</v>
      </c>
      <c r="GM64" s="21">
        <f>EXP(-LN(2)/25)*GM63+(1-EXP(-LN(2)/25))/(LN(2)/25)*Calculateur!GH64*Calculateur!GJ64*VLOOKUP('Données projet'!$B$17,Paramètres!$A$1:$I$89,3,0)*0.475*44/12</f>
        <v>21.892109890155002</v>
      </c>
      <c r="GN64" s="21">
        <f>EXP(-LN(2)/2)*GN63+(1-EXP(-LN(2)/2))/(LN(2)/2)*GH64*GK64*VLOOKUP('Données projet'!$B$17,Paramètres!$A$1:$I$89,3,0)*0.475*44/12</f>
        <v>1.6218699698856675E-5</v>
      </c>
      <c r="GO64" s="21">
        <f t="shared" si="27"/>
        <v>146.00749825443489</v>
      </c>
      <c r="GP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15</v>
      </c>
      <c r="GU64" s="12">
        <f>IF('Données projet'!$A$270&gt;35,GU63+GT64-HC63,IF(A64&lt;'Données projet'!$A$270,$GR$205^A64,IF(A64='Données projet'!$A$270,'Données projet'!$B$270,GU63+GT64-HC63)))</f>
        <v>428.99999999999994</v>
      </c>
      <c r="GV64" s="17">
        <f>GU64*VLOOKUP('Données projet'!$B$18,Paramètres!$A$1:$I$89,3,0)*VLOOKUP('Données projet'!$B$18,Paramètres!$A$1:$I$89,5,0)</f>
        <v>245.38799999999995</v>
      </c>
      <c r="GW64" s="13">
        <f t="shared" si="51"/>
        <v>59.597282764919569</v>
      </c>
      <c r="GX64" s="20">
        <f t="shared" si="28"/>
        <v>531.18270081556818</v>
      </c>
      <c r="GY64" s="59">
        <f t="shared" si="29"/>
        <v>824.51603414890155</v>
      </c>
      <c r="GZ64" s="59">
        <f ca="1">AVERAGE(OFFSET($GY$3,0,0,'Données projet'!$E$18+1,1))-AVERAGE(OFFSET($H$3,0,0,'Données projet'!$E$18+1,1))</f>
        <v>362.57172983134313</v>
      </c>
      <c r="HA64" s="59">
        <f t="shared" si="52"/>
        <v>232.03250917542471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75.325680067296489</v>
      </c>
      <c r="HH64" s="21">
        <f>EXP(-LN(2)/25)*HH63+(1-EXP(-LN(2)/25))/(LN(2)/25)*Calculateur!HC64*Calculateur!HE64*VLOOKUP('Données projet'!$B$18,Paramètres!$A$1:$I$89,3,0)*0.475*44/12</f>
        <v>13.198114096457081</v>
      </c>
      <c r="HI64" s="21">
        <f>EXP(-LN(2)/2)*HI63+(1-EXP(-LN(2)/2))/(LN(2)/2)*HC64*HF64*VLOOKUP('Données projet'!$B$18,Paramètres!$A$1:$I$89,3,0)*0.475*44/12</f>
        <v>1.615914510999918E-5</v>
      </c>
      <c r="HJ64" s="22">
        <f t="shared" si="30"/>
        <v>88.523810322898669</v>
      </c>
    </row>
    <row r="65" spans="1:218" x14ac:dyDescent="0.3">
      <c r="A65" s="10">
        <f t="shared" si="31"/>
        <v>62</v>
      </c>
      <c r="B65" s="71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5">
        <f t="shared" si="1"/>
        <v>361.39527488339854</v>
      </c>
      <c r="I65" s="6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4.4000000000000004</v>
      </c>
      <c r="N65" s="13">
        <f>IF('Données projet'!$A$36&gt;35,N64+M65-V64,IF(A65&lt;'Données projet'!$A$36,$K$205^A65,IF(A65='Données projet'!$A$36,'Données projet'!$B$36,N64+M65-V64)))</f>
        <v>241.79999999999984</v>
      </c>
      <c r="O65" s="13">
        <f>N65*VLOOKUP('Données projet'!$B$9,Paramètres!$A$1:$I$89,3,0)*VLOOKUP('Données projet'!$B$9,Paramètres!$A$1:$I$89,5,0)</f>
        <v>192.37607999999989</v>
      </c>
      <c r="P65" s="13">
        <f t="shared" si="33"/>
        <v>48.064889828485896</v>
      </c>
      <c r="Q65" s="20">
        <f t="shared" si="53"/>
        <v>418.76802245127936</v>
      </c>
      <c r="R65" s="59">
        <f t="shared" si="0"/>
        <v>712.10135578461268</v>
      </c>
      <c r="S65" s="59">
        <f ca="1">AVERAGE(OFFSET($R$3,0,0,'Données projet'!$E$9+1,1))-AVERAGE(OFFSET($H$3,0,0,'Données projet'!$E$9+1,1))</f>
        <v>225.2323446080772</v>
      </c>
      <c r="T65" s="59">
        <f t="shared" si="34"/>
        <v>222.29030402759292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40.312257744273701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40.312257744273701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19.2</v>
      </c>
      <c r="AI65" s="13">
        <f>IF('Données projet'!$A$62&gt;35,AI64+AH65-AQ64,IF(A65&lt;'Données projet'!$A$62,$AF$205^A65,IF(A65='Données projet'!$A$62,'Données projet'!$B$62,AI64+AH65-AQ64)))</f>
        <v>613.4</v>
      </c>
      <c r="AJ65" s="13">
        <f>AI65*VLOOKUP('Données projet'!$B$10,Paramètres!$A$1:$I$89,3,0)*VLOOKUP('Données projet'!$B$10,Paramètres!$A$1:$I$89,5,0)</f>
        <v>303.01959999999997</v>
      </c>
      <c r="AK65" s="13">
        <f t="shared" si="35"/>
        <v>71.809118174376792</v>
      </c>
      <c r="AL65" s="20">
        <f t="shared" si="4"/>
        <v>652.8266841537062</v>
      </c>
      <c r="AM65" s="59">
        <f t="shared" si="5"/>
        <v>946.16001748703957</v>
      </c>
      <c r="AN65" s="59">
        <f ca="1">AVERAGE(OFFSET($AM$3,0,0,'Données projet'!$E$10+1,1))-AVERAGE(OFFSET($H$3,0,0,'Données projet'!$E$10+1,1))</f>
        <v>360.05819346986135</v>
      </c>
      <c r="AO65" s="59">
        <f t="shared" si="36"/>
        <v>300.47468388351081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100.5845130581761</v>
      </c>
      <c r="AV65" s="21">
        <f>EXP(-LN(2)/25)*AV64+(1-EXP(-LN(2)/25))/(LN(2)/25)*Calculateur!AQ65*Calculateur!AS65*VLOOKUP('Données projet'!$B$10,Paramètres!$A$1:$I$89,3,0)*0.475*44/12</f>
        <v>17.421929176870375</v>
      </c>
      <c r="AW65" s="21">
        <f>EXP(-LN(2)/2)*AW64+(1-EXP(-LN(2)/2))/(LN(2)/2)*AQ65*AT65*VLOOKUP('Données projet'!$B$10,Paramètres!$A$1:$I$89,3,0)*0.475*44/12</f>
        <v>8.00117619006263E-7</v>
      </c>
      <c r="AX65" s="21">
        <f t="shared" si="6"/>
        <v>118.0064430351641</v>
      </c>
      <c r="AY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12</v>
      </c>
      <c r="BD65" s="12">
        <f>IF('Données projet'!$A$88&gt;35,BD64+BC65-BL64,IF(A65&lt;'Données projet'!$A$88,$BA$205^A65,IF(A65='Données projet'!$A$88,'Données projet'!$B$88,BD64+BC65-BL64)))</f>
        <v>329.99999999999994</v>
      </c>
      <c r="BE65" s="13">
        <f>BD65*VLOOKUP('Données projet'!$B$11,Paramètres!$A$1:$I$89,3,0)*VLOOKUP('Données projet'!$B$11,Paramètres!$A$1:$I$89,5,0)</f>
        <v>188.76</v>
      </c>
      <c r="BF65" s="13">
        <f t="shared" si="37"/>
        <v>47.265702073783714</v>
      </c>
      <c r="BG65" s="20">
        <f t="shared" si="7"/>
        <v>411.07809777850656</v>
      </c>
      <c r="BH65" s="59">
        <f t="shared" si="8"/>
        <v>704.41143111183987</v>
      </c>
      <c r="BI65" s="59">
        <f ca="1">AVERAGE(OFFSET($BH$3,0,0,'Données projet'!$E$11+1,1))-AVERAGE(OFFSET($H$3,0,0,'Données projet'!$E$11+1,1))</f>
        <v>250.90038883668348</v>
      </c>
      <c r="BJ65" s="59">
        <f t="shared" si="38"/>
        <v>141.96132114475608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54.580204583224713</v>
      </c>
      <c r="BQ65" s="21">
        <f>EXP(-LN(2)/25)*BQ64+(1-EXP(-LN(2)/25))/(LN(2)/25)*Calculateur!BL65*Calculateur!BN65*VLOOKUP('Données projet'!$B$11,Paramètres!$A$1:$I$89,3,0)*0.475*44/12</f>
        <v>4.9019986889429772</v>
      </c>
      <c r="BR65" s="21">
        <f>EXP(-LN(2)/2)*BR64+(1-EXP(-LN(2)/2))/(LN(2)/2)*BL65*BO65*VLOOKUP('Données projet'!$B$11,Paramètres!$A$1:$I$89,3,0)*0.475*44/12</f>
        <v>5.7648842014051305E-5</v>
      </c>
      <c r="BS65" s="22">
        <f t="shared" si="9"/>
        <v>59.482260921009704</v>
      </c>
      <c r="BT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290.39999999999986</v>
      </c>
      <c r="BZ65" s="13">
        <f>BY65*VLOOKUP('Données projet'!$B$12,Paramètres!$A$1:$I$89,3,0)*VLOOKUP('Données projet'!$B$12,Paramètres!$A$1:$I$89,5,0)</f>
        <v>231.04223999999991</v>
      </c>
      <c r="CA65" s="13">
        <f t="shared" si="39"/>
        <v>56.507978852931409</v>
      </c>
      <c r="CB65" s="20">
        <f t="shared" si="10"/>
        <v>500.81663116885539</v>
      </c>
      <c r="CC65" s="59">
        <f t="shared" si="11"/>
        <v>794.14996450218871</v>
      </c>
      <c r="CD65" s="59">
        <f ca="1">AVERAGE(OFFSET($CC$3,0,0,'Données projet'!$E$12+1,1))-AVERAGE(OFFSET($H$3,0,0,'Données projet'!$E$12+1,1))</f>
        <v>279.49721661620544</v>
      </c>
      <c r="CE65" s="59">
        <f t="shared" si="40"/>
        <v>275.18739333988754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47.848741039745953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47.848741039745953</v>
      </c>
      <c r="CO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21</v>
      </c>
      <c r="CT65" s="12">
        <f>IF('Données projet'!$A$140&gt;35,CT64+CS65-DB64,IF(A65&lt;'Données projet'!$A$140,$CQ$205^A65,IF(A65='Données projet'!$A$140,'Données projet'!$B$140,CT64+CS65-DB64)))</f>
        <v>665.99999999999989</v>
      </c>
      <c r="CU65" s="17">
        <f>CT65*VLOOKUP('Données projet'!$B$13,Paramètres!$A$1:$I$89,3,0)*VLOOKUP('Données projet'!$B$13,Paramètres!$A$1:$I$89,5,0)</f>
        <v>329.00399999999996</v>
      </c>
      <c r="CV65" s="13">
        <f t="shared" si="41"/>
        <v>77.223774646935937</v>
      </c>
      <c r="CW65" s="20">
        <f t="shared" si="13"/>
        <v>707.51337417674677</v>
      </c>
      <c r="CX65" s="59">
        <f t="shared" si="14"/>
        <v>1000.84670751008</v>
      </c>
      <c r="CY65" s="59">
        <f ca="1">AVERAGE(OFFSET($CX$3,0,0,'Données projet'!$E$13+1,1))-AVERAGE(OFFSET($H$3,0,0,'Données projet'!$E$13+1,1))</f>
        <v>396.27049617044378</v>
      </c>
      <c r="CZ65" s="59">
        <f t="shared" si="42"/>
        <v>335.2680289568774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111.13302922944169</v>
      </c>
      <c r="DG65" s="21">
        <f>EXP(-LN(2)/25)*DG64+(1-EXP(-LN(2)/25))/(LN(2)/25)*Calculateur!DB65*Calculateur!DD65*VLOOKUP('Données projet'!$B$13,Paramètres!$A$1:$I$89,3,0)*0.475*44/12</f>
        <v>19.357699085411529</v>
      </c>
      <c r="DH65" s="21">
        <f>EXP(-LN(2)/2)*DH64+(1-EXP(-LN(2)/2))/(LN(2)/2)*DB65*DE65*VLOOKUP('Données projet'!$B$13,Paramètres!$A$1:$I$89,3,0)*0.475*44/12</f>
        <v>5.8675292060459325E-6</v>
      </c>
      <c r="DI65" s="22">
        <f t="shared" si="15"/>
        <v>130.49073418238243</v>
      </c>
      <c r="DJ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13.4</v>
      </c>
      <c r="DO65" s="12">
        <f>IF('Données projet'!$A$166&gt;35,DO64+DN65-DW64,IF(A65&lt;'Données projet'!$A$166,$DL$205^A65,IF(A65='Données projet'!$A$166,'Données projet'!$B$166,DO64+DN65-DW64)))</f>
        <v>386.79999999999984</v>
      </c>
      <c r="DP65" s="17">
        <f>DO65*VLOOKUP('Données projet'!$B$14,Paramètres!$A$1:$I$89,3,0)*VLOOKUP('Données projet'!$B$14,Paramètres!$A$1:$I$89,5,0)</f>
        <v>221.2495999999999</v>
      </c>
      <c r="DQ65" s="13">
        <f t="shared" si="43"/>
        <v>54.386390513185972</v>
      </c>
      <c r="DR65" s="20">
        <f t="shared" si="16"/>
        <v>480.06601681046544</v>
      </c>
      <c r="DS65" s="59">
        <f t="shared" si="17"/>
        <v>773.39935014379876</v>
      </c>
      <c r="DT65" s="59">
        <f ca="1">AVERAGE(OFFSET($DS$3,0,0,'Données projet'!$E$14+1,1))-AVERAGE(OFFSET($H$3,0,0,'Données projet'!$E$14+1,1))</f>
        <v>307.43900954374504</v>
      </c>
      <c r="DU65" s="59">
        <f t="shared" si="44"/>
        <v>185.25270859048999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64.839850626195769</v>
      </c>
      <c r="EB65" s="21">
        <f>EXP(-LN(2)/25)*EB64+(1-EXP(-LN(2)/25))/(LN(2)/25)*Calculateur!DW65*Calculateur!DY65*VLOOKUP('Données projet'!$B$14,Paramètres!$A$1:$I$89,3,0)*0.475*44/12</f>
        <v>11.003323690654973</v>
      </c>
      <c r="EC65" s="21">
        <f>EXP(-LN(2)/2)*EC64+(1-EXP(-LN(2)/2))/(LN(2)/2)*DW65*DZ65*VLOOKUP('Données projet'!$B$14,Paramètres!$A$1:$I$89,3,0)*0.475*44/12</f>
        <v>5.5587118794119335E-6</v>
      </c>
      <c r="ED65" s="22">
        <f t="shared" si="18"/>
        <v>75.843179875562612</v>
      </c>
      <c r="EE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401</v>
      </c>
      <c r="EK65" s="17">
        <f>EJ65*VLOOKUP('Données projet'!$B$15,Paramètres!$A$1:$I$89,3,0)*VLOOKUP('Données projet'!$B$15,Paramètres!$A$1:$I$89,5,0)</f>
        <v>250.22399999999999</v>
      </c>
      <c r="EL65" s="13">
        <f t="shared" si="45"/>
        <v>60.633904580527918</v>
      </c>
      <c r="EM65" s="20">
        <f t="shared" si="19"/>
        <v>541.41085047775289</v>
      </c>
      <c r="EN65" s="59">
        <f t="shared" si="20"/>
        <v>834.74418381108626</v>
      </c>
      <c r="EO65" s="59">
        <f ca="1">AVERAGE(OFFSET($EN$3,0,0,'Données projet'!$E$15+1,1))-AVERAGE(OFFSET($H$3,0,0,'Données projet'!$E$15+1,1))</f>
        <v>269.77739619445515</v>
      </c>
      <c r="EP65" s="59">
        <f t="shared" si="46"/>
        <v>347.56964743629885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73.604488821178535</v>
      </c>
      <c r="EW65" s="21">
        <f>EXP(-LN(2)/25)*EW64+(1-EXP(-LN(2)/25))/(LN(2)/25)*Calculateur!ER65*Calculateur!ET65*VLOOKUP('Données projet'!$B$15,Paramètres!$A$1:$I$89,3,0)*0.475*44/12</f>
        <v>37.779022601897005</v>
      </c>
      <c r="EX65" s="21">
        <f>EXP(-LN(2)/2)*EX64+(1-EXP(-LN(2)/2))/(LN(2)/2)*ER65*EU65*VLOOKUP('Données projet'!$B$15,Paramètres!$A$1:$I$89,3,0)*0.475*44/12</f>
        <v>3.7900308268717734E-7</v>
      </c>
      <c r="EY65" s="22">
        <f t="shared" si="21"/>
        <v>111.38351180207862</v>
      </c>
      <c r="EZ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6</v>
      </c>
      <c r="FE65" s="12">
        <f>IF('Données projet'!$A$218&gt;35,FE64+FD65-FM64,IF(A65&lt;'Données projet'!$A$218,$FB$205^A65,IF(A65='Données projet'!$A$218,'Données projet'!$B$218,FE64+FD65-FM64)))</f>
        <v>337.99999999999972</v>
      </c>
      <c r="FF65" s="17">
        <f>FE65*VLOOKUP('Données projet'!$B$16,Paramètres!$A$1:$I$89,3,0)*VLOOKUP('Données projet'!$B$16,Paramètres!$A$1:$I$89,5,0)</f>
        <v>268.91279999999978</v>
      </c>
      <c r="FG65" s="13">
        <f t="shared" si="47"/>
        <v>64.618483855217065</v>
      </c>
      <c r="FH65" s="20">
        <f t="shared" si="22"/>
        <v>580.90031938116931</v>
      </c>
      <c r="FI65" s="59">
        <f t="shared" si="23"/>
        <v>874.23365271450257</v>
      </c>
      <c r="FJ65" s="59">
        <f ca="1">AVERAGE(OFFSET($FI$3,0,0,'Données projet'!$E$16+1,1))-AVERAGE(OFFSET($H$3,0,0,'Données projet'!$E$16+1,1))</f>
        <v>331.52724290297675</v>
      </c>
      <c r="FK65" s="59">
        <f t="shared" si="48"/>
        <v>322.79102610158054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54.824447748419253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54.824447748419253</v>
      </c>
      <c r="FU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22.4</v>
      </c>
      <c r="FZ65" s="12">
        <f>IF('Données projet'!$A$244&gt;35,FZ64+FY65-GH64,IF(A65&lt;'Données projet'!$A$244,$FW$205^A65,IF(A65='Données projet'!$A$244,'Données projet'!$B$244,FZ64+FY65-GH64)))</f>
        <v>718.80000000000007</v>
      </c>
      <c r="GA65" s="17">
        <f>FZ65*VLOOKUP('Données projet'!$B$17,Paramètres!$A$1:$I$89,3,0)*VLOOKUP('Données projet'!$B$17,Paramètres!$A$1:$I$89,5,0)</f>
        <v>355.0872</v>
      </c>
      <c r="GB65" s="13">
        <f t="shared" si="49"/>
        <v>82.609137191148633</v>
      </c>
      <c r="GC65" s="20">
        <f t="shared" si="25"/>
        <v>762.32112060791712</v>
      </c>
      <c r="GD65" s="59">
        <f t="shared" si="26"/>
        <v>1055.6544539412505</v>
      </c>
      <c r="GE65" s="59">
        <f ca="1">AVERAGE(OFFSET($GD$3,0,0,'Données projet'!$E$17+1,1))-AVERAGE(OFFSET($H$3,0,0,'Données projet'!$E$17+1,1))</f>
        <v>434.08297999735811</v>
      </c>
      <c r="GF65" s="59">
        <f t="shared" si="50"/>
        <v>371.04090283546122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121.68154540070732</v>
      </c>
      <c r="GM65" s="21">
        <f>EXP(-LN(2)/25)*GM64+(1-EXP(-LN(2)/25))/(LN(2)/25)*Calculateur!GH65*Calculateur!GJ65*VLOOKUP('Données projet'!$B$17,Paramètres!$A$1:$I$89,3,0)*0.475*44/12</f>
        <v>21.29346899395269</v>
      </c>
      <c r="GN65" s="21">
        <f>EXP(-LN(2)/2)*GN64+(1-EXP(-LN(2)/2))/(LN(2)/2)*GH65*GK65*VLOOKUP('Données projet'!$B$17,Paramètres!$A$1:$I$89,3,0)*0.475*44/12</f>
        <v>1.1468352539089771E-5</v>
      </c>
      <c r="GO65" s="21">
        <f t="shared" si="27"/>
        <v>142.97502586301255</v>
      </c>
      <c r="GP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15</v>
      </c>
      <c r="GU65" s="12">
        <f>IF('Données projet'!$A$270&gt;35,GU64+GT65-HC64,IF(A65&lt;'Données projet'!$A$270,$GR$205^A65,IF(A65='Données projet'!$A$270,'Données projet'!$B$270,GU64+GT65-HC64)))</f>
        <v>443.99999999999994</v>
      </c>
      <c r="GV65" s="17">
        <f>GU65*VLOOKUP('Données projet'!$B$18,Paramètres!$A$1:$I$89,3,0)*VLOOKUP('Données projet'!$B$18,Paramètres!$A$1:$I$89,5,0)</f>
        <v>253.96799999999999</v>
      </c>
      <c r="GW65" s="13">
        <f t="shared" si="51"/>
        <v>61.434848029666512</v>
      </c>
      <c r="GX65" s="20">
        <f t="shared" si="28"/>
        <v>549.32662698500246</v>
      </c>
      <c r="GY65" s="59">
        <f t="shared" si="29"/>
        <v>842.65996031833583</v>
      </c>
      <c r="GZ65" s="59">
        <f ca="1">AVERAGE(OFFSET($GY$3,0,0,'Données projet'!$E$18+1,1))-AVERAGE(OFFSET($H$3,0,0,'Données projet'!$E$18+1,1))</f>
        <v>362.57172983134313</v>
      </c>
      <c r="HA65" s="59">
        <f t="shared" si="52"/>
        <v>232.03250917542471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73.848589425305036</v>
      </c>
      <c r="HH65" s="21">
        <f>EXP(-LN(2)/25)*HH64+(1-EXP(-LN(2)/25))/(LN(2)/25)*Calculateur!HC65*Calculateur!HE65*VLOOKUP('Données projet'!$B$18,Paramètres!$A$1:$I$89,3,0)*0.475*44/12</f>
        <v>12.837210972430807</v>
      </c>
      <c r="HI65" s="21">
        <f>EXP(-LN(2)/2)*HI64+(1-EXP(-LN(2)/2))/(LN(2)/2)*HC65*HF65*VLOOKUP('Données projet'!$B$18,Paramètres!$A$1:$I$89,3,0)*0.475*44/12</f>
        <v>1.142624108545786E-5</v>
      </c>
      <c r="HJ65" s="22">
        <f t="shared" si="30"/>
        <v>86.685811823976934</v>
      </c>
    </row>
    <row r="66" spans="1:218" x14ac:dyDescent="0.3">
      <c r="A66" s="10">
        <f t="shared" si="31"/>
        <v>63</v>
      </c>
      <c r="B66" s="71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5">
        <f t="shared" si="1"/>
        <v>362.46256605982404</v>
      </c>
      <c r="I66" s="6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4.4000000000000004</v>
      </c>
      <c r="N66" s="13">
        <f>IF('Données projet'!$A$36&gt;35,N65+M66-V65,IF(A66&lt;'Données projet'!$A$36,$K$205^A66,IF(A66='Données projet'!$A$36,'Données projet'!$B$36,N65+M66-V65)))</f>
        <v>246.19999999999985</v>
      </c>
      <c r="O66" s="13">
        <f>N66*VLOOKUP('Données projet'!$B$9,Paramètres!$A$1:$I$89,3,0)*VLOOKUP('Données projet'!$B$9,Paramètres!$A$1:$I$89,5,0)</f>
        <v>195.87671999999989</v>
      </c>
      <c r="P66" s="13">
        <f t="shared" si="33"/>
        <v>48.836899853879942</v>
      </c>
      <c r="Q66" s="20">
        <f t="shared" si="53"/>
        <v>426.20955457884071</v>
      </c>
      <c r="R66" s="59">
        <f t="shared" si="0"/>
        <v>719.54288791217402</v>
      </c>
      <c r="S66" s="59">
        <f ca="1">AVERAGE(OFFSET($R$3,0,0,'Données projet'!$E$9+1,1))-AVERAGE(OFFSET($H$3,0,0,'Données projet'!$E$9+1,1))</f>
        <v>225.2323446080772</v>
      </c>
      <c r="T66" s="59">
        <f t="shared" si="34"/>
        <v>222.29030402759292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39.52175895795785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39.52175895795785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19.2</v>
      </c>
      <c r="AI66" s="13">
        <f>IF('Données projet'!$A$62&gt;35,AI65+AH66-AQ65,IF(A66&lt;'Données projet'!$A$62,$AF$205^A66,IF(A66='Données projet'!$A$62,'Données projet'!$B$62,AI65+AH66-AQ65)))</f>
        <v>632.6</v>
      </c>
      <c r="AJ66" s="13">
        <f>AI66*VLOOKUP('Données projet'!$B$10,Paramètres!$A$1:$I$89,3,0)*VLOOKUP('Données projet'!$B$10,Paramètres!$A$1:$I$89,5,0)</f>
        <v>312.50440000000003</v>
      </c>
      <c r="AK66" s="13">
        <f t="shared" si="35"/>
        <v>73.791603392541887</v>
      </c>
      <c r="AL66" s="20">
        <f t="shared" si="4"/>
        <v>672.79887257534381</v>
      </c>
      <c r="AM66" s="59">
        <f t="shared" si="5"/>
        <v>966.13220590867718</v>
      </c>
      <c r="AN66" s="59">
        <f ca="1">AVERAGE(OFFSET($AM$3,0,0,'Données projet'!$E$10+1,1))-AVERAGE(OFFSET($H$3,0,0,'Données projet'!$E$10+1,1))</f>
        <v>360.05819346986135</v>
      </c>
      <c r="AO66" s="59">
        <f t="shared" si="36"/>
        <v>300.47468388351081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98.612112107600367</v>
      </c>
      <c r="AV66" s="21">
        <f>EXP(-LN(2)/25)*AV65+(1-EXP(-LN(2)/25))/(LN(2)/25)*Calculateur!AQ66*Calculateur!AS66*VLOOKUP('Données projet'!$B$10,Paramètres!$A$1:$I$89,3,0)*0.475*44/12</f>
        <v>16.945525607349417</v>
      </c>
      <c r="AW66" s="21">
        <f>EXP(-LN(2)/2)*AW65+(1-EXP(-LN(2)/2))/(LN(2)/2)*AQ66*AT66*VLOOKUP('Données projet'!$B$10,Paramètres!$A$1:$I$89,3,0)*0.475*44/12</f>
        <v>5.65768594146163E-7</v>
      </c>
      <c r="AX66" s="21">
        <f t="shared" si="6"/>
        <v>115.55763828071836</v>
      </c>
      <c r="AY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12</v>
      </c>
      <c r="BD66" s="12">
        <f>IF('Données projet'!$A$88&gt;35,BD65+BC66-BL65,IF(A66&lt;'Données projet'!$A$88,$BA$205^A66,IF(A66='Données projet'!$A$88,'Données projet'!$B$88,BD65+BC66-BL65)))</f>
        <v>341.99999999999994</v>
      </c>
      <c r="BE66" s="13">
        <f>BD66*VLOOKUP('Données projet'!$B$11,Paramètres!$A$1:$I$89,3,0)*VLOOKUP('Données projet'!$B$11,Paramètres!$A$1:$I$89,5,0)</f>
        <v>195.624</v>
      </c>
      <c r="BF66" s="13">
        <f t="shared" si="37"/>
        <v>48.781220625276006</v>
      </c>
      <c r="BG66" s="20">
        <f t="shared" si="7"/>
        <v>425.67242592235567</v>
      </c>
      <c r="BH66" s="59">
        <f t="shared" si="8"/>
        <v>719.00575925568899</v>
      </c>
      <c r="BI66" s="59">
        <f ca="1">AVERAGE(OFFSET($BH$3,0,0,'Données projet'!$E$11+1,1))-AVERAGE(OFFSET($H$3,0,0,'Données projet'!$E$11+1,1))</f>
        <v>250.90038883668348</v>
      </c>
      <c r="BJ66" s="59">
        <f t="shared" si="38"/>
        <v>141.96132114475608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53.509920061985298</v>
      </c>
      <c r="BQ66" s="21">
        <f>EXP(-LN(2)/25)*BQ65+(1-EXP(-LN(2)/25))/(LN(2)/25)*Calculateur!BL66*Calculateur!BN66*VLOOKUP('Données projet'!$B$11,Paramètres!$A$1:$I$89,3,0)*0.475*44/12</f>
        <v>4.7679532770089237</v>
      </c>
      <c r="BR66" s="21">
        <f>EXP(-LN(2)/2)*BR65+(1-EXP(-LN(2)/2))/(LN(2)/2)*BL66*BO66*VLOOKUP('Données projet'!$B$11,Paramètres!$A$1:$I$89,3,0)*0.475*44/12</f>
        <v>4.0763887115687627E-5</v>
      </c>
      <c r="BS66" s="22">
        <f t="shared" si="9"/>
        <v>58.277914102881333</v>
      </c>
      <c r="BT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295.59999999999985</v>
      </c>
      <c r="BZ66" s="13">
        <f>BY66*VLOOKUP('Données projet'!$B$12,Paramètres!$A$1:$I$89,3,0)*VLOOKUP('Données projet'!$B$12,Paramètres!$A$1:$I$89,5,0)</f>
        <v>235.17935999999989</v>
      </c>
      <c r="CA66" s="13">
        <f t="shared" si="39"/>
        <v>57.401124668909425</v>
      </c>
      <c r="CB66" s="20">
        <f t="shared" si="10"/>
        <v>509.57767746501708</v>
      </c>
      <c r="CC66" s="59">
        <f t="shared" si="11"/>
        <v>802.91101079835039</v>
      </c>
      <c r="CD66" s="59">
        <f ca="1">AVERAGE(OFFSET($CC$3,0,0,'Données projet'!$E$12+1,1))-AVERAGE(OFFSET($H$3,0,0,'Données projet'!$E$12+1,1))</f>
        <v>279.49721661620544</v>
      </c>
      <c r="CE66" s="59">
        <f t="shared" si="40"/>
        <v>275.18739333988754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46.910456412806802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46.910456412806802</v>
      </c>
      <c r="CO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21</v>
      </c>
      <c r="CT66" s="12">
        <f>IF('Données projet'!$A$140&gt;35,CT65+CS66-DB65,IF(A66&lt;'Données projet'!$A$140,$CQ$205^A66,IF(A66='Données projet'!$A$140,'Données projet'!$B$140,CT65+CS66-DB65)))</f>
        <v>686.99999999999989</v>
      </c>
      <c r="CU66" s="17">
        <f>CT66*VLOOKUP('Données projet'!$B$13,Paramètres!$A$1:$I$89,3,0)*VLOOKUP('Données projet'!$B$13,Paramètres!$A$1:$I$89,5,0)</f>
        <v>339.37799999999993</v>
      </c>
      <c r="CV66" s="13">
        <f t="shared" si="41"/>
        <v>79.371423591778324</v>
      </c>
      <c r="CW66" s="20">
        <f t="shared" si="13"/>
        <v>729.32191275568039</v>
      </c>
      <c r="CX66" s="59">
        <f t="shared" si="14"/>
        <v>1022.6552460890136</v>
      </c>
      <c r="CY66" s="59">
        <f ca="1">AVERAGE(OFFSET($CX$3,0,0,'Données projet'!$E$13+1,1))-AVERAGE(OFFSET($H$3,0,0,'Données projet'!$E$13+1,1))</f>
        <v>396.27049617044378</v>
      </c>
      <c r="CZ66" s="59">
        <f t="shared" si="42"/>
        <v>335.2680289568774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108.95377831070701</v>
      </c>
      <c r="DG66" s="21">
        <f>EXP(-LN(2)/25)*DG65+(1-EXP(-LN(2)/25))/(LN(2)/25)*Calculateur!DB66*Calculateur!DD66*VLOOKUP('Données projet'!$B$13,Paramètres!$A$1:$I$89,3,0)*0.475*44/12</f>
        <v>18.828361785943798</v>
      </c>
      <c r="DH66" s="21">
        <f>EXP(-LN(2)/2)*DH65+(1-EXP(-LN(2)/2))/(LN(2)/2)*DB66*DE66*VLOOKUP('Données projet'!$B$13,Paramètres!$A$1:$I$89,3,0)*0.475*44/12</f>
        <v>4.1489696904051981E-6</v>
      </c>
      <c r="DI66" s="22">
        <f t="shared" si="15"/>
        <v>127.7821442456205</v>
      </c>
      <c r="DJ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13.4</v>
      </c>
      <c r="DO66" s="12">
        <f>IF('Données projet'!$A$166&gt;35,DO65+DN66-DW65,IF(A66&lt;'Données projet'!$A$166,$DL$205^A66,IF(A66='Données projet'!$A$166,'Données projet'!$B$166,DO65+DN66-DW65)))</f>
        <v>400.19999999999982</v>
      </c>
      <c r="DP66" s="17">
        <f>DO66*VLOOKUP('Données projet'!$B$14,Paramètres!$A$1:$I$89,3,0)*VLOOKUP('Données projet'!$B$14,Paramètres!$A$1:$I$89,5,0)</f>
        <v>228.91439999999989</v>
      </c>
      <c r="DQ66" s="13">
        <f t="shared" si="43"/>
        <v>56.047884834417424</v>
      </c>
      <c r="DR66" s="20">
        <f t="shared" si="16"/>
        <v>496.30931275327674</v>
      </c>
      <c r="DS66" s="59">
        <f t="shared" si="17"/>
        <v>789.64264608661006</v>
      </c>
      <c r="DT66" s="59">
        <f ca="1">AVERAGE(OFFSET($DS$3,0,0,'Données projet'!$E$14+1,1))-AVERAGE(OFFSET($H$3,0,0,'Données projet'!$E$14+1,1))</f>
        <v>307.43900954374504</v>
      </c>
      <c r="DU66" s="59">
        <f t="shared" si="44"/>
        <v>185.25270859048999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63.568380703819869</v>
      </c>
      <c r="EB66" s="21">
        <f>EXP(-LN(2)/25)*EB65+(1-EXP(-LN(2)/25))/(LN(2)/25)*Calculateur!DW66*Calculateur!DY66*VLOOKUP('Données projet'!$B$14,Paramètres!$A$1:$I$89,3,0)*0.475*44/12</f>
        <v>10.702437225694368</v>
      </c>
      <c r="EC66" s="21">
        <f>EXP(-LN(2)/2)*EC65+(1-EXP(-LN(2)/2))/(LN(2)/2)*DW66*DZ66*VLOOKUP('Données projet'!$B$14,Paramètres!$A$1:$I$89,3,0)*0.475*44/12</f>
        <v>3.9306028645943964E-6</v>
      </c>
      <c r="ED66" s="22">
        <f t="shared" si="18"/>
        <v>74.270821860117096</v>
      </c>
      <c r="EE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401</v>
      </c>
      <c r="EK66" s="17">
        <f>EJ66*VLOOKUP('Données projet'!$B$15,Paramètres!$A$1:$I$89,3,0)*VLOOKUP('Données projet'!$B$15,Paramètres!$A$1:$I$89,5,0)</f>
        <v>250.22399999999999</v>
      </c>
      <c r="EL66" s="13">
        <f t="shared" si="45"/>
        <v>60.633904580527918</v>
      </c>
      <c r="EM66" s="20">
        <f t="shared" si="19"/>
        <v>541.41085047775289</v>
      </c>
      <c r="EN66" s="59">
        <f t="shared" si="20"/>
        <v>834.74418381108626</v>
      </c>
      <c r="EO66" s="59">
        <f ca="1">AVERAGE(OFFSET($EN$3,0,0,'Données projet'!$E$15+1,1))-AVERAGE(OFFSET($H$3,0,0,'Données projet'!$E$15+1,1))</f>
        <v>269.77739619445515</v>
      </c>
      <c r="EP66" s="59">
        <f t="shared" si="46"/>
        <v>347.56964743629885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72.161149689700466</v>
      </c>
      <c r="EW66" s="21">
        <f>EXP(-LN(2)/25)*EW65+(1-EXP(-LN(2)/25))/(LN(2)/25)*Calculateur!ER66*Calculateur!ET66*VLOOKUP('Données projet'!$B$15,Paramètres!$A$1:$I$89,3,0)*0.475*44/12</f>
        <v>36.745953242135677</v>
      </c>
      <c r="EX66" s="21">
        <f>EXP(-LN(2)/2)*EX65+(1-EXP(-LN(2)/2))/(LN(2)/2)*ER66*EU66*VLOOKUP('Données projet'!$B$15,Paramètres!$A$1:$I$89,3,0)*0.475*44/12</f>
        <v>2.6799564985870888E-7</v>
      </c>
      <c r="EY66" s="22">
        <f t="shared" si="21"/>
        <v>108.90710319983178</v>
      </c>
      <c r="EZ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6</v>
      </c>
      <c r="FE66" s="12">
        <f>IF('Données projet'!$A$218&gt;35,FE65+FD66-FM65,IF(A66&lt;'Données projet'!$A$218,$FB$205^A66,IF(A66='Données projet'!$A$218,'Données projet'!$B$218,FE65+FD66-FM65)))</f>
        <v>343.99999999999972</v>
      </c>
      <c r="FF66" s="17">
        <f>FE66*VLOOKUP('Données projet'!$B$16,Paramètres!$A$1:$I$89,3,0)*VLOOKUP('Données projet'!$B$16,Paramètres!$A$1:$I$89,5,0)</f>
        <v>273.68639999999976</v>
      </c>
      <c r="FG66" s="13">
        <f t="shared" si="47"/>
        <v>65.630997870536959</v>
      </c>
      <c r="FH66" s="20">
        <f t="shared" si="22"/>
        <v>590.97780129118485</v>
      </c>
      <c r="FI66" s="59">
        <f t="shared" si="23"/>
        <v>884.31113462451822</v>
      </c>
      <c r="FJ66" s="59">
        <f ca="1">AVERAGE(OFFSET($FI$3,0,0,'Données projet'!$E$16+1,1))-AVERAGE(OFFSET($H$3,0,0,'Données projet'!$E$16+1,1))</f>
        <v>331.52724290297675</v>
      </c>
      <c r="FK66" s="59">
        <f t="shared" si="48"/>
        <v>322.79102610158054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53.749373767683991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53.749373767683991</v>
      </c>
      <c r="FU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22.4</v>
      </c>
      <c r="FZ66" s="12">
        <f>IF('Données projet'!$A$244&gt;35,FZ65+FY66-GH65,IF(A66&lt;'Données projet'!$A$244,$FW$205^A66,IF(A66='Données projet'!$A$244,'Données projet'!$B$244,FZ65+FY66-GH65)))</f>
        <v>741.2</v>
      </c>
      <c r="GA66" s="17">
        <f>FZ66*VLOOKUP('Données projet'!$B$17,Paramètres!$A$1:$I$89,3,0)*VLOOKUP('Données projet'!$B$17,Paramètres!$A$1:$I$89,5,0)</f>
        <v>366.15280000000001</v>
      </c>
      <c r="GB66" s="13">
        <f t="shared" si="49"/>
        <v>84.879756652329547</v>
      </c>
      <c r="GC66" s="20">
        <f t="shared" si="25"/>
        <v>785.5483695028073</v>
      </c>
      <c r="GD66" s="59">
        <f t="shared" si="26"/>
        <v>1078.8817028361407</v>
      </c>
      <c r="GE66" s="59">
        <f ca="1">AVERAGE(OFFSET($GD$3,0,0,'Données projet'!$E$17+1,1))-AVERAGE(OFFSET($H$3,0,0,'Données projet'!$E$17+1,1))</f>
        <v>434.08297999735811</v>
      </c>
      <c r="GF66" s="59">
        <f t="shared" si="50"/>
        <v>371.04090283546122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119.29544451381369</v>
      </c>
      <c r="GM66" s="21">
        <f>EXP(-LN(2)/25)*GM65+(1-EXP(-LN(2)/25))/(LN(2)/25)*Calculateur!GH66*Calculateur!GJ66*VLOOKUP('Données projet'!$B$17,Paramètres!$A$1:$I$89,3,0)*0.475*44/12</f>
        <v>20.711197964538187</v>
      </c>
      <c r="GN66" s="21">
        <f>EXP(-LN(2)/2)*GN65+(1-EXP(-LN(2)/2))/(LN(2)/2)*GH66*GK66*VLOOKUP('Données projet'!$B$17,Paramètres!$A$1:$I$89,3,0)*0.475*44/12</f>
        <v>8.1093498494283373E-6</v>
      </c>
      <c r="GO66" s="21">
        <f t="shared" si="27"/>
        <v>140.00665058770173</v>
      </c>
      <c r="GP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15</v>
      </c>
      <c r="GU66" s="12">
        <f>IF('Données projet'!$A$270&gt;35,GU65+GT66-HC65,IF(A66&lt;'Données projet'!$A$270,$GR$205^A66,IF(A66='Données projet'!$A$270,'Données projet'!$B$270,GU65+GT66-HC65)))</f>
        <v>458.99999999999994</v>
      </c>
      <c r="GV66" s="17">
        <f>GU66*VLOOKUP('Données projet'!$B$18,Paramètres!$A$1:$I$89,3,0)*VLOOKUP('Données projet'!$B$18,Paramètres!$A$1:$I$89,5,0)</f>
        <v>262.548</v>
      </c>
      <c r="GW66" s="13">
        <f t="shared" si="51"/>
        <v>63.265199933079444</v>
      </c>
      <c r="GX66" s="20">
        <f t="shared" si="28"/>
        <v>567.45798988344666</v>
      </c>
      <c r="GY66" s="59">
        <f t="shared" si="29"/>
        <v>860.79132321678003</v>
      </c>
      <c r="GZ66" s="59">
        <f ca="1">AVERAGE(OFFSET($GY$3,0,0,'Données projet'!$E$18+1,1))-AVERAGE(OFFSET($H$3,0,0,'Données projet'!$E$18+1,1))</f>
        <v>362.57172983134313</v>
      </c>
      <c r="HA66" s="59">
        <f t="shared" si="52"/>
        <v>232.03250917542471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72.400463629866707</v>
      </c>
      <c r="HH66" s="21">
        <f>EXP(-LN(2)/25)*HH65+(1-EXP(-LN(2)/25))/(LN(2)/25)*Calculateur!HC66*Calculateur!HE66*VLOOKUP('Données projet'!$B$18,Paramètres!$A$1:$I$89,3,0)*0.475*44/12</f>
        <v>12.486176763310102</v>
      </c>
      <c r="HI66" s="21">
        <f>EXP(-LN(2)/2)*HI65+(1-EXP(-LN(2)/2))/(LN(2)/2)*HC66*HF66*VLOOKUP('Données projet'!$B$18,Paramètres!$A$1:$I$89,3,0)*0.475*44/12</f>
        <v>8.0795725549995902E-6</v>
      </c>
      <c r="HJ66" s="22">
        <f t="shared" si="30"/>
        <v>84.886648472749357</v>
      </c>
    </row>
    <row r="67" spans="1:218" x14ac:dyDescent="0.3">
      <c r="A67" s="10">
        <f t="shared" si="31"/>
        <v>64</v>
      </c>
      <c r="B67" s="71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5">
        <f t="shared" si="1"/>
        <v>363.52943348895451</v>
      </c>
      <c r="I67" s="6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4.4000000000000004</v>
      </c>
      <c r="N67" s="13">
        <f>IF('Données projet'!$A$36&gt;35,N66+M67-V66,IF(A67&lt;'Données projet'!$A$36,$K$205^A67,IF(A67='Données projet'!$A$36,'Données projet'!$B$36,N66+M67-V66)))</f>
        <v>250.59999999999985</v>
      </c>
      <c r="O67" s="13">
        <f>N67*VLOOKUP('Données projet'!$B$9,Paramètres!$A$1:$I$89,3,0)*VLOOKUP('Données projet'!$B$9,Paramètres!$A$1:$I$89,5,0)</f>
        <v>199.3773599999999</v>
      </c>
      <c r="P67" s="13">
        <f t="shared" si="33"/>
        <v>49.607305476717762</v>
      </c>
      <c r="Q67" s="20">
        <f t="shared" ref="Q67:Q98" si="54">(O67+P67)*0.475*44/12</f>
        <v>433.64829237194994</v>
      </c>
      <c r="R67" s="59">
        <f t="shared" ref="R67:R130" si="55">Q67+(I67+J67)*44/12</f>
        <v>726.98162570528325</v>
      </c>
      <c r="S67" s="59">
        <f ca="1">AVERAGE(OFFSET($R$3,0,0,'Données projet'!$E$9+1,1))-AVERAGE(OFFSET($H$3,0,0,'Données projet'!$E$9+1,1))</f>
        <v>225.2323446080772</v>
      </c>
      <c r="T67" s="59">
        <f t="shared" si="34"/>
        <v>222.29030402759292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38.746761370685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38.746761370685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19.2</v>
      </c>
      <c r="AI67" s="13">
        <f>IF('Données projet'!$A$62&gt;35,AI66+AH67-AQ66,IF(A67&lt;'Données projet'!$A$62,$AF$205^A67,IF(A67='Données projet'!$A$62,'Données projet'!$B$62,AI66+AH67-AQ66)))</f>
        <v>651.80000000000007</v>
      </c>
      <c r="AJ67" s="13">
        <f>AI67*VLOOKUP('Données projet'!$B$10,Paramètres!$A$1:$I$89,3,0)*VLOOKUP('Données projet'!$B$10,Paramètres!$A$1:$I$89,5,0)</f>
        <v>321.98920000000004</v>
      </c>
      <c r="AK67" s="13">
        <f t="shared" si="35"/>
        <v>75.767096013515342</v>
      </c>
      <c r="AL67" s="20">
        <f t="shared" si="4"/>
        <v>692.75888222353922</v>
      </c>
      <c r="AM67" s="59">
        <f t="shared" si="5"/>
        <v>986.09221555687259</v>
      </c>
      <c r="AN67" s="59">
        <f ca="1">AVERAGE(OFFSET($AM$3,0,0,'Données projet'!$E$10+1,1))-AVERAGE(OFFSET($H$3,0,0,'Données projet'!$E$10+1,1))</f>
        <v>360.05819346986135</v>
      </c>
      <c r="AO67" s="59">
        <f t="shared" si="36"/>
        <v>300.47468388351081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96.678388736619638</v>
      </c>
      <c r="AV67" s="21">
        <f>EXP(-LN(2)/25)*AV66+(1-EXP(-LN(2)/25))/(LN(2)/25)*Calculateur!AQ67*Calculateur!AS67*VLOOKUP('Données projet'!$B$10,Paramètres!$A$1:$I$89,3,0)*0.475*44/12</f>
        <v>16.482149318489984</v>
      </c>
      <c r="AW67" s="21">
        <f>EXP(-LN(2)/2)*AW66+(1-EXP(-LN(2)/2))/(LN(2)/2)*AQ67*AT67*VLOOKUP('Données projet'!$B$10,Paramètres!$A$1:$I$89,3,0)*0.475*44/12</f>
        <v>4.000588095031315E-7</v>
      </c>
      <c r="AX67" s="21">
        <f t="shared" si="6"/>
        <v>113.16053845516844</v>
      </c>
      <c r="AY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12</v>
      </c>
      <c r="BD67" s="12">
        <f>IF('Données projet'!$A$88&gt;35,BD66+BC67-BL66,IF(A67&lt;'Données projet'!$A$88,$BA$205^A67,IF(A67='Données projet'!$A$88,'Données projet'!$B$88,BD66+BC67-BL66)))</f>
        <v>353.99999999999994</v>
      </c>
      <c r="BE67" s="13">
        <f>BD67*VLOOKUP('Données projet'!$B$11,Paramètres!$A$1:$I$89,3,0)*VLOOKUP('Données projet'!$B$11,Paramètres!$A$1:$I$89,5,0)</f>
        <v>202.48799999999997</v>
      </c>
      <c r="BF67" s="13">
        <f t="shared" si="37"/>
        <v>50.290560763566887</v>
      </c>
      <c r="BG67" s="20">
        <f t="shared" si="7"/>
        <v>440.25599332987895</v>
      </c>
      <c r="BH67" s="59">
        <f t="shared" si="8"/>
        <v>733.5893266632122</v>
      </c>
      <c r="BI67" s="59">
        <f ca="1">AVERAGE(OFFSET($BH$3,0,0,'Données projet'!$E$11+1,1))-AVERAGE(OFFSET($H$3,0,0,'Données projet'!$E$11+1,1))</f>
        <v>250.90038883668348</v>
      </c>
      <c r="BJ67" s="59">
        <f t="shared" si="38"/>
        <v>141.96132114475608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52.460623167398289</v>
      </c>
      <c r="BQ67" s="21">
        <f>EXP(-LN(2)/25)*BQ66+(1-EXP(-LN(2)/25))/(LN(2)/25)*Calculateur!BL67*Calculateur!BN67*VLOOKUP('Données projet'!$B$11,Paramètres!$A$1:$I$89,3,0)*0.475*44/12</f>
        <v>4.6375733439133491</v>
      </c>
      <c r="BR67" s="21">
        <f>EXP(-LN(2)/2)*BR66+(1-EXP(-LN(2)/2))/(LN(2)/2)*BL67*BO67*VLOOKUP('Données projet'!$B$11,Paramètres!$A$1:$I$89,3,0)*0.475*44/12</f>
        <v>2.8824421007025656E-5</v>
      </c>
      <c r="BS67" s="22">
        <f t="shared" si="9"/>
        <v>57.09822533573265</v>
      </c>
      <c r="BT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300.79999999999984</v>
      </c>
      <c r="BZ67" s="13">
        <f>BY67*VLOOKUP('Données projet'!$B$12,Paramètres!$A$1:$I$89,3,0)*VLOOKUP('Données projet'!$B$12,Paramètres!$A$1:$I$89,5,0)</f>
        <v>239.3164799999999</v>
      </c>
      <c r="CA67" s="13">
        <f t="shared" si="39"/>
        <v>58.292443422481945</v>
      </c>
      <c r="CB67" s="20">
        <f t="shared" si="10"/>
        <v>518.33554162748919</v>
      </c>
      <c r="CC67" s="59">
        <f t="shared" si="11"/>
        <v>811.66887496082245</v>
      </c>
      <c r="CD67" s="59">
        <f ca="1">AVERAGE(OFFSET($CC$3,0,0,'Données projet'!$E$12+1,1))-AVERAGE(OFFSET($H$3,0,0,'Données projet'!$E$12+1,1))</f>
        <v>279.49721661620544</v>
      </c>
      <c r="CE67" s="59">
        <f t="shared" si="40"/>
        <v>275.18739333988754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45.990570975104816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45.990570975104816</v>
      </c>
      <c r="CO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21</v>
      </c>
      <c r="CT67" s="12">
        <f>IF('Données projet'!$A$140&gt;35,CT66+CS67-DB66,IF(A67&lt;'Données projet'!$A$140,$CQ$205^A67,IF(A67='Données projet'!$A$140,'Données projet'!$B$140,CT66+CS67-DB66)))</f>
        <v>707.99999999999989</v>
      </c>
      <c r="CU67" s="17">
        <f>CT67*VLOOKUP('Données projet'!$B$13,Paramètres!$A$1:$I$89,3,0)*VLOOKUP('Données projet'!$B$13,Paramètres!$A$1:$I$89,5,0)</f>
        <v>349.75199999999995</v>
      </c>
      <c r="CV67" s="13">
        <f t="shared" si="41"/>
        <v>81.511443355997685</v>
      </c>
      <c r="CW67" s="20">
        <f t="shared" si="13"/>
        <v>751.11716384502915</v>
      </c>
      <c r="CX67" s="59">
        <f t="shared" si="14"/>
        <v>1044.4504971783624</v>
      </c>
      <c r="CY67" s="59">
        <f ca="1">AVERAGE(OFFSET($CX$3,0,0,'Données projet'!$E$13+1,1))-AVERAGE(OFFSET($H$3,0,0,'Données projet'!$E$13+1,1))</f>
        <v>396.27049617044378</v>
      </c>
      <c r="CZ67" s="59">
        <f t="shared" si="42"/>
        <v>335.2680289568774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106.8172611732769</v>
      </c>
      <c r="DG67" s="21">
        <f>EXP(-LN(2)/25)*DG66+(1-EXP(-LN(2)/25))/(LN(2)/25)*Calculateur!DB67*Calculateur!DD67*VLOOKUP('Données projet'!$B$13,Paramètres!$A$1:$I$89,3,0)*0.475*44/12</f>
        <v>18.313499242766653</v>
      </c>
      <c r="DH67" s="21">
        <f>EXP(-LN(2)/2)*DH66+(1-EXP(-LN(2)/2))/(LN(2)/2)*DB67*DE67*VLOOKUP('Données projet'!$B$13,Paramètres!$A$1:$I$89,3,0)*0.475*44/12</f>
        <v>2.9337646030229662E-6</v>
      </c>
      <c r="DI67" s="22">
        <f t="shared" si="15"/>
        <v>125.13076334980816</v>
      </c>
      <c r="DJ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13.4</v>
      </c>
      <c r="DO67" s="12">
        <f>IF('Données projet'!$A$166&gt;35,DO66+DN67-DW66,IF(A67&lt;'Données projet'!$A$166,$DL$205^A67,IF(A67='Données projet'!$A$166,'Données projet'!$B$166,DO66+DN67-DW66)))</f>
        <v>413.5999999999998</v>
      </c>
      <c r="DP67" s="17">
        <f>DO67*VLOOKUP('Données projet'!$B$14,Paramètres!$A$1:$I$89,3,0)*VLOOKUP('Données projet'!$B$14,Paramètres!$A$1:$I$89,5,0)</f>
        <v>236.5791999999999</v>
      </c>
      <c r="DQ67" s="13">
        <f t="shared" si="43"/>
        <v>57.70291488923025</v>
      </c>
      <c r="DR67" s="20">
        <f t="shared" si="16"/>
        <v>512.54135009874256</v>
      </c>
      <c r="DS67" s="59">
        <f t="shared" si="17"/>
        <v>805.87468343207593</v>
      </c>
      <c r="DT67" s="59">
        <f ca="1">AVERAGE(OFFSET($DS$3,0,0,'Données projet'!$E$14+1,1))-AVERAGE(OFFSET($H$3,0,0,'Données projet'!$E$14+1,1))</f>
        <v>307.43900954374504</v>
      </c>
      <c r="DU67" s="59">
        <f t="shared" si="44"/>
        <v>185.25270859048999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62.321843531101685</v>
      </c>
      <c r="EB67" s="21">
        <f>EXP(-LN(2)/25)*EB66+(1-EXP(-LN(2)/25))/(LN(2)/25)*Calculateur!DW67*Calculateur!DY67*VLOOKUP('Données projet'!$B$14,Paramètres!$A$1:$I$89,3,0)*0.475*44/12</f>
        <v>10.409778516941042</v>
      </c>
      <c r="EC67" s="21">
        <f>EXP(-LN(2)/2)*EC66+(1-EXP(-LN(2)/2))/(LN(2)/2)*DW67*DZ67*VLOOKUP('Données projet'!$B$14,Paramètres!$A$1:$I$89,3,0)*0.475*44/12</f>
        <v>2.7793559397059668E-6</v>
      </c>
      <c r="ED67" s="22">
        <f t="shared" si="18"/>
        <v>72.731624827398662</v>
      </c>
      <c r="EE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401</v>
      </c>
      <c r="EK67" s="17">
        <f>EJ67*VLOOKUP('Données projet'!$B$15,Paramètres!$A$1:$I$89,3,0)*VLOOKUP('Données projet'!$B$15,Paramètres!$A$1:$I$89,5,0)</f>
        <v>250.22399999999999</v>
      </c>
      <c r="EL67" s="13">
        <f t="shared" si="45"/>
        <v>60.633904580527918</v>
      </c>
      <c r="EM67" s="20">
        <f t="shared" si="19"/>
        <v>541.41085047775289</v>
      </c>
      <c r="EN67" s="59">
        <f t="shared" si="20"/>
        <v>834.74418381108626</v>
      </c>
      <c r="EO67" s="59">
        <f ca="1">AVERAGE(OFFSET($EN$3,0,0,'Données projet'!$E$15+1,1))-AVERAGE(OFFSET($H$3,0,0,'Données projet'!$E$15+1,1))</f>
        <v>269.77739619445515</v>
      </c>
      <c r="EP67" s="59">
        <f t="shared" si="46"/>
        <v>347.56964743629885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70.746113558240737</v>
      </c>
      <c r="EW67" s="21">
        <f>EXP(-LN(2)/25)*EW66+(1-EXP(-LN(2)/25))/(LN(2)/25)*Calculateur!ER67*Calculateur!ET67*VLOOKUP('Données projet'!$B$15,Paramètres!$A$1:$I$89,3,0)*0.475*44/12</f>
        <v>35.741133218343776</v>
      </c>
      <c r="EX67" s="21">
        <f>EXP(-LN(2)/2)*EX66+(1-EXP(-LN(2)/2))/(LN(2)/2)*ER67*EU67*VLOOKUP('Données projet'!$B$15,Paramètres!$A$1:$I$89,3,0)*0.475*44/12</f>
        <v>1.8950154134358867E-7</v>
      </c>
      <c r="EY67" s="22">
        <f t="shared" si="21"/>
        <v>106.48724696608605</v>
      </c>
      <c r="EZ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6</v>
      </c>
      <c r="FE67" s="12">
        <f>IF('Données projet'!$A$218&gt;35,FE66+FD67-FM66,IF(A67&lt;'Données projet'!$A$218,$FB$205^A67,IF(A67='Données projet'!$A$218,'Données projet'!$B$218,FE66+FD67-FM66)))</f>
        <v>349.99999999999972</v>
      </c>
      <c r="FF67" s="17">
        <f>FE67*VLOOKUP('Données projet'!$B$16,Paramètres!$A$1:$I$89,3,0)*VLOOKUP('Données projet'!$B$16,Paramètres!$A$1:$I$89,5,0)</f>
        <v>278.45999999999981</v>
      </c>
      <c r="FG67" s="13">
        <f t="shared" si="47"/>
        <v>66.641458222154824</v>
      </c>
      <c r="FH67" s="20">
        <f t="shared" si="22"/>
        <v>601.05170640358597</v>
      </c>
      <c r="FI67" s="59">
        <f t="shared" si="23"/>
        <v>894.38503973691923</v>
      </c>
      <c r="FJ67" s="59">
        <f ca="1">AVERAGE(OFFSET($FI$3,0,0,'Données projet'!$E$16+1,1))-AVERAGE(OFFSET($H$3,0,0,'Données projet'!$E$16+1,1))</f>
        <v>331.52724290297675</v>
      </c>
      <c r="FK67" s="59">
        <f t="shared" si="48"/>
        <v>322.79102610158054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52.69538133198057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52.69538133198057</v>
      </c>
      <c r="FU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22.4</v>
      </c>
      <c r="FZ67" s="12">
        <f>IF('Données projet'!$A$244&gt;35,FZ66+FY67-GH66,IF(A67&lt;'Données projet'!$A$244,$FW$205^A67,IF(A67='Données projet'!$A$244,'Données projet'!$B$244,FZ66+FY67-GH66)))</f>
        <v>763.6</v>
      </c>
      <c r="GA67" s="17">
        <f>FZ67*VLOOKUP('Données projet'!$B$17,Paramètres!$A$1:$I$89,3,0)*VLOOKUP('Données projet'!$B$17,Paramètres!$A$1:$I$89,5,0)</f>
        <v>377.21840000000003</v>
      </c>
      <c r="GB67" s="13">
        <f t="shared" si="49"/>
        <v>87.142401380514713</v>
      </c>
      <c r="GC67" s="20">
        <f t="shared" si="25"/>
        <v>808.7617290710632</v>
      </c>
      <c r="GD67" s="59">
        <f t="shared" si="26"/>
        <v>1102.0950624043965</v>
      </c>
      <c r="GE67" s="59">
        <f ca="1">AVERAGE(OFFSET($GD$3,0,0,'Données projet'!$E$17+1,1))-AVERAGE(OFFSET($H$3,0,0,'Données projet'!$E$17+1,1))</f>
        <v>434.08297999735811</v>
      </c>
      <c r="GF67" s="59">
        <f t="shared" si="50"/>
        <v>371.04090283546122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116.9561336099342</v>
      </c>
      <c r="GM67" s="21">
        <f>EXP(-LN(2)/25)*GM66+(1-EXP(-LN(2)/25))/(LN(2)/25)*Calculateur!GH67*Calculateur!GJ67*VLOOKUP('Données projet'!$B$17,Paramètres!$A$1:$I$89,3,0)*0.475*44/12</f>
        <v>20.144849167043326</v>
      </c>
      <c r="GN67" s="21">
        <f>EXP(-LN(2)/2)*GN66+(1-EXP(-LN(2)/2))/(LN(2)/2)*GH67*GK67*VLOOKUP('Données projet'!$B$17,Paramètres!$A$1:$I$89,3,0)*0.475*44/12</f>
        <v>5.7341762695448856E-6</v>
      </c>
      <c r="GO67" s="21">
        <f t="shared" si="27"/>
        <v>137.10098851115379</v>
      </c>
      <c r="GP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15</v>
      </c>
      <c r="GU67" s="12">
        <f>IF('Données projet'!$A$270&gt;35,GU66+GT67-HC66,IF(A67&lt;'Données projet'!$A$270,$GR$205^A67,IF(A67='Données projet'!$A$270,'Données projet'!$B$270,GU66+GT67-HC66)))</f>
        <v>473.99999999999994</v>
      </c>
      <c r="GV67" s="17">
        <f>GU67*VLOOKUP('Données projet'!$B$18,Paramètres!$A$1:$I$89,3,0)*VLOOKUP('Données projet'!$B$18,Paramètres!$A$1:$I$89,5,0)</f>
        <v>271.12799999999999</v>
      </c>
      <c r="GW67" s="13">
        <f t="shared" si="51"/>
        <v>65.088601240045278</v>
      </c>
      <c r="GX67" s="20">
        <f t="shared" si="28"/>
        <v>585.57724715974553</v>
      </c>
      <c r="GY67" s="59">
        <f t="shared" si="29"/>
        <v>878.9105804930789</v>
      </c>
      <c r="GZ67" s="59">
        <f ca="1">AVERAGE(OFFSET($GY$3,0,0,'Données projet'!$E$18+1,1))-AVERAGE(OFFSET($H$3,0,0,'Données projet'!$E$18+1,1))</f>
        <v>362.57172983134313</v>
      </c>
      <c r="HA67" s="59">
        <f t="shared" si="52"/>
        <v>232.03250917542471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70.98073469800741</v>
      </c>
      <c r="HH67" s="21">
        <f>EXP(-LN(2)/25)*HH66+(1-EXP(-LN(2)/25))/(LN(2)/25)*Calculateur!HC67*Calculateur!HE67*VLOOKUP('Données projet'!$B$18,Paramètres!$A$1:$I$89,3,0)*0.475*44/12</f>
        <v>12.144741603097888</v>
      </c>
      <c r="HI67" s="21">
        <f>EXP(-LN(2)/2)*HI66+(1-EXP(-LN(2)/2))/(LN(2)/2)*HC67*HF67*VLOOKUP('Données projet'!$B$18,Paramètres!$A$1:$I$89,3,0)*0.475*44/12</f>
        <v>5.71312054272893E-6</v>
      </c>
      <c r="HJ67" s="22">
        <f t="shared" si="30"/>
        <v>83.125482014225838</v>
      </c>
    </row>
    <row r="68" spans="1:218" x14ac:dyDescent="0.3">
      <c r="A68" s="10">
        <f t="shared" si="31"/>
        <v>65</v>
      </c>
      <c r="B68" s="71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5">
        <f t="shared" ref="H68:H131" si="56">(B68+E68+F68)*44/12+(C68+D68)*0.475*44/12</f>
        <v>364.59588455641932</v>
      </c>
      <c r="I68" s="6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255</v>
      </c>
      <c r="L68" s="12">
        <f>VLOOKUP(A68,'Données projet'!$A$35:$I$55,9,0)</f>
        <v>4.4000000000000004</v>
      </c>
      <c r="M68" s="12">
        <f t="array" ref="M68">INDEX(L:L,MIN(IF(ISNUMBER(L68:L264),ROW(L68:L264),"")))</f>
        <v>4.4000000000000004</v>
      </c>
      <c r="N68" s="13">
        <f>IF('Données projet'!$A$36&gt;35,N67+M68-V67,IF(A68&lt;'Données projet'!$A$36,$K$205^A68,IF(A68='Données projet'!$A$36,'Données projet'!$B$36,N67+M68-V67)))</f>
        <v>254.99999999999986</v>
      </c>
      <c r="O68" s="13">
        <f>N68*VLOOKUP('Données projet'!$B$9,Paramètres!$A$1:$I$89,3,0)*VLOOKUP('Données projet'!$B$9,Paramètres!$A$1:$I$89,5,0)</f>
        <v>202.8779999999999</v>
      </c>
      <c r="P68" s="13">
        <f t="shared" si="33"/>
        <v>50.376138116990084</v>
      </c>
      <c r="Q68" s="20">
        <f t="shared" si="54"/>
        <v>441.08429055375751</v>
      </c>
      <c r="R68" s="59">
        <f t="shared" si="55"/>
        <v>734.41762388709083</v>
      </c>
      <c r="S68" s="59">
        <f ca="1">AVERAGE(OFFSET($R$3,0,0,'Données projet'!$E$9+1,1))-AVERAGE(OFFSET($H$3,0,0,'Données projet'!$E$9+1,1))</f>
        <v>225.2323446080772</v>
      </c>
      <c r="T68" s="59">
        <f t="shared" si="34"/>
        <v>222.29030402759292</v>
      </c>
      <c r="U68" s="15">
        <f>IF(ISNA(VLOOKUP(A68,'Données projet'!$A$35:$I$55,3,0)),0,VLOOKUP(A68,'Données projet'!$A$35:$I$55,3,0))</f>
        <v>11</v>
      </c>
      <c r="V68" s="15">
        <f>IF(ISNA(VLOOKUP(A68,'Données projet'!$A$35:$I$55,4,0)),0,VLOOKUP(A68,'Données projet'!$A$35:$I$55,4,0))</f>
        <v>11</v>
      </c>
      <c r="W68" s="16">
        <f>IF(ISNA(VLOOKUP(A68,'Données projet'!$A$35:$I$55,5,0)),0%,VLOOKUP(A68,'Données projet'!$A$35:$I$55,5,0)*VLOOKUP('Données projet'!$B$9,Paramètres!$A$1:$I$89,7,0))</f>
        <v>0.53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43.114517337362628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43.114517337362628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671</v>
      </c>
      <c r="AG68" s="12">
        <f>VLOOKUP(A68,'Données projet'!$A$61:$I$81,9,0)</f>
        <v>19.2</v>
      </c>
      <c r="AH68" s="12">
        <f t="array" ref="AH68">INDEX(AG:AG,MIN(IF(ISNUMBER(AG68:AG264),ROW(AG68:AG264),"")))</f>
        <v>19.2</v>
      </c>
      <c r="AI68" s="13">
        <f>IF('Données projet'!$A$62&gt;35,AI67+AH68-AQ67,IF(A68&lt;'Données projet'!$A$62,$AF$205^A68,IF(A68='Données projet'!$A$62,'Données projet'!$B$62,AI67+AH68-AQ67)))</f>
        <v>671.00000000000011</v>
      </c>
      <c r="AJ68" s="13">
        <f>AI68*VLOOKUP('Données projet'!$B$10,Paramètres!$A$1:$I$89,3,0)*VLOOKUP('Données projet'!$B$10,Paramètres!$A$1:$I$89,5,0)</f>
        <v>331.47400000000005</v>
      </c>
      <c r="AK68" s="13">
        <f t="shared" si="35"/>
        <v>77.735825667084342</v>
      </c>
      <c r="AL68" s="20">
        <f t="shared" ref="AL68:AL131" si="58">(AJ68+AK68)*0.475*44/12</f>
        <v>712.70711303683856</v>
      </c>
      <c r="AM68" s="59">
        <f t="shared" ref="AM68:AM131" si="59">AL68+(AD68+AE68)*44/12</f>
        <v>1006.0404463701718</v>
      </c>
      <c r="AN68" s="59">
        <f ca="1">AVERAGE(OFFSET($AM$3,0,0,'Données projet'!$E$10+1,1))-AVERAGE(OFFSET($H$3,0,0,'Données projet'!$E$10+1,1))</f>
        <v>360.05819346986135</v>
      </c>
      <c r="AO68" s="59">
        <f t="shared" si="36"/>
        <v>300.47468388351081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50</v>
      </c>
      <c r="AR68" s="16">
        <f>IF(ISNA(VLOOKUP(A68,'Données projet'!$A$61:$I$81,5,0)),0%,VLOOKUP(A68,'Données projet'!$A$61:$I$81,5,0)*VLOOKUP('Données projet'!$B$10,Paramètres!$A$1:$I$89,7,0))</f>
        <v>0.55000000000000004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112.8039626286352</v>
      </c>
      <c r="AV68" s="21">
        <f>EXP(-LN(2)/25)*AV67+(1-EXP(-LN(2)/25))/(LN(2)/25)*Calculateur!AQ68*Calculateur!AS68*VLOOKUP('Données projet'!$B$10,Paramètres!$A$1:$I$89,3,0)*0.475*44/12</f>
        <v>16.031444078617312</v>
      </c>
      <c r="AW68" s="21">
        <f>EXP(-LN(2)/2)*AW67+(1-EXP(-LN(2)/2))/(LN(2)/2)*AQ68*AT68*VLOOKUP('Données projet'!$B$10,Paramètres!$A$1:$I$89,3,0)*0.475*44/12</f>
        <v>2.828842970730815E-7</v>
      </c>
      <c r="AX68" s="21">
        <f t="shared" ref="AX68:AX131" si="60">SUM(AU68:AW68)</f>
        <v>128.83540699013679</v>
      </c>
      <c r="AY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366</v>
      </c>
      <c r="BB68" s="12">
        <f>VLOOKUP(A68,'Données projet'!$A$87:$I$107,9,0)</f>
        <v>12</v>
      </c>
      <c r="BC68" s="12">
        <f t="array" ref="BC68">INDEX(BB:BB,MIN(IF(ISNUMBER(BB68:BB264),ROW(BB68:BB264),"")))</f>
        <v>12</v>
      </c>
      <c r="BD68" s="12">
        <f>IF('Données projet'!$A$88&gt;35,BD67+BC68-BL67,IF(A68&lt;'Données projet'!$A$88,$BA$205^A68,IF(A68='Données projet'!$A$88,'Données projet'!$B$88,BD67+BC68-BL67)))</f>
        <v>365.99999999999994</v>
      </c>
      <c r="BE68" s="13">
        <f>BD68*VLOOKUP('Données projet'!$B$11,Paramètres!$A$1:$I$89,3,0)*VLOOKUP('Données projet'!$B$11,Paramètres!$A$1:$I$89,5,0)</f>
        <v>209.35199999999995</v>
      </c>
      <c r="BF68" s="13">
        <f t="shared" si="37"/>
        <v>51.79395593509436</v>
      </c>
      <c r="BG68" s="20">
        <f t="shared" ref="BG68:BG131" si="61">(BE68+BF68)*0.475*44/12</f>
        <v>454.82920658695593</v>
      </c>
      <c r="BH68" s="59">
        <f t="shared" ref="BH68:BH131" si="62">BG68+(AY68+AZ68)*44/12</f>
        <v>748.16253992028919</v>
      </c>
      <c r="BI68" s="59">
        <f ca="1">AVERAGE(OFFSET($BH$3,0,0,'Données projet'!$E$11+1,1))-AVERAGE(OFFSET($H$3,0,0,'Données projet'!$E$11+1,1))</f>
        <v>250.90038883668348</v>
      </c>
      <c r="BJ68" s="59">
        <f t="shared" si="38"/>
        <v>141.96132114475608</v>
      </c>
      <c r="BK68" s="15">
        <f>IF(ISNA(VLOOKUP(A68,'Données projet'!$A$87:$I$107,3,0)),0,VLOOKUP(A68,'Données projet'!$A$87:$I$107,3,0))</f>
        <v>9</v>
      </c>
      <c r="BL68" s="15">
        <f>IF(ISNA(VLOOKUP(A68,'Données projet'!$A$87:$I$107,4,0)),0,VLOOKUP(A68,'Données projet'!$A$87:$I$107,4,0))</f>
        <v>33</v>
      </c>
      <c r="BM68" s="16">
        <f>IF(ISNA(VLOOKUP(A68,'Données projet'!$A$87:$I$107,5,0)),0%,VLOOKUP(A68,'Données projet'!$A$87:$I$107,5,0)*VLOOKUP('Données projet'!$B$11,Paramètres!$A$1:$I$89,7,0))</f>
        <v>0.45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62.700006142300765</v>
      </c>
      <c r="BQ68" s="21">
        <f>EXP(-LN(2)/25)*BQ67+(1-EXP(-LN(2)/25))/(LN(2)/25)*Calculateur!BL68*Calculateur!BN68*VLOOKUP('Données projet'!$B$11,Paramètres!$A$1:$I$89,3,0)*0.475*44/12</f>
        <v>4.5107586569446561</v>
      </c>
      <c r="BR68" s="21">
        <f>EXP(-LN(2)/2)*BR67+(1-EXP(-LN(2)/2))/(LN(2)/2)*BL68*BO68*VLOOKUP('Données projet'!$B$11,Paramètres!$A$1:$I$89,3,0)*0.475*44/12</f>
        <v>2.0381943557843817E-5</v>
      </c>
      <c r="BS68" s="22">
        <f t="shared" ref="BS68:BS131" si="63">SUM(BP68:BR68)</f>
        <v>67.210785181188982</v>
      </c>
      <c r="BT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306</v>
      </c>
      <c r="BW68" s="12">
        <f>VLOOKUP(A68,'Données projet'!$A$113:$I$133,9,0)</f>
        <v>5.2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305.99999999999983</v>
      </c>
      <c r="BZ68" s="13">
        <f>BY68*VLOOKUP('Données projet'!$B$12,Paramètres!$A$1:$I$89,3,0)*VLOOKUP('Données projet'!$B$12,Paramètres!$A$1:$I$89,5,0)</f>
        <v>243.45359999999988</v>
      </c>
      <c r="CA68" s="13">
        <f t="shared" si="39"/>
        <v>59.181970343065267</v>
      </c>
      <c r="CB68" s="20">
        <f t="shared" ref="CB68:CB131" si="64">(BZ68+CA68)*0.475*44/12</f>
        <v>527.09028501417163</v>
      </c>
      <c r="CC68" s="59">
        <f t="shared" ref="CC68:CC131" si="65">CB68+(BT68+BU68)*44/12</f>
        <v>820.423618347505</v>
      </c>
      <c r="CD68" s="59">
        <f ca="1">AVERAGE(OFFSET($CC$3,0,0,'Données projet'!$E$12+1,1))-AVERAGE(OFFSET($H$3,0,0,'Données projet'!$E$12+1,1))</f>
        <v>279.49721661620544</v>
      </c>
      <c r="CE68" s="59">
        <f t="shared" si="40"/>
        <v>275.18739333988754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13</v>
      </c>
      <c r="CH68" s="16">
        <f>IF(ISNA(VLOOKUP(A68,'Données projet'!$A$113:$I$133,5,0)),0%,VLOOKUP(A68,'Données projet'!$A$113:$I$133,5,0)*VLOOKUP('Données projet'!$B$12,Paramètres!$A$1:$I$89,7,0))</f>
        <v>0.53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51.148563221721147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51.148563221721147</v>
      </c>
      <c r="CO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729</v>
      </c>
      <c r="CR68" s="12">
        <f>VLOOKUP(A68,'Données projet'!$A$139:$I$159,9,0)</f>
        <v>21</v>
      </c>
      <c r="CS68" s="12">
        <f t="array" ref="CS68">INDEX(CR:CR,MIN(IF(ISNUMBER(CR68:CR264),ROW(CR68:CR264),"")))</f>
        <v>21</v>
      </c>
      <c r="CT68" s="12">
        <f>IF('Données projet'!$A$140&gt;35,CT67+CS68-DB67,IF(A68&lt;'Données projet'!$A$140,$CQ$205^A68,IF(A68='Données projet'!$A$140,'Données projet'!$B$140,CT67+CS68-DB67)))</f>
        <v>728.99999999999989</v>
      </c>
      <c r="CU68" s="17">
        <f>CT68*VLOOKUP('Données projet'!$B$13,Paramètres!$A$1:$I$89,3,0)*VLOOKUP('Données projet'!$B$13,Paramètres!$A$1:$I$89,5,0)</f>
        <v>360.12599999999998</v>
      </c>
      <c r="CV68" s="13">
        <f t="shared" si="41"/>
        <v>83.644086208312586</v>
      </c>
      <c r="CW68" s="20">
        <f t="shared" ref="CW68:CW131" si="67">(CU68+CV68)*0.475*44/12</f>
        <v>772.89956681281103</v>
      </c>
      <c r="CX68" s="59">
        <f t="shared" ref="CX68:CX131" si="68">CW68+(CO68+CP68)*44/12</f>
        <v>1066.2329001461444</v>
      </c>
      <c r="CY68" s="59">
        <f ca="1">AVERAGE(OFFSET($CX$3,0,0,'Données projet'!$E$13+1,1))-AVERAGE(OFFSET($H$3,0,0,'Données projet'!$E$13+1,1))</f>
        <v>396.27049617044378</v>
      </c>
      <c r="CZ68" s="59">
        <f t="shared" si="42"/>
        <v>335.2680289568774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56</v>
      </c>
      <c r="DC68" s="16">
        <f>IF(ISNA(VLOOKUP(A68,'Données projet'!$A$139:$I$159,5,0)),0%,VLOOKUP(A68,'Données projet'!$A$139:$I$159,5,0)*VLOOKUP('Données projet'!$B$13,Paramètres!$A$1:$I$89,7,0))</f>
        <v>0.55000000000000004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124.90658333616872</v>
      </c>
      <c r="DG68" s="21">
        <f>EXP(-LN(2)/25)*DG67+(1-EXP(-LN(2)/25))/(LN(2)/25)*Calculateur!DB68*Calculateur!DD68*VLOOKUP('Données projet'!$B$13,Paramètres!$A$1:$I$89,3,0)*0.475*44/12</f>
        <v>17.812715642908131</v>
      </c>
      <c r="DH68" s="21">
        <f>EXP(-LN(2)/2)*DH67+(1-EXP(-LN(2)/2))/(LN(2)/2)*DB68*DE68*VLOOKUP('Données projet'!$B$13,Paramètres!$A$1:$I$89,3,0)*0.475*44/12</f>
        <v>2.074484845202599E-6</v>
      </c>
      <c r="DI68" s="22">
        <f t="shared" ref="DI68:DI131" si="69">SUM(DF68:DH68)</f>
        <v>142.71930105356171</v>
      </c>
      <c r="DJ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427</v>
      </c>
      <c r="DM68" s="12">
        <f>VLOOKUP(A68,'Données projet'!$A$165:$I$185,9,0)</f>
        <v>13.4</v>
      </c>
      <c r="DN68" s="12">
        <f t="array" ref="DN68">INDEX(DM:DM,MIN(IF(ISNUMBER(DM68:DM264),ROW(DM68:DM264),"")))</f>
        <v>13.4</v>
      </c>
      <c r="DO68" s="12">
        <f>IF('Données projet'!$A$166&gt;35,DO67+DN68-DW67,IF(A68&lt;'Données projet'!$A$166,$DL$205^A68,IF(A68='Données projet'!$A$166,'Données projet'!$B$166,DO67+DN68-DW67)))</f>
        <v>426.99999999999977</v>
      </c>
      <c r="DP68" s="17">
        <f>DO68*VLOOKUP('Données projet'!$B$14,Paramètres!$A$1:$I$89,3,0)*VLOOKUP('Données projet'!$B$14,Paramètres!$A$1:$I$89,5,0)</f>
        <v>244.24399999999989</v>
      </c>
      <c r="DQ68" s="13">
        <f t="shared" si="43"/>
        <v>59.351714130365565</v>
      </c>
      <c r="DR68" s="20">
        <f t="shared" ref="DR68:DR131" si="70">(DP68+DQ68)*0.475*44/12</f>
        <v>528.7625354437198</v>
      </c>
      <c r="DS68" s="59">
        <f t="shared" ref="DS68:DS131" si="71">DR68+(DJ68+DK68)*44/12</f>
        <v>822.09586877705306</v>
      </c>
      <c r="DT68" s="59">
        <f ca="1">AVERAGE(OFFSET($DS$3,0,0,'Données projet'!$E$14+1,1))-AVERAGE(OFFSET($H$3,0,0,'Données projet'!$E$14+1,1))</f>
        <v>307.43900954374504</v>
      </c>
      <c r="DU68" s="59">
        <f t="shared" si="44"/>
        <v>185.25270859048999</v>
      </c>
      <c r="DV68" s="15">
        <f>IF(ISNA(VLOOKUP(A68,'Données projet'!$A$165:$I$185,3,0)),0,VLOOKUP(A68,'Données projet'!$A$165:$I$185,3,0))</f>
        <v>10</v>
      </c>
      <c r="DW68" s="15">
        <f>IF(ISNA(VLOOKUP(A68,'Données projet'!$A$165:$I$185,4,0)),0,VLOOKUP(A68,'Données projet'!$A$165:$I$185,4,0))</f>
        <v>37</v>
      </c>
      <c r="DX68" s="16">
        <f>IF(ISNA(VLOOKUP(A68,'Données projet'!$A$165:$I$185,5,0)),0%,VLOOKUP(A68,'Données projet'!$A$165:$I$185,5,0)*VLOOKUP('Données projet'!$B$14,Paramètres!$A$1:$I$89,7,0))</f>
        <v>0.45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73.733684752743002</v>
      </c>
      <c r="EB68" s="21">
        <f>EXP(-LN(2)/25)*EB67+(1-EXP(-LN(2)/25))/(LN(2)/25)*Calculateur!DW68*Calculateur!DY68*VLOOKUP('Données projet'!$B$14,Paramètres!$A$1:$I$89,3,0)*0.475*44/12</f>
        <v>10.125122575968829</v>
      </c>
      <c r="EC68" s="21">
        <f>EXP(-LN(2)/2)*EC67+(1-EXP(-LN(2)/2))/(LN(2)/2)*DW68*DZ68*VLOOKUP('Données projet'!$B$14,Paramètres!$A$1:$I$89,3,0)*0.475*44/12</f>
        <v>1.9653014322971982E-6</v>
      </c>
      <c r="ED68" s="22">
        <f t="shared" ref="ED68:ED131" si="72">SUM(EA68:EC68)</f>
        <v>83.85880929401327</v>
      </c>
      <c r="EE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401</v>
      </c>
      <c r="EK68" s="17">
        <f>EJ68*VLOOKUP('Données projet'!$B$15,Paramètres!$A$1:$I$89,3,0)*VLOOKUP('Données projet'!$B$15,Paramètres!$A$1:$I$89,5,0)</f>
        <v>250.22399999999999</v>
      </c>
      <c r="EL68" s="13">
        <f t="shared" si="45"/>
        <v>60.633904580527918</v>
      </c>
      <c r="EM68" s="20">
        <f t="shared" ref="EM68:EM131" si="73">(EK68+EL68)*0.475*44/12</f>
        <v>541.41085047775289</v>
      </c>
      <c r="EN68" s="59">
        <f t="shared" ref="EN68:EN131" si="74">EM68+(EE68+EF68)*44/12</f>
        <v>834.74418381108626</v>
      </c>
      <c r="EO68" s="59">
        <f ca="1">AVERAGE(OFFSET($EN$3,0,0,'Données projet'!$E$15+1,1))-AVERAGE(OFFSET($H$3,0,0,'Données projet'!$E$15+1,1))</f>
        <v>269.77739619445515</v>
      </c>
      <c r="EP68" s="59">
        <f t="shared" si="46"/>
        <v>347.56964743629885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69.358825422232115</v>
      </c>
      <c r="EW68" s="21">
        <f>EXP(-LN(2)/25)*EW67+(1-EXP(-LN(2)/25))/(LN(2)/25)*Calculateur!ER68*Calculateur!ET68*VLOOKUP('Données projet'!$B$15,Paramètres!$A$1:$I$89,3,0)*0.475*44/12</f>
        <v>34.763790050943655</v>
      </c>
      <c r="EX68" s="21">
        <f>EXP(-LN(2)/2)*EX67+(1-EXP(-LN(2)/2))/(LN(2)/2)*ER68*EU68*VLOOKUP('Données projet'!$B$15,Paramètres!$A$1:$I$89,3,0)*0.475*44/12</f>
        <v>1.3399782492935444E-7</v>
      </c>
      <c r="EY68" s="22">
        <f t="shared" ref="EY68:EY131" si="75">SUM(EV68:EX68)</f>
        <v>104.1226156071736</v>
      </c>
      <c r="EZ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356</v>
      </c>
      <c r="FC68" s="12">
        <f>VLOOKUP(A68,'Données projet'!$A$217:$I$237,9,0)</f>
        <v>6</v>
      </c>
      <c r="FD68" s="12">
        <f t="array" ref="FD68">INDEX(FC:FC,MIN(IF(ISNUMBER(FC68:FC264),ROW(FC68:FC264),"")))</f>
        <v>6</v>
      </c>
      <c r="FE68" s="12">
        <f>IF('Données projet'!$A$218&gt;35,FE67+FD68-FM67,IF(A68&lt;'Données projet'!$A$218,$FB$205^A68,IF(A68='Données projet'!$A$218,'Données projet'!$B$218,FE67+FD68-FM67)))</f>
        <v>355.99999999999972</v>
      </c>
      <c r="FF68" s="17">
        <f>FE68*VLOOKUP('Données projet'!$B$16,Paramètres!$A$1:$I$89,3,0)*VLOOKUP('Données projet'!$B$16,Paramètres!$A$1:$I$89,5,0)</f>
        <v>283.2335999999998</v>
      </c>
      <c r="FG68" s="13">
        <f t="shared" si="47"/>
        <v>67.649904178362377</v>
      </c>
      <c r="FH68" s="20">
        <f t="shared" ref="FH68:FH131" si="76">(FF68+FG68)*0.475*44/12</f>
        <v>611.12210311064734</v>
      </c>
      <c r="FI68" s="59">
        <f t="shared" ref="FI68:FI131" si="77">FH68+(EZ68+FA68)*44/12</f>
        <v>904.45543644398072</v>
      </c>
      <c r="FJ68" s="59">
        <f ca="1">AVERAGE(OFFSET($FI$3,0,0,'Données projet'!$E$16+1,1))-AVERAGE(OFFSET($H$3,0,0,'Données projet'!$E$16+1,1))</f>
        <v>331.52724290297675</v>
      </c>
      <c r="FK68" s="59">
        <f t="shared" si="48"/>
        <v>322.79102610158054</v>
      </c>
      <c r="FL68" s="15">
        <f>IF(ISNA(VLOOKUP(A68,'Données projet'!$A$217:$I$237,3,0)),0,VLOOKUP(A68,'Données projet'!$A$217:$I$237,3,0))</f>
        <v>12</v>
      </c>
      <c r="FM68" s="15">
        <f>IF(ISNA(VLOOKUP(A68,'Données projet'!$A$217:$I$237,4,0)),0,VLOOKUP(A68,'Données projet'!$A$217:$I$237,4,0))</f>
        <v>16</v>
      </c>
      <c r="FN68" s="16">
        <f>IF(ISNA(VLOOKUP(A68,'Données projet'!$A$217:$I$237,5,0)),0%,VLOOKUP(A68,'Données projet'!$A$217:$I$237,5,0)*VLOOKUP('Données projet'!$B$16,Paramètres!$A$1:$I$89,7,0))</f>
        <v>0.53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59.120320789019786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59.120320789019786</v>
      </c>
      <c r="FU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786</v>
      </c>
      <c r="FX68" s="12">
        <f>VLOOKUP(A68,'Données projet'!$A$243:$I$263,9,0)</f>
        <v>22.4</v>
      </c>
      <c r="FY68" s="12">
        <f t="array" ref="FY68">INDEX(FX:FX,MIN(IF(ISNUMBER(FX68:FX264),ROW(FX68:FX264),"")))</f>
        <v>22.4</v>
      </c>
      <c r="FZ68" s="12">
        <f>IF('Données projet'!$A$244&gt;35,FZ67+FY68-GH67,IF(A68&lt;'Données projet'!$A$244,$FW$205^A68,IF(A68='Données projet'!$A$244,'Données projet'!$B$244,FZ67+FY68-GH67)))</f>
        <v>786</v>
      </c>
      <c r="GA68" s="17">
        <f>FZ68*VLOOKUP('Données projet'!$B$17,Paramètres!$A$1:$I$89,3,0)*VLOOKUP('Données projet'!$B$17,Paramètres!$A$1:$I$89,5,0)</f>
        <v>388.28400000000005</v>
      </c>
      <c r="GB68" s="13">
        <f t="shared" si="49"/>
        <v>89.397332173017887</v>
      </c>
      <c r="GC68" s="20">
        <f t="shared" ref="GC68:GC131" si="79">(GA68+GB68)*0.475*44/12</f>
        <v>831.96165353467279</v>
      </c>
      <c r="GD68" s="59">
        <f t="shared" ref="GD68:GD131" si="80">GC68+(FU68+FV68)*44/12</f>
        <v>1125.2949868680062</v>
      </c>
      <c r="GE68" s="59">
        <f ca="1">AVERAGE(OFFSET($GD$3,0,0,'Données projet'!$E$17+1,1))-AVERAGE(OFFSET($H$3,0,0,'Données projet'!$E$17+1,1))</f>
        <v>434.08297999735811</v>
      </c>
      <c r="GF68" s="59">
        <f t="shared" si="50"/>
        <v>371.04090283546122</v>
      </c>
      <c r="GG68" s="15">
        <f>IF(ISNA(VLOOKUP(A68,'Données projet'!$A$243:$I$263,3,0)),0,VLOOKUP(A68,'Données projet'!$A$243:$I$263,3,0))</f>
        <v>10</v>
      </c>
      <c r="GH68" s="15">
        <f>IF(ISNA(VLOOKUP(A68,'Données projet'!$A$243:$I$263,4,0)),0,VLOOKUP(A68,'Données projet'!$A$243:$I$263,4,0))</f>
        <v>62</v>
      </c>
      <c r="GI68" s="16">
        <f>IF(ISNA(VLOOKUP(A68,'Données projet'!$A$243:$I$263,5,0)),0%,VLOOKUP(A68,'Données projet'!$A$243:$I$263,5,0)*VLOOKUP('Données projet'!$B$17,Paramètres!$A$1:$I$89,7,0))</f>
        <v>0.55000000000000004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137.00920404370225</v>
      </c>
      <c r="GM68" s="21">
        <f>EXP(-LN(2)/25)*GM67+(1-EXP(-LN(2)/25))/(LN(2)/25)*Calculateur!GH68*Calculateur!GJ68*VLOOKUP('Données projet'!$B$17,Paramètres!$A$1:$I$89,3,0)*0.475*44/12</f>
        <v>19.59398720719895</v>
      </c>
      <c r="GN68" s="21">
        <f>EXP(-LN(2)/2)*GN67+(1-EXP(-LN(2)/2))/(LN(2)/2)*GH68*GK68*VLOOKUP('Données projet'!$B$17,Paramètres!$A$1:$I$89,3,0)*0.475*44/12</f>
        <v>4.0546749247141686E-6</v>
      </c>
      <c r="GO68" s="21">
        <f t="shared" ref="GO68:GO131" si="81">SUM(GL68:GN68)</f>
        <v>156.60319530557612</v>
      </c>
      <c r="GP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>
        <f>VLOOKUP(A68,'Données projet'!$A$269:$I$289,2,0)</f>
        <v>489</v>
      </c>
      <c r="GS68" s="12">
        <f>VLOOKUP(A68,'Données projet'!$A$269:$I$289,9,0)</f>
        <v>15</v>
      </c>
      <c r="GT68" s="12">
        <f t="array" ref="GT68">INDEX(GS:GS,MIN(IF(ISNUMBER(GS68:GS264),ROW(GS68:GS264),"")))</f>
        <v>15</v>
      </c>
      <c r="GU68" s="12">
        <f>IF('Données projet'!$A$270&gt;35,GU67+GT68-HC67,IF(A68&lt;'Données projet'!$A$270,$GR$205^A68,IF(A68='Données projet'!$A$270,'Données projet'!$B$270,GU67+GT68-HC67)))</f>
        <v>488.99999999999994</v>
      </c>
      <c r="GV68" s="17">
        <f>GU68*VLOOKUP('Données projet'!$B$18,Paramètres!$A$1:$I$89,3,0)*VLOOKUP('Données projet'!$B$18,Paramètres!$A$1:$I$89,5,0)</f>
        <v>279.70799999999997</v>
      </c>
      <c r="GW68" s="13">
        <f t="shared" si="51"/>
        <v>66.905297140324564</v>
      </c>
      <c r="GX68" s="20">
        <f t="shared" ref="GX68:GX131" si="82">(GV68+GW68)*0.475*44/12</f>
        <v>603.68482585273193</v>
      </c>
      <c r="GY68" s="59">
        <f t="shared" ref="GY68:GY131" si="83">GX68+(GP68+GQ68)*44/12</f>
        <v>897.0181591860653</v>
      </c>
      <c r="GZ68" s="59">
        <f ca="1">AVERAGE(OFFSET($GY$3,0,0,'Données projet'!$E$18+1,1))-AVERAGE(OFFSET($H$3,0,0,'Données projet'!$E$18+1,1))</f>
        <v>362.57172983134313</v>
      </c>
      <c r="HA68" s="59">
        <f t="shared" si="52"/>
        <v>232.03250917542471</v>
      </c>
      <c r="HB68" s="15">
        <f>IF(ISNA(VLOOKUP(A68,'Données projet'!$A$269:$I$289,3,0)),0,VLOOKUP(A68,'Données projet'!$A$269:$I$289,3,0))</f>
        <v>10</v>
      </c>
      <c r="HC68" s="15">
        <f>IF(ISNA(VLOOKUP(A68,'Données projet'!$A$269:$I$289,4,0)),0,VLOOKUP(A68,'Données projet'!$A$269:$I$289,4,0))</f>
        <v>40</v>
      </c>
      <c r="HD68" s="16">
        <f>IF(ISNA(VLOOKUP(A68,'Données projet'!$A$269:$I$289,5,0)),0%,VLOOKUP(A68,'Données projet'!$A$269:$I$289,5,0)*VLOOKUP('Données projet'!$B$18,Paramètres!$A$1:$I$89,7,0))</f>
        <v>0.45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83.247153417758241</v>
      </c>
      <c r="HH68" s="21">
        <f>EXP(-LN(2)/25)*HH67+(1-EXP(-LN(2)/25))/(LN(2)/25)*Calculateur!HC68*Calculateur!HE68*VLOOKUP('Données projet'!$B$18,Paramètres!$A$1:$I$89,3,0)*0.475*44/12</f>
        <v>11.812643005296973</v>
      </c>
      <c r="HI68" s="21">
        <f>EXP(-LN(2)/2)*HI67+(1-EXP(-LN(2)/2))/(LN(2)/2)*HC68*HF68*VLOOKUP('Données projet'!$B$18,Paramètres!$A$1:$I$89,3,0)*0.475*44/12</f>
        <v>4.0397862774997951E-6</v>
      </c>
      <c r="HJ68" s="22">
        <f t="shared" ref="HJ68:HJ131" si="84">SUM(HG68:HI68)</f>
        <v>95.059800462841494</v>
      </c>
    </row>
    <row r="69" spans="1:218" x14ac:dyDescent="0.3">
      <c r="A69" s="10">
        <f t="shared" ref="A69:A132" si="85">A68+1</f>
        <v>66</v>
      </c>
      <c r="B69" s="71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5">
        <f t="shared" si="56"/>
        <v>365.66192640755855</v>
      </c>
      <c r="I69" s="6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3.8</v>
      </c>
      <c r="N69" s="13">
        <f>IF('Données projet'!$A$36&gt;35,N68+M69-V68,IF(A69&lt;'Données projet'!$A$36,$K$205^A69,IF(A69='Données projet'!$A$36,'Données projet'!$B$36,N68+M69-V68)))</f>
        <v>247.79999999999984</v>
      </c>
      <c r="O69" s="13">
        <f>N69*VLOOKUP('Données projet'!$B$9,Paramètres!$A$1:$I$89,3,0)*VLOOKUP('Données projet'!$B$9,Paramètres!$A$1:$I$89,5,0)</f>
        <v>197.14967999999988</v>
      </c>
      <c r="P69" s="13">
        <f t="shared" ref="P69:P132" si="87">EXP(-1.0587+0.8836*LN(O69)+0.284)</f>
        <v>49.11723130862363</v>
      </c>
      <c r="Q69" s="20">
        <f t="shared" si="54"/>
        <v>428.91487052918592</v>
      </c>
      <c r="R69" s="59">
        <f t="shared" si="55"/>
        <v>722.24820386251918</v>
      </c>
      <c r="S69" s="59">
        <f ca="1">AVERAGE(OFFSET($R$3,0,0,'Données projet'!$E$9+1,1))-AVERAGE(OFFSET($H$3,0,0,'Données projet'!$E$9+1,1))</f>
        <v>225.2323446080772</v>
      </c>
      <c r="T69" s="59">
        <f t="shared" ref="T69:T132" si="88">$T$3</f>
        <v>222.29030402759292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42.269067949635883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42.269067949635883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18</v>
      </c>
      <c r="AI69" s="13">
        <f>IF('Données projet'!$A$62&gt;35,AI68+AH69-AQ68,IF(A69&lt;'Données projet'!$A$62,$AF$205^A69,IF(A69='Données projet'!$A$62,'Données projet'!$B$62,AI68+AH69-AQ68)))</f>
        <v>639.00000000000011</v>
      </c>
      <c r="AJ69" s="13">
        <f>AI69*VLOOKUP('Données projet'!$B$10,Paramètres!$A$1:$I$89,3,0)*VLOOKUP('Données projet'!$B$10,Paramètres!$A$1:$I$89,5,0)</f>
        <v>315.66600000000005</v>
      </c>
      <c r="AK69" s="13">
        <f t="shared" ref="AK69:AK132" si="89">EXP(-1.0587+0.8836*LN(AJ69)+0.284)</f>
        <v>74.450866248404694</v>
      </c>
      <c r="AL69" s="20">
        <f t="shared" si="58"/>
        <v>679.45354204930482</v>
      </c>
      <c r="AM69" s="59">
        <f t="shared" si="59"/>
        <v>972.78687538263807</v>
      </c>
      <c r="AN69" s="59">
        <f ca="1">AVERAGE(OFFSET($AM$3,0,0,'Données projet'!$E$10+1,1))-AVERAGE(OFFSET($H$3,0,0,'Données projet'!$E$10+1,1))</f>
        <v>360.05819346986135</v>
      </c>
      <c r="AO69" s="59">
        <f t="shared" ref="AO69:AO132" si="90">$AO$3</f>
        <v>300.47468388351081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110.59194572511107</v>
      </c>
      <c r="AV69" s="21">
        <f>EXP(-LN(2)/25)*AV68+(1-EXP(-LN(2)/25))/(LN(2)/25)*Calculateur!AQ69*Calculateur!AS69*VLOOKUP('Données projet'!$B$10,Paramètres!$A$1:$I$89,3,0)*0.475*44/12</f>
        <v>15.593063397230518</v>
      </c>
      <c r="AW69" s="21">
        <f>EXP(-LN(2)/2)*AW68+(1-EXP(-LN(2)/2))/(LN(2)/2)*AQ69*AT69*VLOOKUP('Données projet'!$B$10,Paramètres!$A$1:$I$89,3,0)*0.475*44/12</f>
        <v>2.0002940475156575E-7</v>
      </c>
      <c r="AX69" s="21">
        <f t="shared" si="60"/>
        <v>126.185009322371</v>
      </c>
      <c r="AY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11</v>
      </c>
      <c r="BD69" s="12">
        <f>IF('Données projet'!$A$88&gt;35,BD68+BC69-BL68,IF(A69&lt;'Données projet'!$A$88,$BA$205^A69,IF(A69='Données projet'!$A$88,'Données projet'!$B$88,BD68+BC69-BL68)))</f>
        <v>343.99999999999994</v>
      </c>
      <c r="BE69" s="13">
        <f>BD69*VLOOKUP('Données projet'!$B$11,Paramètres!$A$1:$I$89,3,0)*VLOOKUP('Données projet'!$B$11,Paramètres!$A$1:$I$89,5,0)</f>
        <v>196.768</v>
      </c>
      <c r="BF69" s="13">
        <f t="shared" ref="BF69:BF132" si="91">EXP(-1.0587+0.8836*LN(BE69)+0.284)</f>
        <v>49.033199854505554</v>
      </c>
      <c r="BG69" s="20">
        <f t="shared" si="61"/>
        <v>428.10375641326391</v>
      </c>
      <c r="BH69" s="59">
        <f t="shared" si="62"/>
        <v>721.43708974659717</v>
      </c>
      <c r="BI69" s="59">
        <f ca="1">AVERAGE(OFFSET($BH$3,0,0,'Données projet'!$E$11+1,1))-AVERAGE(OFFSET($H$3,0,0,'Données projet'!$E$11+1,1))</f>
        <v>250.90038883668348</v>
      </c>
      <c r="BJ69" s="59">
        <f t="shared" ref="BJ69:BJ132" si="92">$BJ$3</f>
        <v>141.96132114475608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61.470497265077789</v>
      </c>
      <c r="BQ69" s="21">
        <f>EXP(-LN(2)/25)*BQ68+(1-EXP(-LN(2)/25))/(LN(2)/25)*Calculateur!BL69*Calculateur!BN69*VLOOKUP('Données projet'!$B$11,Paramètres!$A$1:$I$89,3,0)*0.475*44/12</f>
        <v>4.3874117242600166</v>
      </c>
      <c r="BR69" s="21">
        <f>EXP(-LN(2)/2)*BR68+(1-EXP(-LN(2)/2))/(LN(2)/2)*BL69*BO69*VLOOKUP('Données projet'!$B$11,Paramètres!$A$1:$I$89,3,0)*0.475*44/12</f>
        <v>1.4412210503512831E-5</v>
      </c>
      <c r="BS69" s="22">
        <f t="shared" si="63"/>
        <v>65.857923401548305</v>
      </c>
      <c r="BT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4.5999999999999996</v>
      </c>
      <c r="BY69" s="12">
        <f>IF('Données projet'!$A$114&gt;35,BY68+BX69-CG68,IF(A69&lt;'Données projet'!$A$114,$BV$205^A69,IF(A69='Données projet'!$A$114,'Données projet'!$B$114,BY68+BX69-CG68)))</f>
        <v>297.59999999999985</v>
      </c>
      <c r="BZ69" s="13">
        <f>BY69*VLOOKUP('Données projet'!$B$12,Paramètres!$A$1:$I$89,3,0)*VLOOKUP('Données projet'!$B$12,Paramètres!$A$1:$I$89,5,0)</f>
        <v>236.7705599999999</v>
      </c>
      <c r="CA69" s="13">
        <f t="shared" ref="CA69:CA132" si="93">EXP(-1.0587+0.8836*LN(BZ69)+0.284)</f>
        <v>57.744153841586879</v>
      </c>
      <c r="CB69" s="20">
        <f t="shared" si="64"/>
        <v>512.9464599407637</v>
      </c>
      <c r="CC69" s="59">
        <f t="shared" si="65"/>
        <v>806.27979327409707</v>
      </c>
      <c r="CD69" s="59">
        <f ca="1">AVERAGE(OFFSET($CC$3,0,0,'Données projet'!$E$12+1,1))-AVERAGE(OFFSET($H$3,0,0,'Données projet'!$E$12+1,1))</f>
        <v>279.49721661620544</v>
      </c>
      <c r="CE69" s="59">
        <f t="shared" ref="CE69:CE132" si="94">$CE$3</f>
        <v>275.18739333988754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50.145571094486257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50.145571094486257</v>
      </c>
      <c r="CO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19.600000000000001</v>
      </c>
      <c r="CT69" s="12">
        <f>IF('Données projet'!$A$140&gt;35,CT68+CS69-DB68,IF(A69&lt;'Données projet'!$A$140,$CQ$205^A69,IF(A69='Données projet'!$A$140,'Données projet'!$B$140,CT68+CS69-DB68)))</f>
        <v>692.59999999999991</v>
      </c>
      <c r="CU69" s="17">
        <f>CT69*VLOOKUP('Données projet'!$B$13,Paramètres!$A$1:$I$89,3,0)*VLOOKUP('Données projet'!$B$13,Paramètres!$A$1:$I$89,5,0)</f>
        <v>342.14440000000002</v>
      </c>
      <c r="CV69" s="13">
        <f t="shared" ref="CV69:CV132" si="95">EXP(-1.0587+0.8836*LN(CU69)+0.284)</f>
        <v>79.942830789684962</v>
      </c>
      <c r="CW69" s="20">
        <f t="shared" si="67"/>
        <v>735.13526029203467</v>
      </c>
      <c r="CX69" s="59">
        <f t="shared" si="68"/>
        <v>1028.4685936253679</v>
      </c>
      <c r="CY69" s="59">
        <f ca="1">AVERAGE(OFFSET($CX$3,0,0,'Données projet'!$E$13+1,1))-AVERAGE(OFFSET($H$3,0,0,'Données projet'!$E$13+1,1))</f>
        <v>396.27049617044378</v>
      </c>
      <c r="CZ69" s="59">
        <f t="shared" ref="CZ69:CZ132" si="96">$CZ$3</f>
        <v>335.2680289568774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122.45724142243959</v>
      </c>
      <c r="DG69" s="21">
        <f>EXP(-LN(2)/25)*DG68+(1-EXP(-LN(2)/25))/(LN(2)/25)*Calculateur!DB69*Calculateur!DD69*VLOOKUP('Données projet'!$B$13,Paramètres!$A$1:$I$89,3,0)*0.475*44/12</f>
        <v>17.325625996922803</v>
      </c>
      <c r="DH69" s="21">
        <f>EXP(-LN(2)/2)*DH68+(1-EXP(-LN(2)/2))/(LN(2)/2)*DB69*DE69*VLOOKUP('Données projet'!$B$13,Paramètres!$A$1:$I$89,3,0)*0.475*44/12</f>
        <v>1.4668823015114831E-6</v>
      </c>
      <c r="DI69" s="22">
        <f t="shared" si="69"/>
        <v>139.7828688862447</v>
      </c>
      <c r="DJ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12.2</v>
      </c>
      <c r="DO69" s="12">
        <f>IF('Données projet'!$A$166&gt;35,DO68+DN69-DW68,IF(A69&lt;'Données projet'!$A$166,$DL$205^A69,IF(A69='Données projet'!$A$166,'Données projet'!$B$166,DO68+DN69-DW68)))</f>
        <v>402.19999999999976</v>
      </c>
      <c r="DP69" s="17">
        <f>DO69*VLOOKUP('Données projet'!$B$14,Paramètres!$A$1:$I$89,3,0)*VLOOKUP('Données projet'!$B$14,Paramètres!$A$1:$I$89,5,0)</f>
        <v>230.05839999999989</v>
      </c>
      <c r="DQ69" s="13">
        <f t="shared" ref="DQ69:DQ132" si="97">EXP(-1.0587+0.8836*LN(DP69)+0.284)</f>
        <v>56.295308789945764</v>
      </c>
      <c r="DR69" s="20">
        <f t="shared" si="70"/>
        <v>498.73270947582205</v>
      </c>
      <c r="DS69" s="59">
        <f t="shared" si="71"/>
        <v>792.06604280915531</v>
      </c>
      <c r="DT69" s="59">
        <f ca="1">AVERAGE(OFFSET($DS$3,0,0,'Données projet'!$E$14+1,1))-AVERAGE(OFFSET($H$3,0,0,'Données projet'!$E$14+1,1))</f>
        <v>307.43900954374504</v>
      </c>
      <c r="DU69" s="59">
        <f t="shared" ref="DU69:DU132" si="98">$DU$3</f>
        <v>185.25270859048999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72.287812167848685</v>
      </c>
      <c r="EB69" s="21">
        <f>EXP(-LN(2)/25)*EB68+(1-EXP(-LN(2)/25))/(LN(2)/25)*Calculateur!DW69*Calculateur!DY69*VLOOKUP('Données projet'!$B$14,Paramètres!$A$1:$I$89,3,0)*0.475*44/12</f>
        <v>9.848250566671906</v>
      </c>
      <c r="EC69" s="21">
        <f>EXP(-LN(2)/2)*EC68+(1-EXP(-LN(2)/2))/(LN(2)/2)*DW69*DZ69*VLOOKUP('Données projet'!$B$14,Paramètres!$A$1:$I$89,3,0)*0.475*44/12</f>
        <v>1.3896779698529834E-6</v>
      </c>
      <c r="ED69" s="22">
        <f t="shared" si="72"/>
        <v>82.136064124198569</v>
      </c>
      <c r="EE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401</v>
      </c>
      <c r="EK69" s="17">
        <f>EJ69*VLOOKUP('Données projet'!$B$15,Paramètres!$A$1:$I$89,3,0)*VLOOKUP('Données projet'!$B$15,Paramètres!$A$1:$I$89,5,0)</f>
        <v>250.22399999999999</v>
      </c>
      <c r="EL69" s="13">
        <f t="shared" ref="EL69:EL132" si="99">EXP(-1.0587+0.8836*LN(EK69)+0.284)</f>
        <v>60.633904580527918</v>
      </c>
      <c r="EM69" s="20">
        <f t="shared" si="73"/>
        <v>541.41085047775289</v>
      </c>
      <c r="EN69" s="59">
        <f t="shared" si="74"/>
        <v>834.74418381108626</v>
      </c>
      <c r="EO69" s="59">
        <f ca="1">AVERAGE(OFFSET($EN$3,0,0,'Données projet'!$E$15+1,1))-AVERAGE(OFFSET($H$3,0,0,'Données projet'!$E$15+1,1))</f>
        <v>269.77739619445515</v>
      </c>
      <c r="EP69" s="59">
        <f t="shared" ref="EP69:EP132" si="100">$EP$3</f>
        <v>347.56964743629885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67.998741160408414</v>
      </c>
      <c r="EW69" s="21">
        <f>EXP(-LN(2)/25)*EW68+(1-EXP(-LN(2)/25))/(LN(2)/25)*Calculateur!ER69*Calculateur!ET69*VLOOKUP('Données projet'!$B$15,Paramètres!$A$1:$I$89,3,0)*0.475*44/12</f>
        <v>33.813172383852333</v>
      </c>
      <c r="EX69" s="21">
        <f>EXP(-LN(2)/2)*EX68+(1-EXP(-LN(2)/2))/(LN(2)/2)*ER69*EU69*VLOOKUP('Données projet'!$B$15,Paramètres!$A$1:$I$89,3,0)*0.475*44/12</f>
        <v>9.4750770671794336E-8</v>
      </c>
      <c r="EY69" s="22">
        <f t="shared" si="75"/>
        <v>101.81191363901152</v>
      </c>
      <c r="EZ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5.2</v>
      </c>
      <c r="FE69" s="12">
        <f>IF('Données projet'!$A$218&gt;35,FE68+FD69-FM68,IF(A69&lt;'Données projet'!$A$218,$FB$205^A69,IF(A69='Données projet'!$A$218,'Données projet'!$B$218,FE68+FD69-FM68)))</f>
        <v>345.1999999999997</v>
      </c>
      <c r="FF69" s="17">
        <f>FE69*VLOOKUP('Données projet'!$B$16,Paramètres!$A$1:$I$89,3,0)*VLOOKUP('Données projet'!$B$16,Paramètres!$A$1:$I$89,5,0)</f>
        <v>274.64111999999977</v>
      </c>
      <c r="FG69" s="13">
        <f t="shared" ref="FG69:FG132" si="101">EXP(-1.0587+0.8836*LN(FF69)+0.284)</f>
        <v>65.833252956609641</v>
      </c>
      <c r="FH69" s="20">
        <f t="shared" si="76"/>
        <v>592.99286623276123</v>
      </c>
      <c r="FI69" s="59">
        <f t="shared" si="77"/>
        <v>886.3261995660946</v>
      </c>
      <c r="FJ69" s="59">
        <f ca="1">AVERAGE(OFFSET($FI$3,0,0,'Données projet'!$E$16+1,1))-AVERAGE(OFFSET($H$3,0,0,'Données projet'!$E$16+1,1))</f>
        <v>331.52724290297675</v>
      </c>
      <c r="FK69" s="59">
        <f t="shared" ref="FK69:FK132" si="102">$FK$3</f>
        <v>322.79102610158054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57.961007358182179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57.961007358182179</v>
      </c>
      <c r="FU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21.6</v>
      </c>
      <c r="FZ69" s="12">
        <f>IF('Données projet'!$A$244&gt;35,FZ68+FY69-GH68,IF(A69&lt;'Données projet'!$A$244,$FW$205^A69,IF(A69='Données projet'!$A$244,'Données projet'!$B$244,FZ68+FY69-GH68)))</f>
        <v>745.6</v>
      </c>
      <c r="GA69" s="17">
        <f>FZ69*VLOOKUP('Données projet'!$B$17,Paramètres!$A$1:$I$89,3,0)*VLOOKUP('Données projet'!$B$17,Paramètres!$A$1:$I$89,5,0)</f>
        <v>368.32640000000004</v>
      </c>
      <c r="GB69" s="13">
        <f t="shared" ref="GB69:GB132" si="103">EXP(-1.0587+0.8836*LN(GA69)+0.284)</f>
        <v>85.324825664207623</v>
      </c>
      <c r="GC69" s="20">
        <f t="shared" si="79"/>
        <v>790.10921803182828</v>
      </c>
      <c r="GD69" s="59">
        <f t="shared" si="80"/>
        <v>1083.4425513651615</v>
      </c>
      <c r="GE69" s="59">
        <f ca="1">AVERAGE(OFFSET($GD$3,0,0,'Données projet'!$E$17+1,1))-AVERAGE(OFFSET($H$3,0,0,'Données projet'!$E$17+1,1))</f>
        <v>434.08297999735811</v>
      </c>
      <c r="GF69" s="59">
        <f t="shared" ref="GF69:GF132" si="104">$GF$3</f>
        <v>371.04090283546122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134.32253711976813</v>
      </c>
      <c r="GM69" s="21">
        <f>EXP(-LN(2)/25)*GM68+(1-EXP(-LN(2)/25))/(LN(2)/25)*Calculateur!GH69*Calculateur!GJ69*VLOOKUP('Données projet'!$B$17,Paramètres!$A$1:$I$89,3,0)*0.475*44/12</f>
        <v>19.058188596615089</v>
      </c>
      <c r="GN69" s="21">
        <f>EXP(-LN(2)/2)*GN68+(1-EXP(-LN(2)/2))/(LN(2)/2)*GH69*GK69*VLOOKUP('Données projet'!$B$17,Paramètres!$A$1:$I$89,3,0)*0.475*44/12</f>
        <v>2.8670881347724428E-6</v>
      </c>
      <c r="GO69" s="21">
        <f t="shared" si="81"/>
        <v>153.38072858347135</v>
      </c>
      <c r="GP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13.6</v>
      </c>
      <c r="GU69" s="12">
        <f>IF('Données projet'!$A$270&gt;35,GU68+GT69-HC68,IF(A69&lt;'Données projet'!$A$270,$GR$205^A69,IF(A69='Données projet'!$A$270,'Données projet'!$B$270,GU68+GT69-HC68)))</f>
        <v>462.59999999999997</v>
      </c>
      <c r="GV69" s="17">
        <f>GU69*VLOOKUP('Données projet'!$B$18,Paramètres!$A$1:$I$89,3,0)*VLOOKUP('Données projet'!$B$18,Paramètres!$A$1:$I$89,5,0)</f>
        <v>264.60719999999998</v>
      </c>
      <c r="GW69" s="13">
        <f t="shared" ref="GW69:GW132" si="105">EXP(-1.0587+0.8836*LN(GV69)+0.284)</f>
        <v>63.70344062020294</v>
      </c>
      <c r="GX69" s="20">
        <f t="shared" si="82"/>
        <v>571.80769908018658</v>
      </c>
      <c r="GY69" s="59">
        <f t="shared" si="83"/>
        <v>865.14103241351995</v>
      </c>
      <c r="GZ69" s="59">
        <f ca="1">AVERAGE(OFFSET($GY$3,0,0,'Données projet'!$E$18+1,1))-AVERAGE(OFFSET($H$3,0,0,'Données projet'!$E$18+1,1))</f>
        <v>362.57172983134313</v>
      </c>
      <c r="HA69" s="59">
        <f t="shared" ref="HA69:HA132" si="106">$HA$3</f>
        <v>232.03250917542471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81.614727514985901</v>
      </c>
      <c r="HH69" s="21">
        <f>EXP(-LN(2)/25)*HH68+(1-EXP(-LN(2)/25))/(LN(2)/25)*Calculateur!HC69*Calculateur!HE69*VLOOKUP('Données projet'!$B$18,Paramètres!$A$1:$I$89,3,0)*0.475*44/12</f>
        <v>11.48962566111723</v>
      </c>
      <c r="HI69" s="21">
        <f>EXP(-LN(2)/2)*HI68+(1-EXP(-LN(2)/2))/(LN(2)/2)*HC69*HF69*VLOOKUP('Données projet'!$B$18,Paramètres!$A$1:$I$89,3,0)*0.475*44/12</f>
        <v>2.856560271364465E-6</v>
      </c>
      <c r="HJ69" s="22">
        <f t="shared" si="84"/>
        <v>93.104356032663404</v>
      </c>
    </row>
    <row r="70" spans="1:218" x14ac:dyDescent="0.3">
      <c r="A70" s="10">
        <f t="shared" si="85"/>
        <v>67</v>
      </c>
      <c r="B70" s="71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5">
        <f t="shared" si="56"/>
        <v>366.72756595876103</v>
      </c>
      <c r="I70" s="6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3.8</v>
      </c>
      <c r="N70" s="13">
        <f>IF('Données projet'!$A$36&gt;35,N69+M70-V69,IF(A70&lt;'Données projet'!$A$36,$K$205^A70,IF(A70='Données projet'!$A$36,'Données projet'!$B$36,N69+M70-V69)))</f>
        <v>251.59999999999985</v>
      </c>
      <c r="O70" s="13">
        <f>N70*VLOOKUP('Données projet'!$B$9,Paramètres!$A$1:$I$89,3,0)*VLOOKUP('Données projet'!$B$9,Paramètres!$A$1:$I$89,5,0)</f>
        <v>200.17295999999988</v>
      </c>
      <c r="P70" s="13">
        <f t="shared" si="87"/>
        <v>49.782177185855986</v>
      </c>
      <c r="Q70" s="20">
        <f t="shared" si="54"/>
        <v>435.33853059869892</v>
      </c>
      <c r="R70" s="59">
        <f t="shared" si="55"/>
        <v>728.67186393203224</v>
      </c>
      <c r="S70" s="59">
        <f ca="1">AVERAGE(OFFSET($R$3,0,0,'Données projet'!$E$9+1,1))-AVERAGE(OFFSET($H$3,0,0,'Données projet'!$E$9+1,1))</f>
        <v>225.2323446080772</v>
      </c>
      <c r="T70" s="59">
        <f t="shared" si="88"/>
        <v>222.29030402759292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41.440197308729253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41.440197308729253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18</v>
      </c>
      <c r="AI70" s="13">
        <f>IF('Données projet'!$A$62&gt;35,AI69+AH70-AQ69,IF(A70&lt;'Données projet'!$A$62,$AF$205^A70,IF(A70='Données projet'!$A$62,'Données projet'!$B$62,AI69+AH70-AQ69)))</f>
        <v>657.00000000000011</v>
      </c>
      <c r="AJ70" s="13">
        <f>AI70*VLOOKUP('Données projet'!$B$10,Paramètres!$A$1:$I$89,3,0)*VLOOKUP('Données projet'!$B$10,Paramètres!$A$1:$I$89,5,0)</f>
        <v>324.55800000000011</v>
      </c>
      <c r="AK70" s="13">
        <f t="shared" si="89"/>
        <v>76.300952147630198</v>
      </c>
      <c r="AL70" s="20">
        <f t="shared" si="58"/>
        <v>698.16267499045614</v>
      </c>
      <c r="AM70" s="59">
        <f t="shared" si="59"/>
        <v>991.49600832378951</v>
      </c>
      <c r="AN70" s="59">
        <f ca="1">AVERAGE(OFFSET($AM$3,0,0,'Données projet'!$E$10+1,1))-AVERAGE(OFFSET($H$3,0,0,'Données projet'!$E$10+1,1))</f>
        <v>360.05819346986135</v>
      </c>
      <c r="AO70" s="59">
        <f t="shared" si="90"/>
        <v>300.47468388351081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108.42330512386796</v>
      </c>
      <c r="AV70" s="21">
        <f>EXP(-LN(2)/25)*AV69+(1-EXP(-LN(2)/25))/(LN(2)/25)*Calculateur!AQ70*Calculateur!AS70*VLOOKUP('Données projet'!$B$10,Paramètres!$A$1:$I$89,3,0)*0.475*44/12</f>
        <v>15.166670258629683</v>
      </c>
      <c r="AW70" s="21">
        <f>EXP(-LN(2)/2)*AW69+(1-EXP(-LN(2)/2))/(LN(2)/2)*AQ70*AT70*VLOOKUP('Données projet'!$B$10,Paramètres!$A$1:$I$89,3,0)*0.475*44/12</f>
        <v>1.4144214853654075E-7</v>
      </c>
      <c r="AX70" s="21">
        <f t="shared" si="60"/>
        <v>123.58997552393978</v>
      </c>
      <c r="AY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11</v>
      </c>
      <c r="BD70" s="12">
        <f>IF('Données projet'!$A$88&gt;35,BD69+BC70-BL69,IF(A70&lt;'Données projet'!$A$88,$BA$205^A70,IF(A70='Données projet'!$A$88,'Données projet'!$B$88,BD69+BC70-BL69)))</f>
        <v>354.99999999999994</v>
      </c>
      <c r="BE70" s="13">
        <f>BD70*VLOOKUP('Données projet'!$B$11,Paramètres!$A$1:$I$89,3,0)*VLOOKUP('Données projet'!$B$11,Paramètres!$A$1:$I$89,5,0)</f>
        <v>203.06</v>
      </c>
      <c r="BF70" s="13">
        <f t="shared" si="91"/>
        <v>50.416067660340708</v>
      </c>
      <c r="BG70" s="20">
        <f t="shared" si="61"/>
        <v>441.47081784175998</v>
      </c>
      <c r="BH70" s="59">
        <f t="shared" si="62"/>
        <v>734.80415117509324</v>
      </c>
      <c r="BI70" s="59">
        <f ca="1">AVERAGE(OFFSET($BH$3,0,0,'Données projet'!$E$11+1,1))-AVERAGE(OFFSET($H$3,0,0,'Données projet'!$E$11+1,1))</f>
        <v>250.90038883668348</v>
      </c>
      <c r="BJ70" s="59">
        <f t="shared" si="92"/>
        <v>141.96132114475608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60.265098307010788</v>
      </c>
      <c r="BQ70" s="21">
        <f>EXP(-LN(2)/25)*BQ69+(1-EXP(-LN(2)/25))/(LN(2)/25)*Calculateur!BL70*Calculateur!BN70*VLOOKUP('Données projet'!$B$11,Paramètres!$A$1:$I$89,3,0)*0.475*44/12</f>
        <v>4.2674377199361713</v>
      </c>
      <c r="BR70" s="21">
        <f>EXP(-LN(2)/2)*BR69+(1-EXP(-LN(2)/2))/(LN(2)/2)*BL70*BO70*VLOOKUP('Données projet'!$B$11,Paramètres!$A$1:$I$89,3,0)*0.475*44/12</f>
        <v>1.019097177892191E-5</v>
      </c>
      <c r="BS70" s="22">
        <f t="shared" si="63"/>
        <v>64.532546217918735</v>
      </c>
      <c r="BT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4.5999999999999996</v>
      </c>
      <c r="BY70" s="12">
        <f>IF('Données projet'!$A$114&gt;35,BY69+BX70-CG69,IF(A70&lt;'Données projet'!$A$114,$BV$205^A70,IF(A70='Données projet'!$A$114,'Données projet'!$B$114,BY69+BX70-CG69)))</f>
        <v>302.19999999999987</v>
      </c>
      <c r="BZ70" s="13">
        <f>BY70*VLOOKUP('Données projet'!$B$12,Paramètres!$A$1:$I$89,3,0)*VLOOKUP('Données projet'!$B$12,Paramètres!$A$1:$I$89,5,0)</f>
        <v>240.43031999999991</v>
      </c>
      <c r="CA70" s="13">
        <f t="shared" si="93"/>
        <v>58.532106271380506</v>
      </c>
      <c r="CB70" s="20">
        <f t="shared" si="64"/>
        <v>520.69289242265415</v>
      </c>
      <c r="CC70" s="59">
        <f t="shared" si="65"/>
        <v>814.02622575598753</v>
      </c>
      <c r="CD70" s="59">
        <f ca="1">AVERAGE(OFFSET($CC$3,0,0,'Données projet'!$E$12+1,1))-AVERAGE(OFFSET($H$3,0,0,'Données projet'!$E$12+1,1))</f>
        <v>279.49721661620544</v>
      </c>
      <c r="CE70" s="59">
        <f t="shared" si="94"/>
        <v>275.18739333988754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49.162247031101657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49.162247031101657</v>
      </c>
      <c r="CO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19.600000000000001</v>
      </c>
      <c r="CT70" s="12">
        <f>IF('Données projet'!$A$140&gt;35,CT69+CS70-DB69,IF(A70&lt;'Données projet'!$A$140,$CQ$205^A70,IF(A70='Données projet'!$A$140,'Données projet'!$B$140,CT69+CS70-DB69)))</f>
        <v>712.19999999999993</v>
      </c>
      <c r="CU70" s="17">
        <f>CT70*VLOOKUP('Données projet'!$B$13,Paramètres!$A$1:$I$89,3,0)*VLOOKUP('Données projet'!$B$13,Paramètres!$A$1:$I$89,5,0)</f>
        <v>351.82679999999999</v>
      </c>
      <c r="CV70" s="13">
        <f t="shared" si="95"/>
        <v>81.938554286122496</v>
      </c>
      <c r="CW70" s="20">
        <f t="shared" si="67"/>
        <v>755.47465871499662</v>
      </c>
      <c r="CX70" s="59">
        <f t="shared" si="68"/>
        <v>1048.8079920483299</v>
      </c>
      <c r="CY70" s="59">
        <f ca="1">AVERAGE(OFFSET($CX$3,0,0,'Données projet'!$E$13+1,1))-AVERAGE(OFFSET($H$3,0,0,'Données projet'!$E$13+1,1))</f>
        <v>396.27049617044378</v>
      </c>
      <c r="CZ70" s="59">
        <f t="shared" si="96"/>
        <v>335.2680289568774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120.05592960968764</v>
      </c>
      <c r="DG70" s="21">
        <f>EXP(-LN(2)/25)*DG69+(1-EXP(-LN(2)/25))/(LN(2)/25)*Calculateur!DB70*Calculateur!DD70*VLOOKUP('Données projet'!$B$13,Paramètres!$A$1:$I$89,3,0)*0.475*44/12</f>
        <v>16.851855842921875</v>
      </c>
      <c r="DH70" s="21">
        <f>EXP(-LN(2)/2)*DH69+(1-EXP(-LN(2)/2))/(LN(2)/2)*DB70*DE70*VLOOKUP('Données projet'!$B$13,Paramètres!$A$1:$I$89,3,0)*0.475*44/12</f>
        <v>1.0372424226012995E-6</v>
      </c>
      <c r="DI70" s="22">
        <f t="shared" si="69"/>
        <v>136.90778648985193</v>
      </c>
      <c r="DJ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12.2</v>
      </c>
      <c r="DO70" s="12">
        <f>IF('Données projet'!$A$166&gt;35,DO69+DN70-DW69,IF(A70&lt;'Données projet'!$A$166,$DL$205^A70,IF(A70='Données projet'!$A$166,'Données projet'!$B$166,DO69+DN70-DW69)))</f>
        <v>414.39999999999975</v>
      </c>
      <c r="DP70" s="17">
        <f>DO70*VLOOKUP('Données projet'!$B$14,Paramètres!$A$1:$I$89,3,0)*VLOOKUP('Données projet'!$B$14,Paramètres!$A$1:$I$89,5,0)</f>
        <v>237.03679999999989</v>
      </c>
      <c r="DQ70" s="13">
        <f t="shared" si="97"/>
        <v>57.801523322628292</v>
      </c>
      <c r="DR70" s="20">
        <f t="shared" si="70"/>
        <v>513.51007978691075</v>
      </c>
      <c r="DS70" s="59">
        <f t="shared" si="71"/>
        <v>806.84341312024412</v>
      </c>
      <c r="DT70" s="59">
        <f ca="1">AVERAGE(OFFSET($DS$3,0,0,'Données projet'!$E$14+1,1))-AVERAGE(OFFSET($H$3,0,0,'Données projet'!$E$14+1,1))</f>
        <v>307.43900954374504</v>
      </c>
      <c r="DU70" s="59">
        <f t="shared" si="98"/>
        <v>185.25270859048999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70.870292262448956</v>
      </c>
      <c r="EB70" s="21">
        <f>EXP(-LN(2)/25)*EB69+(1-EXP(-LN(2)/25))/(LN(2)/25)*Calculateur!DW70*Calculateur!DY70*VLOOKUP('Données projet'!$B$14,Paramètres!$A$1:$I$89,3,0)*0.475*44/12</f>
        <v>9.5789496370292735</v>
      </c>
      <c r="EC70" s="21">
        <f>EXP(-LN(2)/2)*EC69+(1-EXP(-LN(2)/2))/(LN(2)/2)*DW70*DZ70*VLOOKUP('Données projet'!$B$14,Paramètres!$A$1:$I$89,3,0)*0.475*44/12</f>
        <v>9.826507161485991E-7</v>
      </c>
      <c r="ED70" s="22">
        <f t="shared" si="72"/>
        <v>80.449242882128942</v>
      </c>
      <c r="EE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401</v>
      </c>
      <c r="EK70" s="17">
        <f>EJ70*VLOOKUP('Données projet'!$B$15,Paramètres!$A$1:$I$89,3,0)*VLOOKUP('Données projet'!$B$15,Paramètres!$A$1:$I$89,5,0)</f>
        <v>250.22399999999999</v>
      </c>
      <c r="EL70" s="13">
        <f t="shared" si="99"/>
        <v>60.633904580527918</v>
      </c>
      <c r="EM70" s="20">
        <f t="shared" si="73"/>
        <v>541.41085047775289</v>
      </c>
      <c r="EN70" s="59">
        <f t="shared" si="74"/>
        <v>834.74418381108626</v>
      </c>
      <c r="EO70" s="59">
        <f ca="1">AVERAGE(OFFSET($EN$3,0,0,'Données projet'!$E$15+1,1))-AVERAGE(OFFSET($H$3,0,0,'Données projet'!$E$15+1,1))</f>
        <v>269.77739619445515</v>
      </c>
      <c r="EP70" s="59">
        <f t="shared" si="100"/>
        <v>347.56964743629885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66.665327321389583</v>
      </c>
      <c r="EW70" s="21">
        <f>EXP(-LN(2)/25)*EW69+(1-EXP(-LN(2)/25))/(LN(2)/25)*Calculateur!ER70*Calculateur!ET70*VLOOKUP('Données projet'!$B$15,Paramètres!$A$1:$I$89,3,0)*0.475*44/12</f>
        <v>32.888549406858438</v>
      </c>
      <c r="EX70" s="21">
        <f>EXP(-LN(2)/2)*EX69+(1-EXP(-LN(2)/2))/(LN(2)/2)*ER70*EU70*VLOOKUP('Données projet'!$B$15,Paramètres!$A$1:$I$89,3,0)*0.475*44/12</f>
        <v>6.6998912464677221E-8</v>
      </c>
      <c r="EY70" s="22">
        <f t="shared" si="75"/>
        <v>99.553876795246921</v>
      </c>
      <c r="EZ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5.2</v>
      </c>
      <c r="FE70" s="12">
        <f>IF('Données projet'!$A$218&gt;35,FE69+FD70-FM69,IF(A70&lt;'Données projet'!$A$218,$FB$205^A70,IF(A70='Données projet'!$A$218,'Données projet'!$B$218,FE69+FD70-FM69)))</f>
        <v>350.39999999999969</v>
      </c>
      <c r="FF70" s="17">
        <f>FE70*VLOOKUP('Données projet'!$B$16,Paramètres!$A$1:$I$89,3,0)*VLOOKUP('Données projet'!$B$16,Paramètres!$A$1:$I$89,5,0)</f>
        <v>278.77823999999976</v>
      </c>
      <c r="FG70" s="13">
        <f t="shared" si="101"/>
        <v>66.70875019643654</v>
      </c>
      <c r="FH70" s="20">
        <f t="shared" si="76"/>
        <v>601.7231745921265</v>
      </c>
      <c r="FI70" s="59">
        <f t="shared" si="77"/>
        <v>895.05650792545975</v>
      </c>
      <c r="FJ70" s="59">
        <f ca="1">AVERAGE(OFFSET($FI$3,0,0,'Données projet'!$E$16+1,1))-AVERAGE(OFFSET($H$3,0,0,'Données projet'!$E$16+1,1))</f>
        <v>331.52724290297675</v>
      </c>
      <c r="FK70" s="59">
        <f t="shared" si="102"/>
        <v>322.79102610158054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56.82442735661192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56.82442735661192</v>
      </c>
      <c r="FU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21.6</v>
      </c>
      <c r="FZ70" s="12">
        <f>IF('Données projet'!$A$244&gt;35,FZ69+FY70-GH69,IF(A70&lt;'Données projet'!$A$244,$FW$205^A70,IF(A70='Données projet'!$A$244,'Données projet'!$B$244,FZ69+FY70-GH69)))</f>
        <v>767.2</v>
      </c>
      <c r="GA70" s="17">
        <f>FZ70*VLOOKUP('Données projet'!$B$17,Paramètres!$A$1:$I$89,3,0)*VLOOKUP('Données projet'!$B$17,Paramètres!$A$1:$I$89,5,0)</f>
        <v>378.99680000000001</v>
      </c>
      <c r="GB70" s="13">
        <f t="shared" si="103"/>
        <v>87.505314643718904</v>
      </c>
      <c r="GC70" s="20">
        <f t="shared" si="79"/>
        <v>812.49118300447708</v>
      </c>
      <c r="GD70" s="59">
        <f t="shared" si="80"/>
        <v>1105.8245163378103</v>
      </c>
      <c r="GE70" s="59">
        <f ca="1">AVERAGE(OFFSET($GD$3,0,0,'Données projet'!$E$17+1,1))-AVERAGE(OFFSET($H$3,0,0,'Données projet'!$E$17+1,1))</f>
        <v>434.08297999735811</v>
      </c>
      <c r="GF70" s="59">
        <f t="shared" si="104"/>
        <v>371.04090283546122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131.68855409550733</v>
      </c>
      <c r="GM70" s="21">
        <f>EXP(-LN(2)/25)*GM69+(1-EXP(-LN(2)/25))/(LN(2)/25)*Calculateur!GH70*Calculateur!GJ70*VLOOKUP('Données projet'!$B$17,Paramètres!$A$1:$I$89,3,0)*0.475*44/12</f>
        <v>18.537041427214071</v>
      </c>
      <c r="GN70" s="21">
        <f>EXP(-LN(2)/2)*GN69+(1-EXP(-LN(2)/2))/(LN(2)/2)*GH70*GK70*VLOOKUP('Données projet'!$B$17,Paramètres!$A$1:$I$89,3,0)*0.475*44/12</f>
        <v>2.0273374623570843E-6</v>
      </c>
      <c r="GO70" s="21">
        <f t="shared" si="81"/>
        <v>150.22559755005886</v>
      </c>
      <c r="GP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13.6</v>
      </c>
      <c r="GU70" s="12">
        <f>IF('Données projet'!$A$270&gt;35,GU69+GT70-HC69,IF(A70&lt;'Données projet'!$A$270,$GR$205^A70,IF(A70='Données projet'!$A$270,'Données projet'!$B$270,GU69+GT70-HC69)))</f>
        <v>476.2</v>
      </c>
      <c r="GV70" s="17">
        <f>GU70*VLOOKUP('Données projet'!$B$18,Paramètres!$A$1:$I$89,3,0)*VLOOKUP('Données projet'!$B$18,Paramètres!$A$1:$I$89,5,0)</f>
        <v>272.38639999999998</v>
      </c>
      <c r="GW70" s="13">
        <f t="shared" si="105"/>
        <v>65.35546392843267</v>
      </c>
      <c r="GX70" s="20">
        <f t="shared" si="82"/>
        <v>588.23374634202014</v>
      </c>
      <c r="GY70" s="59">
        <f t="shared" si="83"/>
        <v>881.5670796753534</v>
      </c>
      <c r="GZ70" s="59">
        <f ca="1">AVERAGE(OFFSET($GY$3,0,0,'Données projet'!$E$18+1,1))-AVERAGE(OFFSET($H$3,0,0,'Données projet'!$E$18+1,1))</f>
        <v>362.57172983134313</v>
      </c>
      <c r="HA70" s="59">
        <f t="shared" si="106"/>
        <v>232.03250917542471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80.014312488485444</v>
      </c>
      <c r="HH70" s="21">
        <f>EXP(-LN(2)/25)*HH69+(1-EXP(-LN(2)/25))/(LN(2)/25)*Calculateur!HC70*Calculateur!HE70*VLOOKUP('Données projet'!$B$18,Paramètres!$A$1:$I$89,3,0)*0.475*44/12</f>
        <v>11.175441243200826</v>
      </c>
      <c r="HI70" s="21">
        <f>EXP(-LN(2)/2)*HI69+(1-EXP(-LN(2)/2))/(LN(2)/2)*HC70*HF70*VLOOKUP('Données projet'!$B$18,Paramètres!$A$1:$I$89,3,0)*0.475*44/12</f>
        <v>2.0198931387498976E-6</v>
      </c>
      <c r="HJ70" s="22">
        <f t="shared" si="84"/>
        <v>91.189755751579412</v>
      </c>
    </row>
    <row r="71" spans="1:218" x14ac:dyDescent="0.3">
      <c r="A71" s="10">
        <f t="shared" si="85"/>
        <v>68</v>
      </c>
      <c r="B71" s="71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5">
        <f t="shared" si="56"/>
        <v>367.7928099081056</v>
      </c>
      <c r="I71" s="6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3.8</v>
      </c>
      <c r="N71" s="13">
        <f>IF('Données projet'!$A$36&gt;35,N70+M71-V70,IF(A71&lt;'Données projet'!$A$36,$K$205^A71,IF(A71='Données projet'!$A$36,'Données projet'!$B$36,N70+M71-V70)))</f>
        <v>255.39999999999986</v>
      </c>
      <c r="O71" s="13">
        <f>N71*VLOOKUP('Données projet'!$B$9,Paramètres!$A$1:$I$89,3,0)*VLOOKUP('Données projet'!$B$9,Paramètres!$A$1:$I$89,5,0)</f>
        <v>203.1962399999999</v>
      </c>
      <c r="P71" s="13">
        <f t="shared" si="87"/>
        <v>50.445955049216174</v>
      </c>
      <c r="Q71" s="20">
        <f t="shared" si="54"/>
        <v>441.76015637738465</v>
      </c>
      <c r="R71" s="59">
        <f t="shared" si="55"/>
        <v>735.0934897107179</v>
      </c>
      <c r="S71" s="59">
        <f ca="1">AVERAGE(OFFSET($R$3,0,0,'Données projet'!$E$9+1,1))-AVERAGE(OFFSET($H$3,0,0,'Données projet'!$E$9+1,1))</f>
        <v>225.2323446080772</v>
      </c>
      <c r="T71" s="59">
        <f t="shared" si="88"/>
        <v>222.29030402759292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40.627580315529627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40.627580315529627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18</v>
      </c>
      <c r="AI71" s="13">
        <f>IF('Données projet'!$A$62&gt;35,AI70+AH71-AQ70,IF(A71&lt;'Données projet'!$A$62,$AF$205^A71,IF(A71='Données projet'!$A$62,'Données projet'!$B$62,AI70+AH71-AQ70)))</f>
        <v>675.00000000000011</v>
      </c>
      <c r="AJ71" s="13">
        <f>AI71*VLOOKUP('Données projet'!$B$10,Paramètres!$A$1:$I$89,3,0)*VLOOKUP('Données projet'!$B$10,Paramètres!$A$1:$I$89,5,0)</f>
        <v>333.4500000000001</v>
      </c>
      <c r="AK71" s="13">
        <f t="shared" si="89"/>
        <v>78.14514666575586</v>
      </c>
      <c r="AL71" s="20">
        <f t="shared" si="58"/>
        <v>716.86154710952496</v>
      </c>
      <c r="AM71" s="59">
        <f t="shared" si="59"/>
        <v>1010.1948804428582</v>
      </c>
      <c r="AN71" s="59">
        <f ca="1">AVERAGE(OFFSET($AM$3,0,0,'Données projet'!$E$10+1,1))-AVERAGE(OFFSET($H$3,0,0,'Données projet'!$E$10+1,1))</f>
        <v>360.05819346986135</v>
      </c>
      <c r="AO71" s="59">
        <f t="shared" si="90"/>
        <v>300.47468388351081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106.29719024207508</v>
      </c>
      <c r="AV71" s="21">
        <f>EXP(-LN(2)/25)*AV70+(1-EXP(-LN(2)/25))/(LN(2)/25)*Calculateur!AQ71*Calculateur!AS71*VLOOKUP('Données projet'!$B$10,Paramètres!$A$1:$I$89,3,0)*0.475*44/12</f>
        <v>14.751936862826929</v>
      </c>
      <c r="AW71" s="21">
        <f>EXP(-LN(2)/2)*AW70+(1-EXP(-LN(2)/2))/(LN(2)/2)*AQ71*AT71*VLOOKUP('Données projet'!$B$10,Paramètres!$A$1:$I$89,3,0)*0.475*44/12</f>
        <v>1.0001470237578288E-7</v>
      </c>
      <c r="AX71" s="21">
        <f t="shared" si="60"/>
        <v>121.0491272049167</v>
      </c>
      <c r="AY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11</v>
      </c>
      <c r="BD71" s="12">
        <f>IF('Données projet'!$A$88&gt;35,BD70+BC71-BL70,IF(A71&lt;'Données projet'!$A$88,$BA$205^A71,IF(A71='Données projet'!$A$88,'Données projet'!$B$88,BD70+BC71-BL70)))</f>
        <v>365.99999999999994</v>
      </c>
      <c r="BE71" s="13">
        <f>BD71*VLOOKUP('Données projet'!$B$11,Paramètres!$A$1:$I$89,3,0)*VLOOKUP('Données projet'!$B$11,Paramètres!$A$1:$I$89,5,0)</f>
        <v>209.35199999999995</v>
      </c>
      <c r="BF71" s="13">
        <f t="shared" si="91"/>
        <v>51.79395593509436</v>
      </c>
      <c r="BG71" s="20">
        <f t="shared" si="61"/>
        <v>454.82920658695593</v>
      </c>
      <c r="BH71" s="59">
        <f t="shared" si="62"/>
        <v>748.16253992028919</v>
      </c>
      <c r="BI71" s="59">
        <f ca="1">AVERAGE(OFFSET($BH$3,0,0,'Données projet'!$E$11+1,1))-AVERAGE(OFFSET($H$3,0,0,'Données projet'!$E$11+1,1))</f>
        <v>250.90038883668348</v>
      </c>
      <c r="BJ71" s="59">
        <f t="shared" si="92"/>
        <v>141.96132114475608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59.083336487290715</v>
      </c>
      <c r="BQ71" s="21">
        <f>EXP(-LN(2)/25)*BQ70+(1-EXP(-LN(2)/25))/(LN(2)/25)*Calculateur!BL71*Calculateur!BN71*VLOOKUP('Données projet'!$B$11,Paramètres!$A$1:$I$89,3,0)*0.475*44/12</f>
        <v>4.15074441106972</v>
      </c>
      <c r="BR71" s="21">
        <f>EXP(-LN(2)/2)*BR70+(1-EXP(-LN(2)/2))/(LN(2)/2)*BL71*BO71*VLOOKUP('Données projet'!$B$11,Paramètres!$A$1:$I$89,3,0)*0.475*44/12</f>
        <v>7.2061052517564165E-6</v>
      </c>
      <c r="BS71" s="22">
        <f t="shared" si="63"/>
        <v>63.234088104465684</v>
      </c>
      <c r="BT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4.5999999999999996</v>
      </c>
      <c r="BY71" s="12">
        <f>IF('Données projet'!$A$114&gt;35,BY70+BX71-CG70,IF(A71&lt;'Données projet'!$A$114,$BV$205^A71,IF(A71='Données projet'!$A$114,'Données projet'!$B$114,BY70+BX71-CG70)))</f>
        <v>306.7999999999999</v>
      </c>
      <c r="BZ71" s="13">
        <f>BY71*VLOOKUP('Données projet'!$B$12,Paramètres!$A$1:$I$89,3,0)*VLOOKUP('Données projet'!$B$12,Paramètres!$A$1:$I$89,5,0)</f>
        <v>244.09007999999994</v>
      </c>
      <c r="CA71" s="13">
        <f t="shared" si="93"/>
        <v>59.318663780863893</v>
      </c>
      <c r="CB71" s="20">
        <f t="shared" si="64"/>
        <v>528.43689541833794</v>
      </c>
      <c r="CC71" s="59">
        <f t="shared" si="65"/>
        <v>821.77022875167131</v>
      </c>
      <c r="CD71" s="59">
        <f ca="1">AVERAGE(OFFSET($CC$3,0,0,'Données projet'!$E$12+1,1))-AVERAGE(OFFSET($H$3,0,0,'Données projet'!$E$12+1,1))</f>
        <v>279.49721661620544</v>
      </c>
      <c r="CE71" s="59">
        <f t="shared" si="94"/>
        <v>275.18739333988754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48.198205352831572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48.198205352831572</v>
      </c>
      <c r="CO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19.600000000000001</v>
      </c>
      <c r="CT71" s="12">
        <f>IF('Données projet'!$A$140&gt;35,CT70+CS71-DB70,IF(A71&lt;'Données projet'!$A$140,$CQ$205^A71,IF(A71='Données projet'!$A$140,'Données projet'!$B$140,CT70+CS71-DB70)))</f>
        <v>731.8</v>
      </c>
      <c r="CU71" s="17">
        <f>CT71*VLOOKUP('Données projet'!$B$13,Paramètres!$A$1:$I$89,3,0)*VLOOKUP('Données projet'!$B$13,Paramètres!$A$1:$I$89,5,0)</f>
        <v>361.50920000000002</v>
      </c>
      <c r="CV71" s="13">
        <f t="shared" si="95"/>
        <v>83.927894119326041</v>
      </c>
      <c r="CW71" s="20">
        <f t="shared" si="67"/>
        <v>775.80293892449288</v>
      </c>
      <c r="CX71" s="59">
        <f t="shared" si="68"/>
        <v>1069.1362722578262</v>
      </c>
      <c r="CY71" s="59">
        <f ca="1">AVERAGE(OFFSET($CX$3,0,0,'Données projet'!$E$13+1,1))-AVERAGE(OFFSET($H$3,0,0,'Données projet'!$E$13+1,1))</f>
        <v>396.27049617044378</v>
      </c>
      <c r="CZ71" s="59">
        <f t="shared" si="96"/>
        <v>335.2680289568774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117.70170605692817</v>
      </c>
      <c r="DG71" s="21">
        <f>EXP(-LN(2)/25)*DG70+(1-EXP(-LN(2)/25))/(LN(2)/25)*Calculateur!DB71*Calculateur!DD71*VLOOKUP('Données projet'!$B$13,Paramètres!$A$1:$I$89,3,0)*0.475*44/12</f>
        <v>16.391040958696593</v>
      </c>
      <c r="DH71" s="21">
        <f>EXP(-LN(2)/2)*DH70+(1-EXP(-LN(2)/2))/(LN(2)/2)*DB71*DE71*VLOOKUP('Données projet'!$B$13,Paramètres!$A$1:$I$89,3,0)*0.475*44/12</f>
        <v>7.3344115075574156E-7</v>
      </c>
      <c r="DI71" s="22">
        <f t="shared" si="69"/>
        <v>134.09274774906589</v>
      </c>
      <c r="DJ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12.2</v>
      </c>
      <c r="DO71" s="12">
        <f>IF('Données projet'!$A$166&gt;35,DO70+DN71-DW70,IF(A71&lt;'Données projet'!$A$166,$DL$205^A71,IF(A71='Données projet'!$A$166,'Données projet'!$B$166,DO70+DN71-DW70)))</f>
        <v>426.59999999999974</v>
      </c>
      <c r="DP71" s="17">
        <f>DO71*VLOOKUP('Données projet'!$B$14,Paramètres!$A$1:$I$89,3,0)*VLOOKUP('Données projet'!$B$14,Paramètres!$A$1:$I$89,5,0)</f>
        <v>244.01519999999988</v>
      </c>
      <c r="DQ71" s="13">
        <f t="shared" si="97"/>
        <v>59.302584355377448</v>
      </c>
      <c r="DR71" s="20">
        <f t="shared" si="70"/>
        <v>528.2784744189488</v>
      </c>
      <c r="DS71" s="59">
        <f t="shared" si="71"/>
        <v>821.61180775228217</v>
      </c>
      <c r="DT71" s="59">
        <f ca="1">AVERAGE(OFFSET($DS$3,0,0,'Données projet'!$E$14+1,1))-AVERAGE(OFFSET($H$3,0,0,'Données projet'!$E$14+1,1))</f>
        <v>307.43900954374504</v>
      </c>
      <c r="DU71" s="59">
        <f t="shared" si="98"/>
        <v>185.25270859048999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69.480569057792337</v>
      </c>
      <c r="EB71" s="21">
        <f>EXP(-LN(2)/25)*EB70+(1-EXP(-LN(2)/25))/(LN(2)/25)*Calculateur!DW71*Calculateur!DY71*VLOOKUP('Données projet'!$B$14,Paramètres!$A$1:$I$89,3,0)*0.475*44/12</f>
        <v>9.3170127554696389</v>
      </c>
      <c r="EC71" s="21">
        <f>EXP(-LN(2)/2)*EC70+(1-EXP(-LN(2)/2))/(LN(2)/2)*DW71*DZ71*VLOOKUP('Données projet'!$B$14,Paramètres!$A$1:$I$89,3,0)*0.475*44/12</f>
        <v>6.9483898492649169E-7</v>
      </c>
      <c r="ED71" s="22">
        <f t="shared" si="72"/>
        <v>78.797582508100959</v>
      </c>
      <c r="EE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401</v>
      </c>
      <c r="EK71" s="17">
        <f>EJ71*VLOOKUP('Données projet'!$B$15,Paramètres!$A$1:$I$89,3,0)*VLOOKUP('Données projet'!$B$15,Paramètres!$A$1:$I$89,5,0)</f>
        <v>250.22399999999999</v>
      </c>
      <c r="EL71" s="13">
        <f t="shared" si="99"/>
        <v>60.633904580527918</v>
      </c>
      <c r="EM71" s="20">
        <f t="shared" si="73"/>
        <v>541.41085047775289</v>
      </c>
      <c r="EN71" s="59">
        <f t="shared" si="74"/>
        <v>834.74418381108626</v>
      </c>
      <c r="EO71" s="59">
        <f ca="1">AVERAGE(OFFSET($EN$3,0,0,'Données projet'!$E$15+1,1))-AVERAGE(OFFSET($H$3,0,0,'Données projet'!$E$15+1,1))</f>
        <v>269.77739619445515</v>
      </c>
      <c r="EP71" s="59">
        <f t="shared" si="100"/>
        <v>347.56964743629885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65.358060914451784</v>
      </c>
      <c r="EW71" s="21">
        <f>EXP(-LN(2)/25)*EW70+(1-EXP(-LN(2)/25))/(LN(2)/25)*Calculateur!ER71*Calculateur!ET71*VLOOKUP('Données projet'!$B$15,Paramètres!$A$1:$I$89,3,0)*0.475*44/12</f>
        <v>31.989210293794248</v>
      </c>
      <c r="EX71" s="21">
        <f>EXP(-LN(2)/2)*EX70+(1-EXP(-LN(2)/2))/(LN(2)/2)*ER71*EU71*VLOOKUP('Données projet'!$B$15,Paramètres!$A$1:$I$89,3,0)*0.475*44/12</f>
        <v>4.7375385335897168E-8</v>
      </c>
      <c r="EY71" s="22">
        <f t="shared" si="75"/>
        <v>97.347271255621408</v>
      </c>
      <c r="EZ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5.2</v>
      </c>
      <c r="FE71" s="12">
        <f>IF('Données projet'!$A$218&gt;35,FE70+FD71-FM70,IF(A71&lt;'Données projet'!$A$218,$FB$205^A71,IF(A71='Données projet'!$A$218,'Données projet'!$B$218,FE70+FD71-FM70)))</f>
        <v>355.59999999999968</v>
      </c>
      <c r="FF71" s="17">
        <f>FE71*VLOOKUP('Données projet'!$B$16,Paramètres!$A$1:$I$89,3,0)*VLOOKUP('Données projet'!$B$16,Paramètres!$A$1:$I$89,5,0)</f>
        <v>282.91535999999979</v>
      </c>
      <c r="FG71" s="13">
        <f t="shared" si="101"/>
        <v>67.582736351531807</v>
      </c>
      <c r="FH71" s="20">
        <f t="shared" si="76"/>
        <v>610.45085114558412</v>
      </c>
      <c r="FI71" s="59">
        <f t="shared" si="77"/>
        <v>903.7841844789175</v>
      </c>
      <c r="FJ71" s="59">
        <f ca="1">AVERAGE(OFFSET($FI$3,0,0,'Données projet'!$E$16+1,1))-AVERAGE(OFFSET($H$3,0,0,'Données projet'!$E$16+1,1))</f>
        <v>331.52724290297675</v>
      </c>
      <c r="FK71" s="59">
        <f t="shared" si="102"/>
        <v>322.79102610158054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55.710134995627108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55.710134995627108</v>
      </c>
      <c r="FU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21.6</v>
      </c>
      <c r="FZ71" s="12">
        <f>IF('Données projet'!$A$244&gt;35,FZ70+FY71-GH70,IF(A71&lt;'Données projet'!$A$244,$FW$205^A71,IF(A71='Données projet'!$A$244,'Données projet'!$B$244,FZ70+FY71-GH70)))</f>
        <v>788.80000000000007</v>
      </c>
      <c r="GA71" s="17">
        <f>FZ71*VLOOKUP('Données projet'!$B$17,Paramètres!$A$1:$I$89,3,0)*VLOOKUP('Données projet'!$B$17,Paramètres!$A$1:$I$89,5,0)</f>
        <v>389.66720000000004</v>
      </c>
      <c r="GB71" s="13">
        <f t="shared" si="103"/>
        <v>89.678668504054727</v>
      </c>
      <c r="GC71" s="20">
        <f t="shared" si="79"/>
        <v>834.86072097789531</v>
      </c>
      <c r="GD71" s="59">
        <f t="shared" si="80"/>
        <v>1128.1940543112287</v>
      </c>
      <c r="GE71" s="59">
        <f ca="1">AVERAGE(OFFSET($GD$3,0,0,'Données projet'!$E$17+1,1))-AVERAGE(OFFSET($H$3,0,0,'Données projet'!$E$17+1,1))</f>
        <v>434.08297999735811</v>
      </c>
      <c r="GF71" s="59">
        <f t="shared" si="104"/>
        <v>371.04090283546122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129.10622187178129</v>
      </c>
      <c r="GM71" s="21">
        <f>EXP(-LN(2)/25)*GM70+(1-EXP(-LN(2)/25))/(LN(2)/25)*Calculateur!GH71*Calculateur!GJ71*VLOOKUP('Données projet'!$B$17,Paramètres!$A$1:$I$89,3,0)*0.475*44/12</f>
        <v>18.030145054566262</v>
      </c>
      <c r="GN71" s="21">
        <f>EXP(-LN(2)/2)*GN70+(1-EXP(-LN(2)/2))/(LN(2)/2)*GH71*GK71*VLOOKUP('Données projet'!$B$17,Paramètres!$A$1:$I$89,3,0)*0.475*44/12</f>
        <v>1.4335440673862214E-6</v>
      </c>
      <c r="GO71" s="21">
        <f t="shared" si="81"/>
        <v>147.13636835989161</v>
      </c>
      <c r="GP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13.6</v>
      </c>
      <c r="GU71" s="12">
        <f>IF('Données projet'!$A$270&gt;35,GU70+GT71-HC70,IF(A71&lt;'Données projet'!$A$270,$GR$205^A71,IF(A71='Données projet'!$A$270,'Données projet'!$B$270,GU70+GT71-HC70)))</f>
        <v>489.8</v>
      </c>
      <c r="GV71" s="17">
        <f>GU71*VLOOKUP('Données projet'!$B$18,Paramètres!$A$1:$I$89,3,0)*VLOOKUP('Données projet'!$B$18,Paramètres!$A$1:$I$89,5,0)</f>
        <v>280.16559999999998</v>
      </c>
      <c r="GW71" s="13">
        <f t="shared" si="105"/>
        <v>67.002003717205895</v>
      </c>
      <c r="GX71" s="20">
        <f t="shared" si="82"/>
        <v>604.65024314080028</v>
      </c>
      <c r="GY71" s="59">
        <f t="shared" si="83"/>
        <v>897.98357647413354</v>
      </c>
      <c r="GZ71" s="59">
        <f ca="1">AVERAGE(OFFSET($GY$3,0,0,'Données projet'!$E$18+1,1))-AVERAGE(OFFSET($H$3,0,0,'Données projet'!$E$18+1,1))</f>
        <v>362.57172983134313</v>
      </c>
      <c r="HA71" s="59">
        <f t="shared" si="106"/>
        <v>232.03250917542471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78.445280624497883</v>
      </c>
      <c r="HH71" s="21">
        <f>EXP(-LN(2)/25)*HH70+(1-EXP(-LN(2)/25))/(LN(2)/25)*Calculateur!HC71*Calculateur!HE71*VLOOKUP('Données projet'!$B$18,Paramètres!$A$1:$I$89,3,0)*0.475*44/12</f>
        <v>10.869848214714587</v>
      </c>
      <c r="HI71" s="21">
        <f>EXP(-LN(2)/2)*HI70+(1-EXP(-LN(2)/2))/(LN(2)/2)*HC71*HF71*VLOOKUP('Données projet'!$B$18,Paramètres!$A$1:$I$89,3,0)*0.475*44/12</f>
        <v>1.4282801356822325E-6</v>
      </c>
      <c r="HJ71" s="22">
        <f t="shared" si="84"/>
        <v>89.315130267492592</v>
      </c>
    </row>
    <row r="72" spans="1:218" x14ac:dyDescent="0.3">
      <c r="A72" s="10">
        <f t="shared" si="85"/>
        <v>69</v>
      </c>
      <c r="B72" s="71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5">
        <f t="shared" si="56"/>
        <v>368.85766474535927</v>
      </c>
      <c r="I72" s="6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3.8</v>
      </c>
      <c r="N72" s="13">
        <f>IF('Données projet'!$A$36&gt;35,N71+M72-V71,IF(A72&lt;'Données projet'!$A$36,$K$205^A72,IF(A72='Données projet'!$A$36,'Données projet'!$B$36,N71+M72-V71)))</f>
        <v>259.19999999999987</v>
      </c>
      <c r="O72" s="13">
        <f>N72*VLOOKUP('Données projet'!$B$9,Paramètres!$A$1:$I$89,3,0)*VLOOKUP('Données projet'!$B$9,Paramètres!$A$1:$I$89,5,0)</f>
        <v>206.21951999999993</v>
      </c>
      <c r="P72" s="13">
        <f t="shared" si="87"/>
        <v>51.10858428464028</v>
      </c>
      <c r="Q72" s="20">
        <f t="shared" si="54"/>
        <v>448.17978162908167</v>
      </c>
      <c r="R72" s="59">
        <f t="shared" si="55"/>
        <v>741.51311496241499</v>
      </c>
      <c r="S72" s="59">
        <f ca="1">AVERAGE(OFFSET($R$3,0,0,'Données projet'!$E$9+1,1))-AVERAGE(OFFSET($H$3,0,0,'Données projet'!$E$9+1,1))</f>
        <v>225.2323446080772</v>
      </c>
      <c r="T72" s="59">
        <f t="shared" si="88"/>
        <v>222.29030402759292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39.830898245919222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39.830898245919222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18</v>
      </c>
      <c r="AI72" s="13">
        <f>IF('Données projet'!$A$62&gt;35,AI71+AH72-AQ71,IF(A72&lt;'Données projet'!$A$62,$AF$205^A72,IF(A72='Données projet'!$A$62,'Données projet'!$B$62,AI71+AH72-AQ71)))</f>
        <v>693.00000000000011</v>
      </c>
      <c r="AJ72" s="13">
        <f>AI72*VLOOKUP('Données projet'!$B$10,Paramètres!$A$1:$I$89,3,0)*VLOOKUP('Données projet'!$B$10,Paramètres!$A$1:$I$89,5,0)</f>
        <v>342.34200000000004</v>
      </c>
      <c r="AK72" s="13">
        <f t="shared" si="89"/>
        <v>79.983624963231051</v>
      </c>
      <c r="AL72" s="20">
        <f t="shared" si="58"/>
        <v>735.55046347762755</v>
      </c>
      <c r="AM72" s="59">
        <f t="shared" si="59"/>
        <v>1028.8837968109608</v>
      </c>
      <c r="AN72" s="59">
        <f ca="1">AVERAGE(OFFSET($AM$3,0,0,'Données projet'!$E$10+1,1))-AVERAGE(OFFSET($H$3,0,0,'Données projet'!$E$10+1,1))</f>
        <v>360.05819346986135</v>
      </c>
      <c r="AO72" s="59">
        <f t="shared" si="90"/>
        <v>300.47468388351081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104.21276717631211</v>
      </c>
      <c r="AV72" s="21">
        <f>EXP(-LN(2)/25)*AV71+(1-EXP(-LN(2)/25))/(LN(2)/25)*Calculateur!AQ72*Calculateur!AS72*VLOOKUP('Données projet'!$B$10,Paramètres!$A$1:$I$89,3,0)*0.475*44/12</f>
        <v>14.348544373542282</v>
      </c>
      <c r="AW72" s="21">
        <f>EXP(-LN(2)/2)*AW71+(1-EXP(-LN(2)/2))/(LN(2)/2)*AQ72*AT72*VLOOKUP('Données projet'!$B$10,Paramètres!$A$1:$I$89,3,0)*0.475*44/12</f>
        <v>7.0721074268270375E-8</v>
      </c>
      <c r="AX72" s="21">
        <f t="shared" si="60"/>
        <v>118.56131162057547</v>
      </c>
      <c r="AY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11</v>
      </c>
      <c r="BD72" s="12">
        <f>IF('Données projet'!$A$88&gt;35,BD71+BC72-BL71,IF(A72&lt;'Données projet'!$A$88,$BA$205^A72,IF(A72='Données projet'!$A$88,'Données projet'!$B$88,BD71+BC72-BL71)))</f>
        <v>376.99999999999994</v>
      </c>
      <c r="BE72" s="13">
        <f>BD72*VLOOKUP('Données projet'!$B$11,Paramètres!$A$1:$I$89,3,0)*VLOOKUP('Données projet'!$B$11,Paramètres!$A$1:$I$89,5,0)</f>
        <v>215.64399999999998</v>
      </c>
      <c r="BF72" s="13">
        <f t="shared" si="91"/>
        <v>53.167031516025872</v>
      </c>
      <c r="BG72" s="20">
        <f t="shared" si="61"/>
        <v>468.17921322374508</v>
      </c>
      <c r="BH72" s="59">
        <f t="shared" si="62"/>
        <v>761.51254655707839</v>
      </c>
      <c r="BI72" s="59">
        <f ca="1">AVERAGE(OFFSET($BH$3,0,0,'Données projet'!$E$11+1,1))-AVERAGE(OFFSET($H$3,0,0,'Données projet'!$E$11+1,1))</f>
        <v>250.90038883668348</v>
      </c>
      <c r="BJ72" s="59">
        <f t="shared" si="92"/>
        <v>141.96132114475608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57.924748296051817</v>
      </c>
      <c r="BQ72" s="21">
        <f>EXP(-LN(2)/25)*BQ71+(1-EXP(-LN(2)/25))/(LN(2)/25)*Calculateur!BL72*Calculateur!BN72*VLOOKUP('Données projet'!$B$11,Paramètres!$A$1:$I$89,3,0)*0.475*44/12</f>
        <v>4.0372420868708563</v>
      </c>
      <c r="BR72" s="21">
        <f>EXP(-LN(2)/2)*BR71+(1-EXP(-LN(2)/2))/(LN(2)/2)*BL72*BO72*VLOOKUP('Données projet'!$B$11,Paramètres!$A$1:$I$89,3,0)*0.475*44/12</f>
        <v>5.0954858894609559E-6</v>
      </c>
      <c r="BS72" s="22">
        <f t="shared" si="63"/>
        <v>61.961995478408561</v>
      </c>
      <c r="BT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4.5999999999999996</v>
      </c>
      <c r="BY72" s="12">
        <f>IF('Données projet'!$A$114&gt;35,BY71+BX72-CG71,IF(A72&lt;'Données projet'!$A$114,$BV$205^A72,IF(A72='Données projet'!$A$114,'Données projet'!$B$114,BY71+BX72-CG71)))</f>
        <v>311.39999999999992</v>
      </c>
      <c r="BZ72" s="13">
        <f>BY72*VLOOKUP('Données projet'!$B$12,Paramètres!$A$1:$I$89,3,0)*VLOOKUP('Données projet'!$B$12,Paramètres!$A$1:$I$89,5,0)</f>
        <v>247.74983999999995</v>
      </c>
      <c r="CA72" s="13">
        <f t="shared" si="93"/>
        <v>60.103849700617872</v>
      </c>
      <c r="CB72" s="20">
        <f t="shared" si="64"/>
        <v>536.17850956190932</v>
      </c>
      <c r="CC72" s="59">
        <f t="shared" si="65"/>
        <v>829.51184289524258</v>
      </c>
      <c r="CD72" s="59">
        <f ca="1">AVERAGE(OFFSET($CC$3,0,0,'Données projet'!$E$12+1,1))-AVERAGE(OFFSET($H$3,0,0,'Données projet'!$E$12+1,1))</f>
        <v>279.49721661620544</v>
      </c>
      <c r="CE72" s="59">
        <f t="shared" si="94"/>
        <v>275.18739333988754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47.253067943864998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47.253067943864998</v>
      </c>
      <c r="CO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19.600000000000001</v>
      </c>
      <c r="CT72" s="12">
        <f>IF('Données projet'!$A$140&gt;35,CT71+CS72-DB71,IF(A72&lt;'Données projet'!$A$140,$CQ$205^A72,IF(A72='Données projet'!$A$140,'Données projet'!$B$140,CT71+CS72-DB71)))</f>
        <v>751.4</v>
      </c>
      <c r="CU72" s="17">
        <f>CT72*VLOOKUP('Données projet'!$B$13,Paramètres!$A$1:$I$89,3,0)*VLOOKUP('Données projet'!$B$13,Paramètres!$A$1:$I$89,5,0)</f>
        <v>371.19159999999999</v>
      </c>
      <c r="CV72" s="13">
        <f t="shared" si="95"/>
        <v>85.911040915152313</v>
      </c>
      <c r="CW72" s="20">
        <f t="shared" si="67"/>
        <v>796.12043292722353</v>
      </c>
      <c r="CX72" s="59">
        <f t="shared" si="68"/>
        <v>1089.4537662605569</v>
      </c>
      <c r="CY72" s="59">
        <f ca="1">AVERAGE(OFFSET($CX$3,0,0,'Données projet'!$E$13+1,1))-AVERAGE(OFFSET($H$3,0,0,'Données projet'!$E$13+1,1))</f>
        <v>396.27049617044378</v>
      </c>
      <c r="CZ72" s="59">
        <f t="shared" si="96"/>
        <v>335.2680289568774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115.39364739210374</v>
      </c>
      <c r="DG72" s="21">
        <f>EXP(-LN(2)/25)*DG71+(1-EXP(-LN(2)/25))/(LN(2)/25)*Calculateur!DB72*Calculateur!DD72*VLOOKUP('Données projet'!$B$13,Paramètres!$A$1:$I$89,3,0)*0.475*44/12</f>
        <v>15.942827081713652</v>
      </c>
      <c r="DH72" s="21">
        <f>EXP(-LN(2)/2)*DH71+(1-EXP(-LN(2)/2))/(LN(2)/2)*DB72*DE72*VLOOKUP('Données projet'!$B$13,Paramètres!$A$1:$I$89,3,0)*0.475*44/12</f>
        <v>5.1862121130064976E-7</v>
      </c>
      <c r="DI72" s="22">
        <f t="shared" si="69"/>
        <v>131.33647499243861</v>
      </c>
      <c r="DJ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12.2</v>
      </c>
      <c r="DO72" s="12">
        <f>IF('Données projet'!$A$166&gt;35,DO71+DN72-DW71,IF(A72&lt;'Données projet'!$A$166,$DL$205^A72,IF(A72='Données projet'!$A$166,'Données projet'!$B$166,DO71+DN72-DW71)))</f>
        <v>438.79999999999973</v>
      </c>
      <c r="DP72" s="17">
        <f>DO72*VLOOKUP('Données projet'!$B$14,Paramètres!$A$1:$I$89,3,0)*VLOOKUP('Données projet'!$B$14,Paramètres!$A$1:$I$89,5,0)</f>
        <v>250.99359999999987</v>
      </c>
      <c r="DQ72" s="13">
        <f t="shared" si="97"/>
        <v>60.79865619608325</v>
      </c>
      <c r="DR72" s="20">
        <f t="shared" si="70"/>
        <v>543.03817954151145</v>
      </c>
      <c r="DS72" s="59">
        <f t="shared" si="71"/>
        <v>836.37151287484471</v>
      </c>
      <c r="DT72" s="59">
        <f ca="1">AVERAGE(OFFSET($DS$3,0,0,'Données projet'!$E$14+1,1))-AVERAGE(OFFSET($H$3,0,0,'Données projet'!$E$14+1,1))</f>
        <v>307.43900954374504</v>
      </c>
      <c r="DU72" s="59">
        <f t="shared" si="98"/>
        <v>185.25270859048999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68.118097477531578</v>
      </c>
      <c r="EB72" s="21">
        <f>EXP(-LN(2)/25)*EB71+(1-EXP(-LN(2)/25))/(LN(2)/25)*Calculateur!DW72*Calculateur!DY72*VLOOKUP('Données projet'!$B$14,Paramètres!$A$1:$I$89,3,0)*0.475*44/12</f>
        <v>9.0622385517109159</v>
      </c>
      <c r="EC72" s="21">
        <f>EXP(-LN(2)/2)*EC71+(1-EXP(-LN(2)/2))/(LN(2)/2)*DW72*DZ72*VLOOKUP('Données projet'!$B$14,Paramètres!$A$1:$I$89,3,0)*0.475*44/12</f>
        <v>4.9132535807429955E-7</v>
      </c>
      <c r="ED72" s="22">
        <f t="shared" si="72"/>
        <v>77.180336520567849</v>
      </c>
      <c r="EE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401</v>
      </c>
      <c r="EK72" s="17">
        <f>EJ72*VLOOKUP('Données projet'!$B$15,Paramètres!$A$1:$I$89,3,0)*VLOOKUP('Données projet'!$B$15,Paramètres!$A$1:$I$89,5,0)</f>
        <v>250.22399999999999</v>
      </c>
      <c r="EL72" s="13">
        <f t="shared" si="99"/>
        <v>60.633904580527918</v>
      </c>
      <c r="EM72" s="20">
        <f t="shared" si="73"/>
        <v>541.41085047775289</v>
      </c>
      <c r="EN72" s="59">
        <f t="shared" si="74"/>
        <v>834.74418381108626</v>
      </c>
      <c r="EO72" s="59">
        <f ca="1">AVERAGE(OFFSET($EN$3,0,0,'Données projet'!$E$15+1,1))-AVERAGE(OFFSET($H$3,0,0,'Données projet'!$E$15+1,1))</f>
        <v>269.77739619445515</v>
      </c>
      <c r="EP72" s="59">
        <f t="shared" si="100"/>
        <v>347.56964743629885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64.076429204400256</v>
      </c>
      <c r="EW72" s="21">
        <f>EXP(-LN(2)/25)*EW71+(1-EXP(-LN(2)/25))/(LN(2)/25)*Calculateur!ER72*Calculateur!ET72*VLOOKUP('Données projet'!$B$15,Paramètres!$A$1:$I$89,3,0)*0.475*44/12</f>
        <v>31.114463656070988</v>
      </c>
      <c r="EX72" s="21">
        <f>EXP(-LN(2)/2)*EX71+(1-EXP(-LN(2)/2))/(LN(2)/2)*ER72*EU72*VLOOKUP('Données projet'!$B$15,Paramètres!$A$1:$I$89,3,0)*0.475*44/12</f>
        <v>3.349945623233861E-8</v>
      </c>
      <c r="EY72" s="22">
        <f t="shared" si="75"/>
        <v>95.190892893970712</v>
      </c>
      <c r="EZ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5.2</v>
      </c>
      <c r="FE72" s="12">
        <f>IF('Données projet'!$A$218&gt;35,FE71+FD72-FM71,IF(A72&lt;'Données projet'!$A$218,$FB$205^A72,IF(A72='Données projet'!$A$218,'Données projet'!$B$218,FE71+FD72-FM71)))</f>
        <v>360.79999999999967</v>
      </c>
      <c r="FF72" s="17">
        <f>FE72*VLOOKUP('Données projet'!$B$16,Paramètres!$A$1:$I$89,3,0)*VLOOKUP('Données projet'!$B$16,Paramètres!$A$1:$I$89,5,0)</f>
        <v>287.05247999999978</v>
      </c>
      <c r="FG72" s="13">
        <f t="shared" si="101"/>
        <v>68.455236071606535</v>
      </c>
      <c r="FH72" s="20">
        <f t="shared" si="76"/>
        <v>619.17593882471431</v>
      </c>
      <c r="FI72" s="59">
        <f t="shared" si="77"/>
        <v>912.50927215804768</v>
      </c>
      <c r="FJ72" s="59">
        <f ca="1">AVERAGE(OFFSET($FI$3,0,0,'Données projet'!$E$16+1,1))-AVERAGE(OFFSET($H$3,0,0,'Données projet'!$E$16+1,1))</f>
        <v>331.52724290297675</v>
      </c>
      <c r="FK72" s="59">
        <f t="shared" si="102"/>
        <v>322.79102610158054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54.617693228189978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54.617693228189978</v>
      </c>
      <c r="FU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21.6</v>
      </c>
      <c r="FZ72" s="12">
        <f>IF('Données projet'!$A$244&gt;35,FZ71+FY72-GH71,IF(A72&lt;'Données projet'!$A$244,$FW$205^A72,IF(A72='Données projet'!$A$244,'Données projet'!$B$244,FZ71+FY72-GH71)))</f>
        <v>810.40000000000009</v>
      </c>
      <c r="GA72" s="17">
        <f>FZ72*VLOOKUP('Données projet'!$B$17,Paramètres!$A$1:$I$89,3,0)*VLOOKUP('Données projet'!$B$17,Paramètres!$A$1:$I$89,5,0)</f>
        <v>400.33760000000007</v>
      </c>
      <c r="GB72" s="13">
        <f t="shared" si="103"/>
        <v>91.845105079328206</v>
      </c>
      <c r="GC72" s="20">
        <f t="shared" si="79"/>
        <v>857.21821134649679</v>
      </c>
      <c r="GD72" s="59">
        <f t="shared" si="80"/>
        <v>1150.5515446798302</v>
      </c>
      <c r="GE72" s="59">
        <f ca="1">AVERAGE(OFFSET($GD$3,0,0,'Données projet'!$E$17+1,1))-AVERAGE(OFFSET($H$3,0,0,'Données projet'!$E$17+1,1))</f>
        <v>434.08297999735811</v>
      </c>
      <c r="GF72" s="59">
        <f t="shared" si="104"/>
        <v>371.04090283546122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126.57452760789538</v>
      </c>
      <c r="GM72" s="21">
        <f>EXP(-LN(2)/25)*GM71+(1-EXP(-LN(2)/25))/(LN(2)/25)*Calculateur!GH72*Calculateur!GJ72*VLOOKUP('Données projet'!$B$17,Paramètres!$A$1:$I$89,3,0)*0.475*44/12</f>
        <v>17.537109789885026</v>
      </c>
      <c r="GN72" s="21">
        <f>EXP(-LN(2)/2)*GN71+(1-EXP(-LN(2)/2))/(LN(2)/2)*GH72*GK72*VLOOKUP('Données projet'!$B$17,Paramètres!$A$1:$I$89,3,0)*0.475*44/12</f>
        <v>1.0136687311785422E-6</v>
      </c>
      <c r="GO72" s="21">
        <f t="shared" si="81"/>
        <v>144.11163841144915</v>
      </c>
      <c r="GP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13.6</v>
      </c>
      <c r="GU72" s="12">
        <f>IF('Données projet'!$A$270&gt;35,GU71+GT72-HC71,IF(A72&lt;'Données projet'!$A$270,$GR$205^A72,IF(A72='Données projet'!$A$270,'Données projet'!$B$270,GU71+GT72-HC71)))</f>
        <v>503.40000000000003</v>
      </c>
      <c r="GV72" s="17">
        <f>GU72*VLOOKUP('Données projet'!$B$18,Paramètres!$A$1:$I$89,3,0)*VLOOKUP('Données projet'!$B$18,Paramètres!$A$1:$I$89,5,0)</f>
        <v>287.94480000000004</v>
      </c>
      <c r="GW72" s="13">
        <f t="shared" si="105"/>
        <v>68.643229736907927</v>
      </c>
      <c r="GX72" s="20">
        <f t="shared" si="82"/>
        <v>621.05748512511468</v>
      </c>
      <c r="GY72" s="59">
        <f t="shared" si="83"/>
        <v>914.39081845844794</v>
      </c>
      <c r="GZ72" s="59">
        <f ca="1">AVERAGE(OFFSET($GY$3,0,0,'Données projet'!$E$18+1,1))-AVERAGE(OFFSET($H$3,0,0,'Données projet'!$E$18+1,1))</f>
        <v>362.57172983134313</v>
      </c>
      <c r="HA72" s="59">
        <f t="shared" si="106"/>
        <v>232.03250917542471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76.907016518348172</v>
      </c>
      <c r="HH72" s="21">
        <f>EXP(-LN(2)/25)*HH71+(1-EXP(-LN(2)/25))/(LN(2)/25)*Calculateur!HC72*Calculateur!HE72*VLOOKUP('Données projet'!$B$18,Paramètres!$A$1:$I$89,3,0)*0.475*44/12</f>
        <v>10.572611643662743</v>
      </c>
      <c r="HI72" s="21">
        <f>EXP(-LN(2)/2)*HI71+(1-EXP(-LN(2)/2))/(LN(2)/2)*HC72*HF72*VLOOKUP('Données projet'!$B$18,Paramètres!$A$1:$I$89,3,0)*0.475*44/12</f>
        <v>1.0099465693749488E-6</v>
      </c>
      <c r="HJ72" s="22">
        <f t="shared" si="84"/>
        <v>87.479629171957484</v>
      </c>
    </row>
    <row r="73" spans="1:218" x14ac:dyDescent="0.3">
      <c r="A73" s="10">
        <f t="shared" si="85"/>
        <v>70</v>
      </c>
      <c r="B73" s="71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5">
        <f t="shared" si="56"/>
        <v>369.92213676137879</v>
      </c>
      <c r="I73" s="6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263</v>
      </c>
      <c r="L73" s="12">
        <f>VLOOKUP(A73,'Données projet'!$A$35:$I$55,9,0)</f>
        <v>3.8</v>
      </c>
      <c r="M73" s="12">
        <f t="array" ref="M73">INDEX(L:L,MIN(IF(ISNUMBER(L73:L269),ROW(L73:L269),"")))</f>
        <v>3.8</v>
      </c>
      <c r="N73" s="13">
        <f>IF('Données projet'!$A$36&gt;35,N72+M73-V72,IF(A73&lt;'Données projet'!$A$36,$K$205^A73,IF(A73='Données projet'!$A$36,'Données projet'!$B$36,N72+M73-V72)))</f>
        <v>262.99999999999989</v>
      </c>
      <c r="O73" s="13">
        <f>N73*VLOOKUP('Données projet'!$B$9,Paramètres!$A$1:$I$89,3,0)*VLOOKUP('Données projet'!$B$9,Paramètres!$A$1:$I$89,5,0)</f>
        <v>209.2427999999999</v>
      </c>
      <c r="P73" s="13">
        <f t="shared" si="87"/>
        <v>51.770083677016814</v>
      </c>
      <c r="Q73" s="20">
        <f t="shared" si="54"/>
        <v>454.59743907080406</v>
      </c>
      <c r="R73" s="59">
        <f t="shared" si="55"/>
        <v>747.93077240413731</v>
      </c>
      <c r="S73" s="59">
        <f ca="1">AVERAGE(OFFSET($R$3,0,0,'Données projet'!$E$9+1,1))-AVERAGE(OFFSET($H$3,0,0,'Données projet'!$E$9+1,1))</f>
        <v>225.2323446080772</v>
      </c>
      <c r="T73" s="59">
        <f t="shared" si="88"/>
        <v>222.29030402759292</v>
      </c>
      <c r="U73" s="15">
        <f>IF(ISNA(VLOOKUP(A73,'Données projet'!$A$35:$I$55,3,0)),0,VLOOKUP(A73,'Données projet'!$A$35:$I$55,3,0))</f>
        <v>12</v>
      </c>
      <c r="V73" s="15">
        <f>IF(ISNA(VLOOKUP(A73,'Données projet'!$A$35:$I$55,4,0)),0,VLOOKUP(A73,'Données projet'!$A$35:$I$55,4,0))</f>
        <v>10</v>
      </c>
      <c r="W73" s="16">
        <f>IF(ISNA(VLOOKUP(A73,'Données projet'!$A$35:$I$55,5,0)),0%,VLOOKUP(A73,'Données projet'!$A$35:$I$55,5,0)*VLOOKUP('Données projet'!$B$9,Paramètres!$A$1:$I$89,7,0))</f>
        <v>0.53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43.711253465734799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43.711253465734799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711</v>
      </c>
      <c r="AG73" s="12">
        <f>VLOOKUP(A73,'Données projet'!$A$61:$I$81,9,0)</f>
        <v>18</v>
      </c>
      <c r="AH73" s="12">
        <f t="array" ref="AH73">INDEX(AG:AG,MIN(IF(ISNUMBER(AG73:AG269),ROW(AG73:AG269),"")))</f>
        <v>18</v>
      </c>
      <c r="AI73" s="13">
        <f>IF('Données projet'!$A$62&gt;35,AI72+AH73-AQ72,IF(A73&lt;'Données projet'!$A$62,$AF$205^A73,IF(A73='Données projet'!$A$62,'Données projet'!$B$62,AI72+AH73-AQ72)))</f>
        <v>711.00000000000011</v>
      </c>
      <c r="AJ73" s="13">
        <f>AI73*VLOOKUP('Données projet'!$B$10,Paramètres!$A$1:$I$89,3,0)*VLOOKUP('Données projet'!$B$10,Paramètres!$A$1:$I$89,5,0)</f>
        <v>351.23400000000009</v>
      </c>
      <c r="AK73" s="13">
        <f t="shared" si="89"/>
        <v>81.816552582962743</v>
      </c>
      <c r="AL73" s="20">
        <f t="shared" si="58"/>
        <v>754.22971241532696</v>
      </c>
      <c r="AM73" s="59">
        <f t="shared" si="59"/>
        <v>1047.5630457486602</v>
      </c>
      <c r="AN73" s="59">
        <f ca="1">AVERAGE(OFFSET($AM$3,0,0,'Données projet'!$E$10+1,1))-AVERAGE(OFFSET($H$3,0,0,'Données projet'!$E$10+1,1))</f>
        <v>360.05819346986135</v>
      </c>
      <c r="AO73" s="59">
        <f t="shared" si="90"/>
        <v>300.47468388351081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48</v>
      </c>
      <c r="AR73" s="16">
        <f>IF(ISNA(VLOOKUP(A73,'Données projet'!$A$61:$I$81,5,0)),0%,VLOOKUP(A73,'Données projet'!$A$61:$I$81,5,0)*VLOOKUP('Données projet'!$B$10,Paramètres!$A$1:$I$89,7,0))</f>
        <v>0.55000000000000004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119.46974137755655</v>
      </c>
      <c r="AV73" s="21">
        <f>EXP(-LN(2)/25)*AV72+(1-EXP(-LN(2)/25))/(LN(2)/25)*Calculateur!AQ73*Calculateur!AS73*VLOOKUP('Données projet'!$B$10,Paramètres!$A$1:$I$89,3,0)*0.475*44/12</f>
        <v>13.956182673090614</v>
      </c>
      <c r="AW73" s="21">
        <f>EXP(-LN(2)/2)*AW72+(1-EXP(-LN(2)/2))/(LN(2)/2)*AQ73*AT73*VLOOKUP('Données projet'!$B$10,Paramètres!$A$1:$I$89,3,0)*0.475*44/12</f>
        <v>5.0007351187891438E-8</v>
      </c>
      <c r="AX73" s="21">
        <f t="shared" si="60"/>
        <v>133.4259241006545</v>
      </c>
      <c r="AY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388</v>
      </c>
      <c r="BB73" s="12">
        <f>VLOOKUP(A73,'Données projet'!$A$87:$I$107,9,0)</f>
        <v>11</v>
      </c>
      <c r="BC73" s="12">
        <f t="array" ref="BC73">INDEX(BB:BB,MIN(IF(ISNUMBER(BB73:BB269),ROW(BB73:BB269),"")))</f>
        <v>11</v>
      </c>
      <c r="BD73" s="12">
        <f>IF('Données projet'!$A$88&gt;35,BD72+BC73-BL72,IF(A73&lt;'Données projet'!$A$88,$BA$205^A73,IF(A73='Données projet'!$A$88,'Données projet'!$B$88,BD72+BC73-BL72)))</f>
        <v>387.99999999999994</v>
      </c>
      <c r="BE73" s="13">
        <f>BD73*VLOOKUP('Données projet'!$B$11,Paramètres!$A$1:$I$89,3,0)*VLOOKUP('Données projet'!$B$11,Paramètres!$A$1:$I$89,5,0)</f>
        <v>221.93599999999998</v>
      </c>
      <c r="BF73" s="13">
        <f t="shared" si="91"/>
        <v>54.535450950960957</v>
      </c>
      <c r="BG73" s="20">
        <f t="shared" si="61"/>
        <v>481.52111040625704</v>
      </c>
      <c r="BH73" s="59">
        <f t="shared" si="62"/>
        <v>774.85444373959035</v>
      </c>
      <c r="BI73" s="59">
        <f ca="1">AVERAGE(OFFSET($BH$3,0,0,'Données projet'!$E$11+1,1))-AVERAGE(OFFSET($H$3,0,0,'Données projet'!$E$11+1,1))</f>
        <v>250.90038883668348</v>
      </c>
      <c r="BJ73" s="59">
        <f t="shared" si="92"/>
        <v>141.96132114475608</v>
      </c>
      <c r="BK73" s="15">
        <f>IF(ISNA(VLOOKUP(A73,'Données projet'!$A$87:$I$107,3,0)),0,VLOOKUP(A73,'Données projet'!$A$87:$I$107,3,0))</f>
        <v>10</v>
      </c>
      <c r="BL73" s="15">
        <f>IF(ISNA(VLOOKUP(A73,'Données projet'!$A$87:$I$107,4,0)),0,VLOOKUP(A73,'Données projet'!$A$87:$I$107,4,0))</f>
        <v>30</v>
      </c>
      <c r="BM73" s="16">
        <f>IF(ISNA(VLOOKUP(A73,'Données projet'!$A$87:$I$107,5,0)),0%,VLOOKUP(A73,'Données projet'!$A$87:$I$107,5,0)*VLOOKUP('Données projet'!$B$11,Paramètres!$A$1:$I$89,7,0))</f>
        <v>0.45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67.032610037478221</v>
      </c>
      <c r="BQ73" s="21">
        <f>EXP(-LN(2)/25)*BQ72+(1-EXP(-LN(2)/25))/(LN(2)/25)*Calculateur!BL73*Calculateur!BN73*VLOOKUP('Données projet'!$B$11,Paramètres!$A$1:$I$89,3,0)*0.475*44/12</f>
        <v>3.9268434896960387</v>
      </c>
      <c r="BR73" s="21">
        <f>EXP(-LN(2)/2)*BR72+(1-EXP(-LN(2)/2))/(LN(2)/2)*BL73*BO73*VLOOKUP('Données projet'!$B$11,Paramètres!$A$1:$I$89,3,0)*0.475*44/12</f>
        <v>3.6030526258782087E-6</v>
      </c>
      <c r="BS73" s="22">
        <f t="shared" si="63"/>
        <v>70.95945713022688</v>
      </c>
      <c r="BT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316</v>
      </c>
      <c r="BW73" s="12">
        <f>VLOOKUP(A73,'Données projet'!$A$113:$I$133,9,0)</f>
        <v>4.5999999999999996</v>
      </c>
      <c r="BX73" s="12">
        <f t="array" ref="BX73">INDEX(BW:BW,MIN(IF(ISNUMBER(BW73:BW269),ROW(BW73:BW269),"")))</f>
        <v>4.5999999999999996</v>
      </c>
      <c r="BY73" s="12">
        <f>IF('Données projet'!$A$114&gt;35,BY72+BX73-CG72,IF(A73&lt;'Données projet'!$A$114,$BV$205^A73,IF(A73='Données projet'!$A$114,'Données projet'!$B$114,BY72+BX73-CG72)))</f>
        <v>315.99999999999994</v>
      </c>
      <c r="BZ73" s="13">
        <f>BY73*VLOOKUP('Données projet'!$B$12,Paramètres!$A$1:$I$89,3,0)*VLOOKUP('Données projet'!$B$12,Paramètres!$A$1:$I$89,5,0)</f>
        <v>251.40959999999995</v>
      </c>
      <c r="CA73" s="13">
        <f t="shared" si="93"/>
        <v>60.887686632376123</v>
      </c>
      <c r="CB73" s="20">
        <f t="shared" si="64"/>
        <v>543.917774218055</v>
      </c>
      <c r="CC73" s="59">
        <f t="shared" si="65"/>
        <v>837.25110755138826</v>
      </c>
      <c r="CD73" s="59">
        <f ca="1">AVERAGE(OFFSET($CC$3,0,0,'Données projet'!$E$12+1,1))-AVERAGE(OFFSET($H$3,0,0,'Données projet'!$E$12+1,1))</f>
        <v>279.49721661620544</v>
      </c>
      <c r="CE73" s="59">
        <f t="shared" si="94"/>
        <v>275.18739333988754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13</v>
      </c>
      <c r="CH73" s="16">
        <f>IF(ISNA(VLOOKUP(A73,'Données projet'!$A$113:$I$133,5,0)),0%,VLOOKUP(A73,'Données projet'!$A$113:$I$133,5,0)*VLOOKUP('Données projet'!$B$12,Paramètres!$A$1:$I$89,7,0))</f>
        <v>0.53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52.386303394971065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52.386303394971065</v>
      </c>
      <c r="CO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771</v>
      </c>
      <c r="CR73" s="12">
        <f>VLOOKUP(A73,'Données projet'!$A$139:$I$159,9,0)</f>
        <v>19.600000000000001</v>
      </c>
      <c r="CS73" s="12">
        <f t="array" ref="CS73">INDEX(CR:CR,MIN(IF(ISNUMBER(CR73:CR269),ROW(CR73:CR269),"")))</f>
        <v>19.600000000000001</v>
      </c>
      <c r="CT73" s="12">
        <f>IF('Données projet'!$A$140&gt;35,CT72+CS73-DB72,IF(A73&lt;'Données projet'!$A$140,$CQ$205^A73,IF(A73='Données projet'!$A$140,'Données projet'!$B$140,CT72+CS73-DB72)))</f>
        <v>771</v>
      </c>
      <c r="CU73" s="17">
        <f>CT73*VLOOKUP('Données projet'!$B$13,Paramètres!$A$1:$I$89,3,0)*VLOOKUP('Données projet'!$B$13,Paramètres!$A$1:$I$89,5,0)</f>
        <v>380.87400000000002</v>
      </c>
      <c r="CV73" s="13">
        <f t="shared" si="95"/>
        <v>87.888174788218237</v>
      </c>
      <c r="CW73" s="20">
        <f t="shared" si="67"/>
        <v>816.42745442281341</v>
      </c>
      <c r="CX73" s="59">
        <f t="shared" si="68"/>
        <v>1109.7607877561468</v>
      </c>
      <c r="CY73" s="59">
        <f ca="1">AVERAGE(OFFSET($CX$3,0,0,'Données projet'!$E$13+1,1))-AVERAGE(OFFSET($H$3,0,0,'Données projet'!$E$13+1,1))</f>
        <v>396.27049617044378</v>
      </c>
      <c r="CZ73" s="59">
        <f t="shared" si="96"/>
        <v>335.2680289568774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54</v>
      </c>
      <c r="DC73" s="16">
        <f>IF(ISNA(VLOOKUP(A73,'Données projet'!$A$139:$I$159,5,0)),0%,VLOOKUP(A73,'Données projet'!$A$139:$I$159,5,0)*VLOOKUP('Données projet'!$B$13,Paramètres!$A$1:$I$89,7,0))</f>
        <v>0.55000000000000004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132.5939367272376</v>
      </c>
      <c r="DG73" s="21">
        <f>EXP(-LN(2)/25)*DG72+(1-EXP(-LN(2)/25))/(LN(2)/25)*Calculateur!DB73*Calculateur!DD73*VLOOKUP('Données projet'!$B$13,Paramètres!$A$1:$I$89,3,0)*0.475*44/12</f>
        <v>15.506869636767354</v>
      </c>
      <c r="DH73" s="21">
        <f>EXP(-LN(2)/2)*DH72+(1-EXP(-LN(2)/2))/(LN(2)/2)*DB73*DE73*VLOOKUP('Données projet'!$B$13,Paramètres!$A$1:$I$89,3,0)*0.475*44/12</f>
        <v>3.6672057537787078E-7</v>
      </c>
      <c r="DI73" s="22">
        <f t="shared" si="69"/>
        <v>148.10080673072554</v>
      </c>
      <c r="DJ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451</v>
      </c>
      <c r="DM73" s="12">
        <f>VLOOKUP(A73,'Données projet'!$A$165:$I$185,9,0)</f>
        <v>12.2</v>
      </c>
      <c r="DN73" s="12">
        <f t="array" ref="DN73">INDEX(DM:DM,MIN(IF(ISNUMBER(DM73:DM269),ROW(DM73:DM269),"")))</f>
        <v>12.2</v>
      </c>
      <c r="DO73" s="12">
        <f>IF('Données projet'!$A$166&gt;35,DO72+DN73-DW72,IF(A73&lt;'Données projet'!$A$166,$DL$205^A73,IF(A73='Données projet'!$A$166,'Données projet'!$B$166,DO72+DN73-DW72)))</f>
        <v>450.99999999999972</v>
      </c>
      <c r="DP73" s="17">
        <f>DO73*VLOOKUP('Données projet'!$B$14,Paramètres!$A$1:$I$89,3,0)*VLOOKUP('Données projet'!$B$14,Paramètres!$A$1:$I$89,5,0)</f>
        <v>257.97199999999987</v>
      </c>
      <c r="DQ73" s="13">
        <f t="shared" si="97"/>
        <v>62.289893496218305</v>
      </c>
      <c r="DR73" s="20">
        <f t="shared" si="70"/>
        <v>557.78946450591332</v>
      </c>
      <c r="DS73" s="59">
        <f t="shared" si="71"/>
        <v>851.12279783924669</v>
      </c>
      <c r="DT73" s="59">
        <f ca="1">AVERAGE(OFFSET($DS$3,0,0,'Données projet'!$E$14+1,1))-AVERAGE(OFFSET($H$3,0,0,'Données projet'!$E$14+1,1))</f>
        <v>307.43900954374504</v>
      </c>
      <c r="DU73" s="59">
        <f t="shared" si="98"/>
        <v>185.25270859048999</v>
      </c>
      <c r="DV73" s="15">
        <f>IF(ISNA(VLOOKUP(A73,'Données projet'!$A$165:$I$185,3,0)),0,VLOOKUP(A73,'Données projet'!$A$165:$I$185,3,0))</f>
        <v>11</v>
      </c>
      <c r="DW73" s="15">
        <f>IF(ISNA(VLOOKUP(A73,'Données projet'!$A$165:$I$185,4,0)),0,VLOOKUP(A73,'Données projet'!$A$165:$I$185,4,0))</f>
        <v>33</v>
      </c>
      <c r="DX73" s="16">
        <f>IF(ISNA(VLOOKUP(A73,'Données projet'!$A$165:$I$185,5,0)),0%,VLOOKUP(A73,'Données projet'!$A$165:$I$185,5,0)*VLOOKUP('Données projet'!$B$14,Paramètres!$A$1:$I$89,7,0))</f>
        <v>0.45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78.050446931328665</v>
      </c>
      <c r="EB73" s="21">
        <f>EXP(-LN(2)/25)*EB72+(1-EXP(-LN(2)/25))/(LN(2)/25)*Calculateur!DW73*Calculateur!DY73*VLOOKUP('Données projet'!$B$14,Paramètres!$A$1:$I$89,3,0)*0.475*44/12</f>
        <v>8.8144311619519673</v>
      </c>
      <c r="EC73" s="21">
        <f>EXP(-LN(2)/2)*EC72+(1-EXP(-LN(2)/2))/(LN(2)/2)*DW73*DZ73*VLOOKUP('Données projet'!$B$14,Paramètres!$A$1:$I$89,3,0)*0.475*44/12</f>
        <v>3.4741949246324585E-7</v>
      </c>
      <c r="ED73" s="22">
        <f t="shared" si="72"/>
        <v>86.864878440700124</v>
      </c>
      <c r="EE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401</v>
      </c>
      <c r="EK73" s="17">
        <f>EJ73*VLOOKUP('Données projet'!$B$15,Paramètres!$A$1:$I$89,3,0)*VLOOKUP('Données projet'!$B$15,Paramètres!$A$1:$I$89,5,0)</f>
        <v>250.22399999999999</v>
      </c>
      <c r="EL73" s="13">
        <f t="shared" si="99"/>
        <v>60.633904580527918</v>
      </c>
      <c r="EM73" s="20">
        <f t="shared" si="73"/>
        <v>541.41085047775289</v>
      </c>
      <c r="EN73" s="59">
        <f t="shared" si="74"/>
        <v>834.74418381108626</v>
      </c>
      <c r="EO73" s="59">
        <f ca="1">AVERAGE(OFFSET($EN$3,0,0,'Données projet'!$E$15+1,1))-AVERAGE(OFFSET($H$3,0,0,'Données projet'!$E$15+1,1))</f>
        <v>269.77739619445515</v>
      </c>
      <c r="EP73" s="59">
        <f t="shared" si="100"/>
        <v>347.56964743629885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62.819929510464682</v>
      </c>
      <c r="EW73" s="21">
        <f>EXP(-LN(2)/25)*EW72+(1-EXP(-LN(2)/25))/(LN(2)/25)*Calculateur!ER73*Calculateur!ET73*VLOOKUP('Données projet'!$B$15,Paramètres!$A$1:$I$89,3,0)*0.475*44/12</f>
        <v>30.263637011157197</v>
      </c>
      <c r="EX73" s="21">
        <f>EXP(-LN(2)/2)*EX72+(1-EXP(-LN(2)/2))/(LN(2)/2)*ER73*EU73*VLOOKUP('Données projet'!$B$15,Paramètres!$A$1:$I$89,3,0)*0.475*44/12</f>
        <v>2.3687692667948584E-8</v>
      </c>
      <c r="EY73" s="22">
        <f t="shared" si="75"/>
        <v>93.083566545309566</v>
      </c>
      <c r="EZ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366</v>
      </c>
      <c r="FC73" s="12">
        <f>VLOOKUP(A73,'Données projet'!$A$217:$I$237,9,0)</f>
        <v>5.2</v>
      </c>
      <c r="FD73" s="12">
        <f t="array" ref="FD73">INDEX(FC:FC,MIN(IF(ISNUMBER(FC73:FC269),ROW(FC73:FC269),"")))</f>
        <v>5.2</v>
      </c>
      <c r="FE73" s="12">
        <f>IF('Données projet'!$A$218&gt;35,FE72+FD73-FM72,IF(A73&lt;'Données projet'!$A$218,$FB$205^A73,IF(A73='Données projet'!$A$218,'Données projet'!$B$218,FE72+FD73-FM72)))</f>
        <v>365.99999999999966</v>
      </c>
      <c r="FF73" s="17">
        <f>FE73*VLOOKUP('Données projet'!$B$16,Paramètres!$A$1:$I$89,3,0)*VLOOKUP('Données projet'!$B$16,Paramètres!$A$1:$I$89,5,0)</f>
        <v>291.18959999999976</v>
      </c>
      <c r="FG73" s="13">
        <f t="shared" si="101"/>
        <v>69.326273255048633</v>
      </c>
      <c r="FH73" s="20">
        <f t="shared" si="76"/>
        <v>627.89847925254264</v>
      </c>
      <c r="FI73" s="59">
        <f t="shared" si="77"/>
        <v>921.23181258587601</v>
      </c>
      <c r="FJ73" s="59">
        <f ca="1">AVERAGE(OFFSET($FI$3,0,0,'Données projet'!$E$16+1,1))-AVERAGE(OFFSET($H$3,0,0,'Données projet'!$E$16+1,1))</f>
        <v>331.52724290297675</v>
      </c>
      <c r="FK73" s="59">
        <f t="shared" si="102"/>
        <v>322.79102610158054</v>
      </c>
      <c r="FL73" s="15">
        <f>IF(ISNA(VLOOKUP(A73,'Données projet'!$A$217:$I$237,3,0)),0,VLOOKUP(A73,'Données projet'!$A$217:$I$237,3,0))</f>
        <v>13</v>
      </c>
      <c r="FM73" s="15">
        <f>IF(ISNA(VLOOKUP(A73,'Données projet'!$A$217:$I$237,4,0)),0,VLOOKUP(A73,'Données projet'!$A$217:$I$237,4,0))</f>
        <v>15</v>
      </c>
      <c r="FN73" s="16">
        <f>IF(ISNA(VLOOKUP(A73,'Données projet'!$A$217:$I$237,5,0)),0%,VLOOKUP(A73,'Données projet'!$A$217:$I$237,5,0)*VLOOKUP('Données projet'!$B$16,Paramètres!$A$1:$I$89,7,0))</f>
        <v>0.53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60.538795837442109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60.538795837442109</v>
      </c>
      <c r="FU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832</v>
      </c>
      <c r="FX73" s="12">
        <f>VLOOKUP(A73,'Données projet'!$A$243:$I$263,9,0)</f>
        <v>21.6</v>
      </c>
      <c r="FY73" s="12">
        <f t="array" ref="FY73">INDEX(FX:FX,MIN(IF(ISNUMBER(FX73:FX269),ROW(FX73:FX269),"")))</f>
        <v>21.6</v>
      </c>
      <c r="FZ73" s="12">
        <f>IF('Données projet'!$A$244&gt;35,FZ72+FY73-GH72,IF(A73&lt;'Données projet'!$A$244,$FW$205^A73,IF(A73='Données projet'!$A$244,'Données projet'!$B$244,FZ72+FY73-GH72)))</f>
        <v>832.00000000000011</v>
      </c>
      <c r="GA73" s="17">
        <f>FZ73*VLOOKUP('Données projet'!$B$17,Paramètres!$A$1:$I$89,3,0)*VLOOKUP('Données projet'!$B$17,Paramètres!$A$1:$I$89,5,0)</f>
        <v>411.00800000000004</v>
      </c>
      <c r="GB73" s="13">
        <f t="shared" si="103"/>
        <v>94.004829930397378</v>
      </c>
      <c r="GC73" s="20">
        <f t="shared" si="79"/>
        <v>879.56401212877552</v>
      </c>
      <c r="GD73" s="59">
        <f t="shared" si="80"/>
        <v>1172.8973454621089</v>
      </c>
      <c r="GE73" s="59">
        <f ca="1">AVERAGE(OFFSET($GD$3,0,0,'Données projet'!$E$17+1,1))-AVERAGE(OFFSET($H$3,0,0,'Données projet'!$E$17+1,1))</f>
        <v>434.08297999735811</v>
      </c>
      <c r="GF73" s="59">
        <f t="shared" si="104"/>
        <v>371.04090283546122</v>
      </c>
      <c r="GG73" s="15">
        <f>IF(ISNA(VLOOKUP(A73,'Données projet'!$A$243:$I$263,3,0)),0,VLOOKUP(A73,'Données projet'!$A$243:$I$263,3,0))</f>
        <v>11</v>
      </c>
      <c r="GH73" s="15">
        <f>IF(ISNA(VLOOKUP(A73,'Données projet'!$A$243:$I$263,4,0)),0,VLOOKUP(A73,'Données projet'!$A$243:$I$263,4,0))</f>
        <v>60</v>
      </c>
      <c r="GI73" s="16">
        <f>IF(ISNA(VLOOKUP(A73,'Données projet'!$A$243:$I$263,5,0)),0%,VLOOKUP(A73,'Données projet'!$A$243:$I$263,5,0)*VLOOKUP('Données projet'!$B$17,Paramètres!$A$1:$I$89,7,0))</f>
        <v>0.55000000000000004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145.71813207691864</v>
      </c>
      <c r="GM73" s="21">
        <f>EXP(-LN(2)/25)*GM72+(1-EXP(-LN(2)/25))/(LN(2)/25)*Calculateur!GH73*Calculateur!GJ73*VLOOKUP('Données projet'!$B$17,Paramètres!$A$1:$I$89,3,0)*0.475*44/12</f>
        <v>17.057556600444098</v>
      </c>
      <c r="GN73" s="21">
        <f>EXP(-LN(2)/2)*GN72+(1-EXP(-LN(2)/2))/(LN(2)/2)*GH73*GK73*VLOOKUP('Données projet'!$B$17,Paramètres!$A$1:$I$89,3,0)*0.475*44/12</f>
        <v>7.167720336931107E-7</v>
      </c>
      <c r="GO73" s="21">
        <f t="shared" si="81"/>
        <v>162.77568939413476</v>
      </c>
      <c r="GP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517</v>
      </c>
      <c r="GS73" s="12">
        <f>VLOOKUP(A73,'Données projet'!$A$269:$I$289,9,0)</f>
        <v>13.6</v>
      </c>
      <c r="GT73" s="12">
        <f t="array" ref="GT73">INDEX(GS:GS,MIN(IF(ISNUMBER(GS73:GS269),ROW(GS73:GS269),"")))</f>
        <v>13.6</v>
      </c>
      <c r="GU73" s="12">
        <f>IF('Données projet'!$A$270&gt;35,GU72+GT73-HC72,IF(A73&lt;'Données projet'!$A$270,$GR$205^A73,IF(A73='Données projet'!$A$270,'Données projet'!$B$270,GU72+GT73-HC72)))</f>
        <v>517</v>
      </c>
      <c r="GV73" s="17">
        <f>GU73*VLOOKUP('Données projet'!$B$18,Paramètres!$A$1:$I$89,3,0)*VLOOKUP('Données projet'!$B$18,Paramètres!$A$1:$I$89,5,0)</f>
        <v>295.72399999999999</v>
      </c>
      <c r="GW73" s="13">
        <f t="shared" si="105"/>
        <v>70.279302043742433</v>
      </c>
      <c r="GX73" s="20">
        <f t="shared" si="82"/>
        <v>637.45575105951809</v>
      </c>
      <c r="GY73" s="59">
        <f t="shared" si="83"/>
        <v>930.78908439285146</v>
      </c>
      <c r="GZ73" s="59">
        <f ca="1">AVERAGE(OFFSET($GY$3,0,0,'Données projet'!$E$18+1,1))-AVERAGE(OFFSET($H$3,0,0,'Données projet'!$E$18+1,1))</f>
        <v>362.57172983134313</v>
      </c>
      <c r="HA73" s="59">
        <f t="shared" si="106"/>
        <v>232.03250917542471</v>
      </c>
      <c r="HB73" s="15">
        <f>IF(ISNA(VLOOKUP(A73,'Données projet'!$A$269:$I$289,3,0)),0,VLOOKUP(A73,'Données projet'!$A$269:$I$289,3,0))</f>
        <v>11</v>
      </c>
      <c r="HC73" s="15">
        <f>IF(ISNA(VLOOKUP(A73,'Données projet'!$A$269:$I$289,4,0)),0,VLOOKUP(A73,'Données projet'!$A$269:$I$289,4,0))</f>
        <v>36</v>
      </c>
      <c r="HD73" s="16">
        <f>IF(ISNA(VLOOKUP(A73,'Données projet'!$A$269:$I$289,5,0)),0%,VLOOKUP(A73,'Données projet'!$A$269:$I$289,5,0)*VLOOKUP('Données projet'!$B$18,Paramètres!$A$1:$I$89,7,0))</f>
        <v>0.45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87.691393702956546</v>
      </c>
      <c r="HH73" s="21">
        <f>EXP(-LN(2)/25)*HH72+(1-EXP(-LN(2)/25))/(LN(2)/25)*Calculateur!HC73*Calculateur!HE73*VLOOKUP('Données projet'!$B$18,Paramètres!$A$1:$I$89,3,0)*0.475*44/12</f>
        <v>10.283503022277303</v>
      </c>
      <c r="HI73" s="21">
        <f>EXP(-LN(2)/2)*HI72+(1-EXP(-LN(2)/2))/(LN(2)/2)*HC73*HF73*VLOOKUP('Données projet'!$B$18,Paramètres!$A$1:$I$89,3,0)*0.475*44/12</f>
        <v>7.1414006784111626E-7</v>
      </c>
      <c r="HJ73" s="22">
        <f t="shared" si="84"/>
        <v>97.974897439373919</v>
      </c>
    </row>
    <row r="74" spans="1:218" x14ac:dyDescent="0.3">
      <c r="A74" s="10">
        <f t="shared" si="85"/>
        <v>71</v>
      </c>
      <c r="B74" s="71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5">
        <f t="shared" si="56"/>
        <v>370.98623205696038</v>
      </c>
      <c r="I74" s="6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3.4</v>
      </c>
      <c r="N74" s="13">
        <f>IF('Données projet'!$A$36&gt;35,N73+M74-V73,IF(A74&lt;'Données projet'!$A$36,$K$205^A74,IF(A74='Données projet'!$A$36,'Données projet'!$B$36,N73+M74-V73)))</f>
        <v>256.39999999999986</v>
      </c>
      <c r="O74" s="13">
        <f>N74*VLOOKUP('Données projet'!$B$9,Paramètres!$A$1:$I$89,3,0)*VLOOKUP('Données projet'!$B$9,Paramètres!$A$1:$I$89,5,0)</f>
        <v>203.99183999999988</v>
      </c>
      <c r="P74" s="13">
        <f t="shared" si="87"/>
        <v>50.620441749347997</v>
      </c>
      <c r="Q74" s="20">
        <f t="shared" si="54"/>
        <v>443.44972404678083</v>
      </c>
      <c r="R74" s="59">
        <f t="shared" si="55"/>
        <v>736.78305738011409</v>
      </c>
      <c r="S74" s="59">
        <f ca="1">AVERAGE(OFFSET($R$3,0,0,'Données projet'!$E$9+1,1))-AVERAGE(OFFSET($H$3,0,0,'Données projet'!$E$9+1,1))</f>
        <v>225.2323446080772</v>
      </c>
      <c r="T74" s="59">
        <f t="shared" si="88"/>
        <v>222.29030402759292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42.854102446503774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42.854102446503774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16.8</v>
      </c>
      <c r="AI74" s="13">
        <f>IF('Données projet'!$A$62&gt;35,AI73+AH74-AQ73,IF(A74&lt;'Données projet'!$A$62,$AF$205^A74,IF(A74='Données projet'!$A$62,'Données projet'!$B$62,AI73+AH74-AQ73)))</f>
        <v>679.80000000000007</v>
      </c>
      <c r="AJ74" s="13">
        <f>AI74*VLOOKUP('Données projet'!$B$10,Paramètres!$A$1:$I$89,3,0)*VLOOKUP('Données projet'!$B$10,Paramètres!$A$1:$I$89,5,0)</f>
        <v>335.82120000000003</v>
      </c>
      <c r="AK74" s="13">
        <f t="shared" si="89"/>
        <v>78.635959464567051</v>
      </c>
      <c r="AL74" s="20">
        <f t="shared" si="58"/>
        <v>721.84621940078762</v>
      </c>
      <c r="AM74" s="59">
        <f t="shared" si="59"/>
        <v>1015.179552734121</v>
      </c>
      <c r="AN74" s="59">
        <f ca="1">AVERAGE(OFFSET($AM$3,0,0,'Données projet'!$E$10+1,1))-AVERAGE(OFFSET($H$3,0,0,'Données projet'!$E$10+1,1))</f>
        <v>360.05819346986135</v>
      </c>
      <c r="AO74" s="59">
        <f t="shared" si="90"/>
        <v>300.47468388351081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117.12701261848966</v>
      </c>
      <c r="AV74" s="21">
        <f>EXP(-LN(2)/25)*AV73+(1-EXP(-LN(2)/25))/(LN(2)/25)*Calculateur!AQ74*Calculateur!AS74*VLOOKUP('Données projet'!$B$10,Paramètres!$A$1:$I$89,3,0)*0.475*44/12</f>
        <v>13.574550123971202</v>
      </c>
      <c r="AW74" s="21">
        <f>EXP(-LN(2)/2)*AW73+(1-EXP(-LN(2)/2))/(LN(2)/2)*AQ74*AT74*VLOOKUP('Données projet'!$B$10,Paramètres!$A$1:$I$89,3,0)*0.475*44/12</f>
        <v>3.5360537134135187E-8</v>
      </c>
      <c r="AX74" s="21">
        <f t="shared" si="60"/>
        <v>130.70156277782138</v>
      </c>
      <c r="AY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10</v>
      </c>
      <c r="BD74" s="12">
        <f>IF('Données projet'!$A$88&gt;35,BD73+BC74-BL73,IF(A74&lt;'Données projet'!$A$88,$BA$205^A74,IF(A74='Données projet'!$A$88,'Données projet'!$B$88,BD73+BC74-BL73)))</f>
        <v>367.99999999999994</v>
      </c>
      <c r="BE74" s="13">
        <f>BD74*VLOOKUP('Données projet'!$B$11,Paramètres!$A$1:$I$89,3,0)*VLOOKUP('Données projet'!$B$11,Paramètres!$A$1:$I$89,5,0)</f>
        <v>210.49599999999998</v>
      </c>
      <c r="BF74" s="13">
        <f t="shared" si="91"/>
        <v>52.043959291168463</v>
      </c>
      <c r="BG74" s="20">
        <f t="shared" si="61"/>
        <v>457.25709576545165</v>
      </c>
      <c r="BH74" s="59">
        <f t="shared" si="62"/>
        <v>750.59042909878497</v>
      </c>
      <c r="BI74" s="59">
        <f ca="1">AVERAGE(OFFSET($BH$3,0,0,'Données projet'!$E$11+1,1))-AVERAGE(OFFSET($H$3,0,0,'Données projet'!$E$11+1,1))</f>
        <v>250.90038883668348</v>
      </c>
      <c r="BJ74" s="59">
        <f t="shared" si="92"/>
        <v>141.96132114475608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65.718141440498258</v>
      </c>
      <c r="BQ74" s="21">
        <f>EXP(-LN(2)/25)*BQ73+(1-EXP(-LN(2)/25))/(LN(2)/25)*Calculateur!BL74*Calculateur!BN74*VLOOKUP('Données projet'!$B$11,Paramètres!$A$1:$I$89,3,0)*0.475*44/12</f>
        <v>3.8194637479665765</v>
      </c>
      <c r="BR74" s="21">
        <f>EXP(-LN(2)/2)*BR73+(1-EXP(-LN(2)/2))/(LN(2)/2)*BL74*BO74*VLOOKUP('Données projet'!$B$11,Paramètres!$A$1:$I$89,3,0)*0.475*44/12</f>
        <v>2.5477429447304784E-6</v>
      </c>
      <c r="BS74" s="22">
        <f t="shared" si="63"/>
        <v>69.537607736207789</v>
      </c>
      <c r="BT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4.2</v>
      </c>
      <c r="BY74" s="12">
        <f>IF('Données projet'!$A$114&gt;35,BY73+BX74-CG73,IF(A74&lt;'Données projet'!$A$114,$BV$205^A74,IF(A74='Données projet'!$A$114,'Données projet'!$B$114,BY73+BX74-CG73)))</f>
        <v>307.19999999999993</v>
      </c>
      <c r="BZ74" s="13">
        <f>BY74*VLOOKUP('Données projet'!$B$12,Paramètres!$A$1:$I$89,3,0)*VLOOKUP('Données projet'!$B$12,Paramètres!$A$1:$I$89,5,0)</f>
        <v>244.40831999999995</v>
      </c>
      <c r="CA74" s="13">
        <f t="shared" si="93"/>
        <v>59.38699493610541</v>
      </c>
      <c r="CB74" s="20">
        <f t="shared" si="64"/>
        <v>529.11017351371675</v>
      </c>
      <c r="CC74" s="59">
        <f t="shared" si="65"/>
        <v>822.44350684705</v>
      </c>
      <c r="CD74" s="59">
        <f ca="1">AVERAGE(OFFSET($CC$3,0,0,'Données projet'!$E$12+1,1))-AVERAGE(OFFSET($H$3,0,0,'Données projet'!$E$12+1,1))</f>
        <v>279.49721661620544</v>
      </c>
      <c r="CE74" s="59">
        <f t="shared" si="94"/>
        <v>275.18739333988754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51.359039937885704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51.359039937885704</v>
      </c>
      <c r="CO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17.8</v>
      </c>
      <c r="CT74" s="12">
        <f>IF('Données projet'!$A$140&gt;35,CT73+CS74-DB73,IF(A74&lt;'Données projet'!$A$140,$CQ$205^A74,IF(A74='Données projet'!$A$140,'Données projet'!$B$140,CT73+CS74-DB73)))</f>
        <v>734.8</v>
      </c>
      <c r="CU74" s="17">
        <f>CT74*VLOOKUP('Données projet'!$B$13,Paramètres!$A$1:$I$89,3,0)*VLOOKUP('Données projet'!$B$13,Paramètres!$A$1:$I$89,5,0)</f>
        <v>362.99119999999999</v>
      </c>
      <c r="CV74" s="13">
        <f t="shared" si="95"/>
        <v>84.231833805058656</v>
      </c>
      <c r="CW74" s="20">
        <f t="shared" si="67"/>
        <v>778.91345054381054</v>
      </c>
      <c r="CX74" s="59">
        <f t="shared" si="68"/>
        <v>1072.2467838771438</v>
      </c>
      <c r="CY74" s="59">
        <f ca="1">AVERAGE(OFFSET($CX$3,0,0,'Données projet'!$E$13+1,1))-AVERAGE(OFFSET($H$3,0,0,'Données projet'!$E$13+1,1))</f>
        <v>396.27049617044378</v>
      </c>
      <c r="CZ74" s="59">
        <f t="shared" si="96"/>
        <v>335.2680289568774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129.99385050233221</v>
      </c>
      <c r="DG74" s="21">
        <f>EXP(-LN(2)/25)*DG73+(1-EXP(-LN(2)/25))/(LN(2)/25)*Calculateur!DB74*Calculateur!DD74*VLOOKUP('Données projet'!$B$13,Paramètres!$A$1:$I$89,3,0)*0.475*44/12</f>
        <v>15.082833471079118</v>
      </c>
      <c r="DH74" s="21">
        <f>EXP(-LN(2)/2)*DH73+(1-EXP(-LN(2)/2))/(LN(2)/2)*DB74*DE74*VLOOKUP('Données projet'!$B$13,Paramètres!$A$1:$I$89,3,0)*0.475*44/12</f>
        <v>2.5931060565032488E-7</v>
      </c>
      <c r="DI74" s="22">
        <f t="shared" si="69"/>
        <v>145.07668423272193</v>
      </c>
      <c r="DJ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11.4</v>
      </c>
      <c r="DO74" s="12">
        <f>IF('Données projet'!$A$166&gt;35,DO73+DN74-DW73,IF(A74&lt;'Données projet'!$A$166,$DL$205^A74,IF(A74='Données projet'!$A$166,'Données projet'!$B$166,DO73+DN74-DW73)))</f>
        <v>429.39999999999969</v>
      </c>
      <c r="DP74" s="17">
        <f>DO74*VLOOKUP('Données projet'!$B$14,Paramètres!$A$1:$I$89,3,0)*VLOOKUP('Données projet'!$B$14,Paramètres!$A$1:$I$89,5,0)</f>
        <v>245.61679999999984</v>
      </c>
      <c r="DQ74" s="13">
        <f t="shared" si="97"/>
        <v>59.646380482774909</v>
      </c>
      <c r="DR74" s="20">
        <f t="shared" si="70"/>
        <v>531.66670600749933</v>
      </c>
      <c r="DS74" s="59">
        <f t="shared" si="71"/>
        <v>825.0000393408327</v>
      </c>
      <c r="DT74" s="59">
        <f ca="1">AVERAGE(OFFSET($DS$3,0,0,'Données projet'!$E$14+1,1))-AVERAGE(OFFSET($H$3,0,0,'Données projet'!$E$14+1,1))</f>
        <v>307.43900954374504</v>
      </c>
      <c r="DU74" s="59">
        <f t="shared" si="98"/>
        <v>185.25270859048999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76.519925273077234</v>
      </c>
      <c r="EB74" s="21">
        <f>EXP(-LN(2)/25)*EB73+(1-EXP(-LN(2)/25))/(LN(2)/25)*Calculateur!DW74*Calculateur!DY74*VLOOKUP('Données projet'!$B$14,Paramètres!$A$1:$I$89,3,0)*0.475*44/12</f>
        <v>8.5734000782976008</v>
      </c>
      <c r="EC74" s="21">
        <f>EXP(-LN(2)/2)*EC73+(1-EXP(-LN(2)/2))/(LN(2)/2)*DW74*DZ74*VLOOKUP('Données projet'!$B$14,Paramètres!$A$1:$I$89,3,0)*0.475*44/12</f>
        <v>2.4566267903714977E-7</v>
      </c>
      <c r="ED74" s="22">
        <f t="shared" si="72"/>
        <v>85.093325597037506</v>
      </c>
      <c r="EE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401</v>
      </c>
      <c r="EK74" s="17">
        <f>EJ74*VLOOKUP('Données projet'!$B$15,Paramètres!$A$1:$I$89,3,0)*VLOOKUP('Données projet'!$B$15,Paramètres!$A$1:$I$89,5,0)</f>
        <v>250.22399999999999</v>
      </c>
      <c r="EL74" s="13">
        <f t="shared" si="99"/>
        <v>60.633904580527918</v>
      </c>
      <c r="EM74" s="20">
        <f t="shared" si="73"/>
        <v>541.41085047775289</v>
      </c>
      <c r="EN74" s="59">
        <f t="shared" si="74"/>
        <v>834.74418381108626</v>
      </c>
      <c r="EO74" s="59">
        <f ca="1">AVERAGE(OFFSET($EN$3,0,0,'Données projet'!$E$15+1,1))-AVERAGE(OFFSET($H$3,0,0,'Données projet'!$E$15+1,1))</f>
        <v>269.77739619445515</v>
      </c>
      <c r="EP74" s="59">
        <f t="shared" si="100"/>
        <v>347.56964743629885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61.588069009138046</v>
      </c>
      <c r="EW74" s="21">
        <f>EXP(-LN(2)/25)*EW73+(1-EXP(-LN(2)/25))/(LN(2)/25)*Calculateur!ER74*Calculateur!ET74*VLOOKUP('Données projet'!$B$15,Paramètres!$A$1:$I$89,3,0)*0.475*44/12</f>
        <v>29.436076265591602</v>
      </c>
      <c r="EX74" s="21">
        <f>EXP(-LN(2)/2)*EX73+(1-EXP(-LN(2)/2))/(LN(2)/2)*ER74*EU74*VLOOKUP('Données projet'!$B$15,Paramètres!$A$1:$I$89,3,0)*0.475*44/12</f>
        <v>1.6749728116169305E-8</v>
      </c>
      <c r="EY74" s="22">
        <f t="shared" si="75"/>
        <v>91.024145291479371</v>
      </c>
      <c r="EZ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4.8</v>
      </c>
      <c r="FE74" s="12">
        <f>IF('Données projet'!$A$218&gt;35,FE73+FD74-FM73,IF(A74&lt;'Données projet'!$A$218,$FB$205^A74,IF(A74='Données projet'!$A$218,'Données projet'!$B$218,FE73+FD74-FM73)))</f>
        <v>355.79999999999967</v>
      </c>
      <c r="FF74" s="17">
        <f>FE74*VLOOKUP('Données projet'!$B$16,Paramètres!$A$1:$I$89,3,0)*VLOOKUP('Données projet'!$B$16,Paramètres!$A$1:$I$89,5,0)</f>
        <v>283.07447999999977</v>
      </c>
      <c r="FG74" s="13">
        <f t="shared" si="101"/>
        <v>67.616321363645156</v>
      </c>
      <c r="FH74" s="20">
        <f t="shared" si="76"/>
        <v>610.78647904168156</v>
      </c>
      <c r="FI74" s="59">
        <f t="shared" si="77"/>
        <v>904.11981237501482</v>
      </c>
      <c r="FJ74" s="59">
        <f ca="1">AVERAGE(OFFSET($FI$3,0,0,'Données projet'!$E$16+1,1))-AVERAGE(OFFSET($H$3,0,0,'Données projet'!$E$16+1,1))</f>
        <v>331.52724290297675</v>
      </c>
      <c r="FK74" s="59">
        <f t="shared" si="102"/>
        <v>322.79102610158054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59.351666976089284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59.351666976089284</v>
      </c>
      <c r="FU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20.399999999999999</v>
      </c>
      <c r="FZ74" s="12">
        <f>IF('Données projet'!$A$244&gt;35,FZ73+FY74-GH73,IF(A74&lt;'Données projet'!$A$244,$FW$205^A74,IF(A74='Données projet'!$A$244,'Données projet'!$B$244,FZ73+FY74-GH73)))</f>
        <v>792.40000000000009</v>
      </c>
      <c r="GA74" s="17">
        <f>FZ74*VLOOKUP('Données projet'!$B$17,Paramètres!$A$1:$I$89,3,0)*VLOOKUP('Données projet'!$B$17,Paramètres!$A$1:$I$89,5,0)</f>
        <v>391.44560000000007</v>
      </c>
      <c r="GB74" s="13">
        <f t="shared" si="103"/>
        <v>90.040215935892022</v>
      </c>
      <c r="GC74" s="20">
        <f t="shared" si="79"/>
        <v>838.58779608834539</v>
      </c>
      <c r="GD74" s="59">
        <f t="shared" si="80"/>
        <v>1131.9211294216786</v>
      </c>
      <c r="GE74" s="59">
        <f ca="1">AVERAGE(OFFSET($GD$3,0,0,'Données projet'!$E$17+1,1))-AVERAGE(OFFSET($H$3,0,0,'Données projet'!$E$17+1,1))</f>
        <v>434.08297999735811</v>
      </c>
      <c r="GF74" s="59">
        <f t="shared" si="104"/>
        <v>371.04090283546122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142.86068838617473</v>
      </c>
      <c r="GM74" s="21">
        <f>EXP(-LN(2)/25)*GM73+(1-EXP(-LN(2)/25))/(LN(2)/25)*Calculateur!GH74*Calculateur!GJ74*VLOOKUP('Données projet'!$B$17,Paramètres!$A$1:$I$89,3,0)*0.475*44/12</f>
        <v>16.591116818187039</v>
      </c>
      <c r="GN74" s="21">
        <f>EXP(-LN(2)/2)*GN73+(1-EXP(-LN(2)/2))/(LN(2)/2)*GH74*GK74*VLOOKUP('Données projet'!$B$17,Paramètres!$A$1:$I$89,3,0)*0.475*44/12</f>
        <v>5.0683436558927108E-7</v>
      </c>
      <c r="GO74" s="21">
        <f t="shared" si="81"/>
        <v>159.45180571119613</v>
      </c>
      <c r="GP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12.4</v>
      </c>
      <c r="GU74" s="12">
        <f>IF('Données projet'!$A$270&gt;35,GU73+GT74-HC73,IF(A74&lt;'Données projet'!$A$270,$GR$205^A74,IF(A74='Données projet'!$A$270,'Données projet'!$B$270,GU73+GT74-HC73)))</f>
        <v>493.4</v>
      </c>
      <c r="GV74" s="17">
        <f>GU74*VLOOKUP('Données projet'!$B$18,Paramètres!$A$1:$I$89,3,0)*VLOOKUP('Données projet'!$B$18,Paramètres!$A$1:$I$89,5,0)</f>
        <v>282.22480000000002</v>
      </c>
      <c r="GW74" s="13">
        <f t="shared" si="105"/>
        <v>67.436956293740351</v>
      </c>
      <c r="GX74" s="20">
        <f t="shared" si="82"/>
        <v>608.99422554493106</v>
      </c>
      <c r="GY74" s="59">
        <f t="shared" si="83"/>
        <v>902.32755887826443</v>
      </c>
      <c r="GZ74" s="59">
        <f ca="1">AVERAGE(OFFSET($GY$3,0,0,'Données projet'!$E$18+1,1))-AVERAGE(OFFSET($H$3,0,0,'Données projet'!$E$18+1,1))</f>
        <v>362.57172983134313</v>
      </c>
      <c r="HA74" s="59">
        <f t="shared" si="106"/>
        <v>232.03250917542471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85.971818958910376</v>
      </c>
      <c r="HH74" s="21">
        <f>EXP(-LN(2)/25)*HH73+(1-EXP(-LN(2)/25))/(LN(2)/25)*Calculateur!HC74*Calculateur!HE74*VLOOKUP('Données projet'!$B$18,Paramètres!$A$1:$I$89,3,0)*0.475*44/12</f>
        <v>10.002300091347209</v>
      </c>
      <c r="HI74" s="21">
        <f>EXP(-LN(2)/2)*HI73+(1-EXP(-LN(2)/2))/(LN(2)/2)*HC74*HF74*VLOOKUP('Données projet'!$B$18,Paramètres!$A$1:$I$89,3,0)*0.475*44/12</f>
        <v>5.0497328468747439E-7</v>
      </c>
      <c r="HJ74" s="22">
        <f t="shared" si="84"/>
        <v>95.974119555230871</v>
      </c>
    </row>
    <row r="75" spans="1:218" x14ac:dyDescent="0.3">
      <c r="A75" s="10">
        <f t="shared" si="85"/>
        <v>72</v>
      </c>
      <c r="B75" s="71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5">
        <f t="shared" si="56"/>
        <v>372.04995655117574</v>
      </c>
      <c r="I75" s="6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3.4</v>
      </c>
      <c r="N75" s="13">
        <f>IF('Données projet'!$A$36&gt;35,N74+M75-V74,IF(A75&lt;'Données projet'!$A$36,$K$205^A75,IF(A75='Données projet'!$A$36,'Données projet'!$B$36,N74+M75-V74)))</f>
        <v>259.79999999999984</v>
      </c>
      <c r="O75" s="13">
        <f>N75*VLOOKUP('Données projet'!$B$9,Paramètres!$A$1:$I$89,3,0)*VLOOKUP('Données projet'!$B$9,Paramètres!$A$1:$I$89,5,0)</f>
        <v>206.69687999999991</v>
      </c>
      <c r="P75" s="13">
        <f t="shared" si="87"/>
        <v>51.213106197404436</v>
      </c>
      <c r="Q75" s="20">
        <f t="shared" si="54"/>
        <v>449.1932259604792</v>
      </c>
      <c r="R75" s="59">
        <f t="shared" si="55"/>
        <v>742.52655929381251</v>
      </c>
      <c r="S75" s="59">
        <f ca="1">AVERAGE(OFFSET($R$3,0,0,'Données projet'!$E$9+1,1))-AVERAGE(OFFSET($H$3,0,0,'Données projet'!$E$9+1,1))</f>
        <v>225.2323446080772</v>
      </c>
      <c r="T75" s="59">
        <f t="shared" si="88"/>
        <v>222.29030402759292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42.01375963594937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42.01375963594937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16.8</v>
      </c>
      <c r="AI75" s="13">
        <f>IF('Données projet'!$A$62&gt;35,AI74+AH75-AQ74,IF(A75&lt;'Données projet'!$A$62,$AF$205^A75,IF(A75='Données projet'!$A$62,'Données projet'!$B$62,AI74+AH75-AQ74)))</f>
        <v>696.6</v>
      </c>
      <c r="AJ75" s="13">
        <f>AI75*VLOOKUP('Données projet'!$B$10,Paramètres!$A$1:$I$89,3,0)*VLOOKUP('Données projet'!$B$10,Paramètres!$A$1:$I$89,5,0)</f>
        <v>344.12040000000007</v>
      </c>
      <c r="AK75" s="13">
        <f t="shared" si="89"/>
        <v>80.350649404480691</v>
      </c>
      <c r="AL75" s="20">
        <f t="shared" si="58"/>
        <v>739.28707771280403</v>
      </c>
      <c r="AM75" s="59">
        <f t="shared" si="59"/>
        <v>1032.6204110461374</v>
      </c>
      <c r="AN75" s="59">
        <f ca="1">AVERAGE(OFFSET($AM$3,0,0,'Données projet'!$E$10+1,1))-AVERAGE(OFFSET($H$3,0,0,'Données projet'!$E$10+1,1))</f>
        <v>360.05819346986135</v>
      </c>
      <c r="AO75" s="59">
        <f t="shared" si="90"/>
        <v>300.47468388351081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114.83022334146462</v>
      </c>
      <c r="AV75" s="21">
        <f>EXP(-LN(2)/25)*AV74+(1-EXP(-LN(2)/25))/(LN(2)/25)*Calculateur!AQ75*Calculateur!AS75*VLOOKUP('Données projet'!$B$10,Paramètres!$A$1:$I$89,3,0)*0.475*44/12</f>
        <v>13.203353336976644</v>
      </c>
      <c r="AW75" s="21">
        <f>EXP(-LN(2)/2)*AW74+(1-EXP(-LN(2)/2))/(LN(2)/2)*AQ75*AT75*VLOOKUP('Données projet'!$B$10,Paramètres!$A$1:$I$89,3,0)*0.475*44/12</f>
        <v>2.5003675593945719E-8</v>
      </c>
      <c r="AX75" s="21">
        <f t="shared" si="60"/>
        <v>128.03357670344494</v>
      </c>
      <c r="AY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10</v>
      </c>
      <c r="BD75" s="12">
        <f>IF('Données projet'!$A$88&gt;35,BD74+BC75-BL74,IF(A75&lt;'Données projet'!$A$88,$BA$205^A75,IF(A75='Données projet'!$A$88,'Données projet'!$B$88,BD74+BC75-BL74)))</f>
        <v>377.99999999999994</v>
      </c>
      <c r="BE75" s="13">
        <f>BD75*VLOOKUP('Données projet'!$B$11,Paramètres!$A$1:$I$89,3,0)*VLOOKUP('Données projet'!$B$11,Paramètres!$A$1:$I$89,5,0)</f>
        <v>216.21599999999995</v>
      </c>
      <c r="BF75" s="13">
        <f t="shared" si="91"/>
        <v>53.291623409472983</v>
      </c>
      <c r="BG75" s="20">
        <f t="shared" si="61"/>
        <v>469.39244410483207</v>
      </c>
      <c r="BH75" s="59">
        <f t="shared" si="62"/>
        <v>762.72577743816532</v>
      </c>
      <c r="BI75" s="59">
        <f ca="1">AVERAGE(OFFSET($BH$3,0,0,'Données projet'!$E$11+1,1))-AVERAGE(OFFSET($H$3,0,0,'Données projet'!$E$11+1,1))</f>
        <v>250.90038883668348</v>
      </c>
      <c r="BJ75" s="59">
        <f t="shared" si="92"/>
        <v>141.96132114475608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64.429448770958388</v>
      </c>
      <c r="BQ75" s="21">
        <f>EXP(-LN(2)/25)*BQ74+(1-EXP(-LN(2)/25))/(LN(2)/25)*Calculateur!BL75*Calculateur!BN75*VLOOKUP('Données projet'!$B$11,Paramètres!$A$1:$I$89,3,0)*0.475*44/12</f>
        <v>3.7150203109215614</v>
      </c>
      <c r="BR75" s="21">
        <f>EXP(-LN(2)/2)*BR74+(1-EXP(-LN(2)/2))/(LN(2)/2)*BL75*BO75*VLOOKUP('Données projet'!$B$11,Paramètres!$A$1:$I$89,3,0)*0.475*44/12</f>
        <v>1.8015263129391048E-6</v>
      </c>
      <c r="BS75" s="22">
        <f t="shared" si="63"/>
        <v>68.144470883406257</v>
      </c>
      <c r="BT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4.2</v>
      </c>
      <c r="BY75" s="12">
        <f>IF('Données projet'!$A$114&gt;35,BY74+BX75-CG74,IF(A75&lt;'Données projet'!$A$114,$BV$205^A75,IF(A75='Données projet'!$A$114,'Données projet'!$B$114,BY74+BX75-CG74)))</f>
        <v>311.39999999999992</v>
      </c>
      <c r="BZ75" s="13">
        <f>BY75*VLOOKUP('Données projet'!$B$12,Paramètres!$A$1:$I$89,3,0)*VLOOKUP('Données projet'!$B$12,Paramètres!$A$1:$I$89,5,0)</f>
        <v>247.74983999999995</v>
      </c>
      <c r="CA75" s="13">
        <f t="shared" si="93"/>
        <v>60.103849700617872</v>
      </c>
      <c r="CB75" s="20">
        <f t="shared" si="64"/>
        <v>536.17850956190932</v>
      </c>
      <c r="CC75" s="59">
        <f t="shared" si="65"/>
        <v>829.51184289524258</v>
      </c>
      <c r="CD75" s="59">
        <f ca="1">AVERAGE(OFFSET($CC$3,0,0,'Données projet'!$E$12+1,1))-AVERAGE(OFFSET($H$3,0,0,'Données projet'!$E$12+1,1))</f>
        <v>279.49721661620544</v>
      </c>
      <c r="CE75" s="59">
        <f t="shared" si="94"/>
        <v>275.18739333988754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50.351920490624948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50.351920490624948</v>
      </c>
      <c r="CO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17.8</v>
      </c>
      <c r="CT75" s="12">
        <f>IF('Données projet'!$A$140&gt;35,CT74+CS75-DB74,IF(A75&lt;'Données projet'!$A$140,$CQ$205^A75,IF(A75='Données projet'!$A$140,'Données projet'!$B$140,CT74+CS75-DB74)))</f>
        <v>752.59999999999991</v>
      </c>
      <c r="CU75" s="17">
        <f>CT75*VLOOKUP('Données projet'!$B$13,Paramètres!$A$1:$I$89,3,0)*VLOOKUP('Données projet'!$B$13,Paramètres!$A$1:$I$89,5,0)</f>
        <v>371.78439999999995</v>
      </c>
      <c r="CV75" s="13">
        <f t="shared" si="95"/>
        <v>86.032260948606037</v>
      </c>
      <c r="CW75" s="20">
        <f t="shared" si="67"/>
        <v>797.36401781882205</v>
      </c>
      <c r="CX75" s="59">
        <f t="shared" si="68"/>
        <v>1090.6973511521553</v>
      </c>
      <c r="CY75" s="59">
        <f ca="1">AVERAGE(OFFSET($CX$3,0,0,'Données projet'!$E$13+1,1))-AVERAGE(OFFSET($H$3,0,0,'Données projet'!$E$13+1,1))</f>
        <v>396.27049617044378</v>
      </c>
      <c r="CZ75" s="59">
        <f t="shared" si="96"/>
        <v>335.2680289568774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127.4447503824012</v>
      </c>
      <c r="DG75" s="21">
        <f>EXP(-LN(2)/25)*DG74+(1-EXP(-LN(2)/25))/(LN(2)/25)*Calculateur!DB75*Calculateur!DD75*VLOOKUP('Données projet'!$B$13,Paramètres!$A$1:$I$89,3,0)*0.475*44/12</f>
        <v>14.670392596640719</v>
      </c>
      <c r="DH75" s="21">
        <f>EXP(-LN(2)/2)*DH74+(1-EXP(-LN(2)/2))/(LN(2)/2)*DB75*DE75*VLOOKUP('Données projet'!$B$13,Paramètres!$A$1:$I$89,3,0)*0.475*44/12</f>
        <v>1.8336028768893539E-7</v>
      </c>
      <c r="DI75" s="22">
        <f t="shared" si="69"/>
        <v>142.11514316240221</v>
      </c>
      <c r="DJ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11.4</v>
      </c>
      <c r="DO75" s="12">
        <f>IF('Données projet'!$A$166&gt;35,DO74+DN75-DW74,IF(A75&lt;'Données projet'!$A$166,$DL$205^A75,IF(A75='Données projet'!$A$166,'Données projet'!$B$166,DO74+DN75-DW74)))</f>
        <v>440.79999999999967</v>
      </c>
      <c r="DP75" s="17">
        <f>DO75*VLOOKUP('Données projet'!$B$14,Paramètres!$A$1:$I$89,3,0)*VLOOKUP('Données projet'!$B$14,Paramètres!$A$1:$I$89,5,0)</f>
        <v>252.13759999999982</v>
      </c>
      <c r="DQ75" s="13">
        <f t="shared" si="97"/>
        <v>61.043448657490721</v>
      </c>
      <c r="DR75" s="20">
        <f t="shared" si="70"/>
        <v>545.45699307846269</v>
      </c>
      <c r="DS75" s="59">
        <f t="shared" si="71"/>
        <v>838.79032641179606</v>
      </c>
      <c r="DT75" s="59">
        <f ca="1">AVERAGE(OFFSET($DS$3,0,0,'Données projet'!$E$14+1,1))-AVERAGE(OFFSET($H$3,0,0,'Données projet'!$E$14+1,1))</f>
        <v>307.43900954374504</v>
      </c>
      <c r="DU75" s="59">
        <f t="shared" si="98"/>
        <v>185.25270859048999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75.019416211018068</v>
      </c>
      <c r="EB75" s="21">
        <f>EXP(-LN(2)/25)*EB74+(1-EXP(-LN(2)/25))/(LN(2)/25)*Calculateur!DW75*Calculateur!DY75*VLOOKUP('Données projet'!$B$14,Paramètres!$A$1:$I$89,3,0)*0.475*44/12</f>
        <v>8.3389600023010377</v>
      </c>
      <c r="EC75" s="21">
        <f>EXP(-LN(2)/2)*EC74+(1-EXP(-LN(2)/2))/(LN(2)/2)*DW75*DZ75*VLOOKUP('Données projet'!$B$14,Paramètres!$A$1:$I$89,3,0)*0.475*44/12</f>
        <v>1.7370974623162292E-7</v>
      </c>
      <c r="ED75" s="22">
        <f t="shared" si="72"/>
        <v>83.358376387028855</v>
      </c>
      <c r="EE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401</v>
      </c>
      <c r="EK75" s="17">
        <f>EJ75*VLOOKUP('Données projet'!$B$15,Paramètres!$A$1:$I$89,3,0)*VLOOKUP('Données projet'!$B$15,Paramètres!$A$1:$I$89,5,0)</f>
        <v>250.22399999999999</v>
      </c>
      <c r="EL75" s="13">
        <f t="shared" si="99"/>
        <v>60.633904580527918</v>
      </c>
      <c r="EM75" s="20">
        <f t="shared" si="73"/>
        <v>541.41085047775289</v>
      </c>
      <c r="EN75" s="59">
        <f t="shared" si="74"/>
        <v>834.74418381108626</v>
      </c>
      <c r="EO75" s="59">
        <f ca="1">AVERAGE(OFFSET($EN$3,0,0,'Données projet'!$E$15+1,1))-AVERAGE(OFFSET($H$3,0,0,'Données projet'!$E$15+1,1))</f>
        <v>269.77739619445515</v>
      </c>
      <c r="EP75" s="59">
        <f t="shared" si="100"/>
        <v>347.56964743629885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60.380364540881708</v>
      </c>
      <c r="EW75" s="21">
        <f>EXP(-LN(2)/25)*EW74+(1-EXP(-LN(2)/25))/(LN(2)/25)*Calculateur!ER75*Calculateur!ET75*VLOOKUP('Données projet'!$B$15,Paramètres!$A$1:$I$89,3,0)*0.475*44/12</f>
        <v>28.631145212133024</v>
      </c>
      <c r="EX75" s="21">
        <f>EXP(-LN(2)/2)*EX74+(1-EXP(-LN(2)/2))/(LN(2)/2)*ER75*EU75*VLOOKUP('Données projet'!$B$15,Paramètres!$A$1:$I$89,3,0)*0.475*44/12</f>
        <v>1.1843846333974292E-8</v>
      </c>
      <c r="EY75" s="22">
        <f t="shared" si="75"/>
        <v>89.011509764858587</v>
      </c>
      <c r="EZ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4.8</v>
      </c>
      <c r="FE75" s="12">
        <f>IF('Données projet'!$A$218&gt;35,FE74+FD75-FM74,IF(A75&lt;'Données projet'!$A$218,$FB$205^A75,IF(A75='Données projet'!$A$218,'Données projet'!$B$218,FE74+FD75-FM74)))</f>
        <v>360.59999999999968</v>
      </c>
      <c r="FF75" s="17">
        <f>FE75*VLOOKUP('Données projet'!$B$16,Paramètres!$A$1:$I$89,3,0)*VLOOKUP('Données projet'!$B$16,Paramètres!$A$1:$I$89,5,0)</f>
        <v>286.89335999999975</v>
      </c>
      <c r="FG75" s="13">
        <f t="shared" si="101"/>
        <v>68.421705584684744</v>
      </c>
      <c r="FH75" s="20">
        <f t="shared" si="76"/>
        <v>618.84040589332551</v>
      </c>
      <c r="FI75" s="59">
        <f t="shared" si="77"/>
        <v>912.17373922665888</v>
      </c>
      <c r="FJ75" s="59">
        <f ca="1">AVERAGE(OFFSET($FI$3,0,0,'Données projet'!$E$16+1,1))-AVERAGE(OFFSET($H$3,0,0,'Données projet'!$E$16+1,1))</f>
        <v>331.52724290297675</v>
      </c>
      <c r="FK75" s="59">
        <f t="shared" si="102"/>
        <v>322.79102610158054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58.187816987630484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58.187816987630484</v>
      </c>
      <c r="FU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20.399999999999999</v>
      </c>
      <c r="FZ75" s="12">
        <f>IF('Données projet'!$A$244&gt;35,FZ74+FY75-GH74,IF(A75&lt;'Données projet'!$A$244,$FW$205^A75,IF(A75='Données projet'!$A$244,'Données projet'!$B$244,FZ74+FY75-GH74)))</f>
        <v>812.80000000000007</v>
      </c>
      <c r="GA75" s="17">
        <f>FZ75*VLOOKUP('Données projet'!$B$17,Paramètres!$A$1:$I$89,3,0)*VLOOKUP('Données projet'!$B$17,Paramètres!$A$1:$I$89,5,0)</f>
        <v>401.52320000000003</v>
      </c>
      <c r="GB75" s="13">
        <f t="shared" si="103"/>
        <v>92.085402303018512</v>
      </c>
      <c r="GC75" s="20">
        <f t="shared" si="79"/>
        <v>859.70164901109058</v>
      </c>
      <c r="GD75" s="59">
        <f t="shared" si="80"/>
        <v>1153.034982344424</v>
      </c>
      <c r="GE75" s="59">
        <f ca="1">AVERAGE(OFFSET($GD$3,0,0,'Données projet'!$E$17+1,1))-AVERAGE(OFFSET($H$3,0,0,'Données projet'!$E$17+1,1))</f>
        <v>434.08297999735811</v>
      </c>
      <c r="GF75" s="59">
        <f t="shared" si="104"/>
        <v>371.04090283546122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140.05927742333776</v>
      </c>
      <c r="GM75" s="21">
        <f>EXP(-LN(2)/25)*GM74+(1-EXP(-LN(2)/25))/(LN(2)/25)*Calculateur!GH75*Calculateur!GJ75*VLOOKUP('Données projet'!$B$17,Paramètres!$A$1:$I$89,3,0)*0.475*44/12</f>
        <v>16.137431856304801</v>
      </c>
      <c r="GN75" s="21">
        <f>EXP(-LN(2)/2)*GN74+(1-EXP(-LN(2)/2))/(LN(2)/2)*GH75*GK75*VLOOKUP('Données projet'!$B$17,Paramètres!$A$1:$I$89,3,0)*0.475*44/12</f>
        <v>3.5838601684655535E-7</v>
      </c>
      <c r="GO75" s="21">
        <f t="shared" si="81"/>
        <v>156.19670963802858</v>
      </c>
      <c r="GP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12.4</v>
      </c>
      <c r="GU75" s="12">
        <f>IF('Données projet'!$A$270&gt;35,GU74+GT75-HC74,IF(A75&lt;'Données projet'!$A$270,$GR$205^A75,IF(A75='Données projet'!$A$270,'Données projet'!$B$270,GU74+GT75-HC74)))</f>
        <v>505.79999999999995</v>
      </c>
      <c r="GV75" s="17">
        <f>GU75*VLOOKUP('Données projet'!$B$18,Paramètres!$A$1:$I$89,3,0)*VLOOKUP('Données projet'!$B$18,Paramètres!$A$1:$I$89,5,0)</f>
        <v>289.31760000000003</v>
      </c>
      <c r="GW75" s="13">
        <f t="shared" si="105"/>
        <v>68.932318451827797</v>
      </c>
      <c r="GX75" s="20">
        <f t="shared" si="82"/>
        <v>623.95194130360017</v>
      </c>
      <c r="GY75" s="59">
        <f t="shared" si="83"/>
        <v>917.28527463693354</v>
      </c>
      <c r="GZ75" s="59">
        <f ca="1">AVERAGE(OFFSET($GY$3,0,0,'Données projet'!$E$18+1,1))-AVERAGE(OFFSET($H$3,0,0,'Données projet'!$E$18+1,1))</f>
        <v>362.57172983134313</v>
      </c>
      <c r="HA75" s="59">
        <f t="shared" si="106"/>
        <v>232.03250917542471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84.285964026757924</v>
      </c>
      <c r="HH75" s="21">
        <f>EXP(-LN(2)/25)*HH74+(1-EXP(-LN(2)/25))/(LN(2)/25)*Calculateur!HC75*Calculateur!HE75*VLOOKUP('Données projet'!$B$18,Paramètres!$A$1:$I$89,3,0)*0.475*44/12</f>
        <v>9.7287866693512175</v>
      </c>
      <c r="HI75" s="21">
        <f>EXP(-LN(2)/2)*HI74+(1-EXP(-LN(2)/2))/(LN(2)/2)*HC75*HF75*VLOOKUP('Données projet'!$B$18,Paramètres!$A$1:$I$89,3,0)*0.475*44/12</f>
        <v>3.5707003392055813E-7</v>
      </c>
      <c r="HJ75" s="22">
        <f t="shared" si="84"/>
        <v>94.014751053179182</v>
      </c>
    </row>
    <row r="76" spans="1:218" x14ac:dyDescent="0.3">
      <c r="A76" s="10">
        <f t="shared" si="85"/>
        <v>73</v>
      </c>
      <c r="B76" s="71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5">
        <f t="shared" si="56"/>
        <v>373.11331598923283</v>
      </c>
      <c r="I76" s="6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3.4</v>
      </c>
      <c r="N76" s="13">
        <f>IF('Données projet'!$A$36&gt;35,N75+M76-V75,IF(A76&lt;'Données projet'!$A$36,$K$205^A76,IF(A76='Données projet'!$A$36,'Données projet'!$B$36,N75+M76-V75)))</f>
        <v>263.19999999999982</v>
      </c>
      <c r="O76" s="13">
        <f>N76*VLOOKUP('Données projet'!$B$9,Paramètres!$A$1:$I$89,3,0)*VLOOKUP('Données projet'!$B$9,Paramètres!$A$1:$I$89,5,0)</f>
        <v>209.40191999999988</v>
      </c>
      <c r="P76" s="13">
        <f t="shared" si="87"/>
        <v>51.804868484579039</v>
      </c>
      <c r="Q76" s="20">
        <f t="shared" si="54"/>
        <v>454.93515661064157</v>
      </c>
      <c r="R76" s="59">
        <f t="shared" si="55"/>
        <v>748.26848994397483</v>
      </c>
      <c r="S76" s="59">
        <f ca="1">AVERAGE(OFFSET($R$3,0,0,'Données projet'!$E$9+1,1))-AVERAGE(OFFSET($H$3,0,0,'Données projet'!$E$9+1,1))</f>
        <v>225.2323446080772</v>
      </c>
      <c r="T76" s="59">
        <f t="shared" si="88"/>
        <v>222.29030402759292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41.189895435351438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41.189895435351438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16.8</v>
      </c>
      <c r="AI76" s="13">
        <f>IF('Données projet'!$A$62&gt;35,AI75+AH76-AQ75,IF(A76&lt;'Données projet'!$A$62,$AF$205^A76,IF(A76='Données projet'!$A$62,'Données projet'!$B$62,AI75+AH76-AQ75)))</f>
        <v>713.4</v>
      </c>
      <c r="AJ76" s="13">
        <f>AI76*VLOOKUP('Données projet'!$B$10,Paramètres!$A$1:$I$89,3,0)*VLOOKUP('Données projet'!$B$10,Paramètres!$A$1:$I$89,5,0)</f>
        <v>352.4196</v>
      </c>
      <c r="AK76" s="13">
        <f t="shared" si="89"/>
        <v>82.060532064071012</v>
      </c>
      <c r="AL76" s="20">
        <f t="shared" si="58"/>
        <v>756.7195633449237</v>
      </c>
      <c r="AM76" s="59">
        <f t="shared" si="59"/>
        <v>1050.052896678257</v>
      </c>
      <c r="AN76" s="59">
        <f ca="1">AVERAGE(OFFSET($AM$3,0,0,'Données projet'!$E$10+1,1))-AVERAGE(OFFSET($H$3,0,0,'Données projet'!$E$10+1,1))</f>
        <v>360.05819346986135</v>
      </c>
      <c r="AO76" s="59">
        <f t="shared" si="90"/>
        <v>300.47468388351081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112.5784727012589</v>
      </c>
      <c r="AV76" s="21">
        <f>EXP(-LN(2)/25)*AV75+(1-EXP(-LN(2)/25))/(LN(2)/25)*Calculateur!AQ76*Calculateur!AS76*VLOOKUP('Données projet'!$B$10,Paramètres!$A$1:$I$89,3,0)*0.475*44/12</f>
        <v>12.842306945642843</v>
      </c>
      <c r="AW76" s="21">
        <f>EXP(-LN(2)/2)*AW75+(1-EXP(-LN(2)/2))/(LN(2)/2)*AQ76*AT76*VLOOKUP('Données projet'!$B$10,Paramètres!$A$1:$I$89,3,0)*0.475*44/12</f>
        <v>1.7680268567067594E-8</v>
      </c>
      <c r="AX76" s="21">
        <f t="shared" si="60"/>
        <v>125.42077966458201</v>
      </c>
      <c r="AY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10</v>
      </c>
      <c r="BD76" s="12">
        <f>IF('Données projet'!$A$88&gt;35,BD75+BC76-BL75,IF(A76&lt;'Données projet'!$A$88,$BA$205^A76,IF(A76='Données projet'!$A$88,'Données projet'!$B$88,BD75+BC76-BL75)))</f>
        <v>387.99999999999994</v>
      </c>
      <c r="BE76" s="13">
        <f>BD76*VLOOKUP('Données projet'!$B$11,Paramètres!$A$1:$I$89,3,0)*VLOOKUP('Données projet'!$B$11,Paramètres!$A$1:$I$89,5,0)</f>
        <v>221.93599999999998</v>
      </c>
      <c r="BF76" s="13">
        <f t="shared" si="91"/>
        <v>54.535450950960957</v>
      </c>
      <c r="BG76" s="20">
        <f t="shared" si="61"/>
        <v>481.52111040625704</v>
      </c>
      <c r="BH76" s="59">
        <f t="shared" si="62"/>
        <v>774.85444373959035</v>
      </c>
      <c r="BI76" s="59">
        <f ca="1">AVERAGE(OFFSET($BH$3,0,0,'Données projet'!$E$11+1,1))-AVERAGE(OFFSET($H$3,0,0,'Données projet'!$E$11+1,1))</f>
        <v>250.90038883668348</v>
      </c>
      <c r="BJ76" s="59">
        <f t="shared" si="92"/>
        <v>141.96132114475608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63.166026578643283</v>
      </c>
      <c r="BQ76" s="21">
        <f>EXP(-LN(2)/25)*BQ75+(1-EXP(-LN(2)/25))/(LN(2)/25)*Calculateur!BL76*Calculateur!BN76*VLOOKUP('Données projet'!$B$11,Paramètres!$A$1:$I$89,3,0)*0.475*44/12</f>
        <v>3.613432885154984</v>
      </c>
      <c r="BR76" s="21">
        <f>EXP(-LN(2)/2)*BR75+(1-EXP(-LN(2)/2))/(LN(2)/2)*BL76*BO76*VLOOKUP('Données projet'!$B$11,Paramètres!$A$1:$I$89,3,0)*0.475*44/12</f>
        <v>1.2738714723652394E-6</v>
      </c>
      <c r="BS76" s="22">
        <f t="shared" si="63"/>
        <v>66.779460737669737</v>
      </c>
      <c r="BT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4.2</v>
      </c>
      <c r="BY76" s="12">
        <f>IF('Données projet'!$A$114&gt;35,BY75+BX76-CG75,IF(A76&lt;'Données projet'!$A$114,$BV$205^A76,IF(A76='Données projet'!$A$114,'Données projet'!$B$114,BY75+BX76-CG75)))</f>
        <v>315.59999999999991</v>
      </c>
      <c r="BZ76" s="13">
        <f>BY76*VLOOKUP('Données projet'!$B$12,Paramètres!$A$1:$I$89,3,0)*VLOOKUP('Données projet'!$B$12,Paramètres!$A$1:$I$89,5,0)</f>
        <v>251.09135999999995</v>
      </c>
      <c r="CA76" s="13">
        <f t="shared" si="93"/>
        <v>60.81957989149403</v>
      </c>
      <c r="CB76" s="20">
        <f t="shared" si="64"/>
        <v>543.24488697768527</v>
      </c>
      <c r="CC76" s="59">
        <f t="shared" si="65"/>
        <v>836.57822031101864</v>
      </c>
      <c r="CD76" s="59">
        <f ca="1">AVERAGE(OFFSET($CC$3,0,0,'Données projet'!$E$12+1,1))-AVERAGE(OFFSET($H$3,0,0,'Données projet'!$E$12+1,1))</f>
        <v>279.49721661620544</v>
      </c>
      <c r="CE76" s="59">
        <f t="shared" si="94"/>
        <v>275.18739333988754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49.364550041442769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49.364550041442769</v>
      </c>
      <c r="CO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17.8</v>
      </c>
      <c r="CT76" s="12">
        <f>IF('Données projet'!$A$140&gt;35,CT75+CS76-DB75,IF(A76&lt;'Données projet'!$A$140,$CQ$205^A76,IF(A76='Données projet'!$A$140,'Données projet'!$B$140,CT75+CS76-DB75)))</f>
        <v>770.39999999999986</v>
      </c>
      <c r="CU76" s="17">
        <f>CT76*VLOOKUP('Données projet'!$B$13,Paramètres!$A$1:$I$89,3,0)*VLOOKUP('Données projet'!$B$13,Paramètres!$A$1:$I$89,5,0)</f>
        <v>380.57759999999996</v>
      </c>
      <c r="CV76" s="13">
        <f t="shared" si="95"/>
        <v>87.827737815817983</v>
      </c>
      <c r="CW76" s="20">
        <f t="shared" si="67"/>
        <v>815.80596336254951</v>
      </c>
      <c r="CX76" s="59">
        <f t="shared" si="68"/>
        <v>1109.1392966958829</v>
      </c>
      <c r="CY76" s="59">
        <f ca="1">AVERAGE(OFFSET($CX$3,0,0,'Données projet'!$E$13+1,1))-AVERAGE(OFFSET($H$3,0,0,'Données projet'!$E$13+1,1))</f>
        <v>396.27049617044378</v>
      </c>
      <c r="CZ76" s="59">
        <f t="shared" si="96"/>
        <v>335.2680289568774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124.94563656102449</v>
      </c>
      <c r="DG76" s="21">
        <f>EXP(-LN(2)/25)*DG75+(1-EXP(-LN(2)/25))/(LN(2)/25)*Calculateur!DB76*Calculateur!DD76*VLOOKUP('Données projet'!$B$13,Paramètres!$A$1:$I$89,3,0)*0.475*44/12</f>
        <v>14.269229939603161</v>
      </c>
      <c r="DH76" s="21">
        <f>EXP(-LN(2)/2)*DH75+(1-EXP(-LN(2)/2))/(LN(2)/2)*DB76*DE76*VLOOKUP('Données projet'!$B$13,Paramètres!$A$1:$I$89,3,0)*0.475*44/12</f>
        <v>1.2965530282516244E-7</v>
      </c>
      <c r="DI76" s="22">
        <f t="shared" si="69"/>
        <v>139.21486663028293</v>
      </c>
      <c r="DJ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11.4</v>
      </c>
      <c r="DO76" s="12">
        <f>IF('Données projet'!$A$166&gt;35,DO75+DN76-DW75,IF(A76&lt;'Données projet'!$A$166,$DL$205^A76,IF(A76='Données projet'!$A$166,'Données projet'!$B$166,DO75+DN76-DW75)))</f>
        <v>452.19999999999965</v>
      </c>
      <c r="DP76" s="17">
        <f>DO76*VLOOKUP('Données projet'!$B$14,Paramètres!$A$1:$I$89,3,0)*VLOOKUP('Données projet'!$B$14,Paramètres!$A$1:$I$89,5,0)</f>
        <v>258.6583999999998</v>
      </c>
      <c r="DQ76" s="13">
        <f t="shared" si="97"/>
        <v>62.436317004388385</v>
      </c>
      <c r="DR76" s="20">
        <f t="shared" si="70"/>
        <v>559.23996544930947</v>
      </c>
      <c r="DS76" s="59">
        <f t="shared" si="71"/>
        <v>852.57329878264272</v>
      </c>
      <c r="DT76" s="59">
        <f ca="1">AVERAGE(OFFSET($DS$3,0,0,'Données projet'!$E$14+1,1))-AVERAGE(OFFSET($H$3,0,0,'Données projet'!$E$14+1,1))</f>
        <v>307.43900954374504</v>
      </c>
      <c r="DU76" s="59">
        <f t="shared" si="98"/>
        <v>185.25270859048999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73.548331216445732</v>
      </c>
      <c r="EB76" s="21">
        <f>EXP(-LN(2)/25)*EB75+(1-EXP(-LN(2)/25))/(LN(2)/25)*Calculateur!DW76*Calculateur!DY76*VLOOKUP('Données projet'!$B$14,Paramètres!$A$1:$I$89,3,0)*0.475*44/12</f>
        <v>8.1109307025112685</v>
      </c>
      <c r="EC76" s="21">
        <f>EXP(-LN(2)/2)*EC75+(1-EXP(-LN(2)/2))/(LN(2)/2)*DW76*DZ76*VLOOKUP('Données projet'!$B$14,Paramètres!$A$1:$I$89,3,0)*0.475*44/12</f>
        <v>1.2283133951857489E-7</v>
      </c>
      <c r="ED76" s="22">
        <f t="shared" si="72"/>
        <v>81.659262041788338</v>
      </c>
      <c r="EE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401</v>
      </c>
      <c r="EK76" s="17">
        <f>EJ76*VLOOKUP('Données projet'!$B$15,Paramètres!$A$1:$I$89,3,0)*VLOOKUP('Données projet'!$B$15,Paramètres!$A$1:$I$89,5,0)</f>
        <v>250.22399999999999</v>
      </c>
      <c r="EL76" s="13">
        <f t="shared" si="99"/>
        <v>60.633904580527918</v>
      </c>
      <c r="EM76" s="20">
        <f t="shared" si="73"/>
        <v>541.41085047775289</v>
      </c>
      <c r="EN76" s="59">
        <f t="shared" si="74"/>
        <v>834.74418381108626</v>
      </c>
      <c r="EO76" s="59">
        <f ca="1">AVERAGE(OFFSET($EN$3,0,0,'Données projet'!$E$15+1,1))-AVERAGE(OFFSET($H$3,0,0,'Données projet'!$E$15+1,1))</f>
        <v>269.77739619445515</v>
      </c>
      <c r="EP76" s="59">
        <f t="shared" si="100"/>
        <v>347.56964743629885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59.196342420620887</v>
      </c>
      <c r="EW76" s="21">
        <f>EXP(-LN(2)/25)*EW75+(1-EXP(-LN(2)/25))/(LN(2)/25)*Calculateur!ER76*Calculateur!ET76*VLOOKUP('Données projet'!$B$15,Paramètres!$A$1:$I$89,3,0)*0.475*44/12</f>
        <v>27.848225040660758</v>
      </c>
      <c r="EX76" s="21">
        <f>EXP(-LN(2)/2)*EX75+(1-EXP(-LN(2)/2))/(LN(2)/2)*ER76*EU76*VLOOKUP('Données projet'!$B$15,Paramètres!$A$1:$I$89,3,0)*0.475*44/12</f>
        <v>8.3748640580846526E-9</v>
      </c>
      <c r="EY76" s="22">
        <f t="shared" si="75"/>
        <v>87.044567469656513</v>
      </c>
      <c r="EZ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4.8</v>
      </c>
      <c r="FE76" s="12">
        <f>IF('Données projet'!$A$218&gt;35,FE75+FD76-FM75,IF(A76&lt;'Données projet'!$A$218,$FB$205^A76,IF(A76='Données projet'!$A$218,'Données projet'!$B$218,FE75+FD76-FM75)))</f>
        <v>365.39999999999969</v>
      </c>
      <c r="FF76" s="17">
        <f>FE76*VLOOKUP('Données projet'!$B$16,Paramètres!$A$1:$I$89,3,0)*VLOOKUP('Données projet'!$B$16,Paramètres!$A$1:$I$89,5,0)</f>
        <v>290.71223999999978</v>
      </c>
      <c r="FG76" s="13">
        <f t="shared" si="101"/>
        <v>69.225842856510994</v>
      </c>
      <c r="FH76" s="20">
        <f t="shared" si="76"/>
        <v>626.89216097508961</v>
      </c>
      <c r="FI76" s="59">
        <f t="shared" si="77"/>
        <v>920.22549430842287</v>
      </c>
      <c r="FJ76" s="59">
        <f ca="1">AVERAGE(OFFSET($FI$3,0,0,'Données projet'!$E$16+1,1))-AVERAGE(OFFSET($H$3,0,0,'Données projet'!$E$16+1,1))</f>
        <v>331.52724290297675</v>
      </c>
      <c r="FK76" s="59">
        <f t="shared" si="102"/>
        <v>322.79102610158054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57.04678938756696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57.04678938756696</v>
      </c>
      <c r="FU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20.399999999999999</v>
      </c>
      <c r="FZ76" s="12">
        <f>IF('Données projet'!$A$244&gt;35,FZ75+FY76-GH75,IF(A76&lt;'Données projet'!$A$244,$FW$205^A76,IF(A76='Données projet'!$A$244,'Données projet'!$B$244,FZ75+FY76-GH75)))</f>
        <v>833.2</v>
      </c>
      <c r="GA76" s="17">
        <f>FZ76*VLOOKUP('Données projet'!$B$17,Paramètres!$A$1:$I$89,3,0)*VLOOKUP('Données projet'!$B$17,Paramètres!$A$1:$I$89,5,0)</f>
        <v>411.60080000000005</v>
      </c>
      <c r="GB76" s="13">
        <f t="shared" si="103"/>
        <v>94.124621803946411</v>
      </c>
      <c r="GC76" s="20">
        <f t="shared" si="79"/>
        <v>880.8051096418734</v>
      </c>
      <c r="GD76" s="59">
        <f t="shared" si="80"/>
        <v>1174.1384429752068</v>
      </c>
      <c r="GE76" s="59">
        <f ca="1">AVERAGE(OFFSET($GD$3,0,0,'Données projet'!$E$17+1,1))-AVERAGE(OFFSET($H$3,0,0,'Données projet'!$E$17+1,1))</f>
        <v>434.08297999735811</v>
      </c>
      <c r="GF76" s="59">
        <f t="shared" si="104"/>
        <v>371.04090283546122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137.31280042079004</v>
      </c>
      <c r="GM76" s="21">
        <f>EXP(-LN(2)/25)*GM75+(1-EXP(-LN(2)/25))/(LN(2)/25)*Calculateur!GH76*Calculateur!GJ76*VLOOKUP('Données projet'!$B$17,Paramètres!$A$1:$I$89,3,0)*0.475*44/12</f>
        <v>15.696152933563488</v>
      </c>
      <c r="GN76" s="21">
        <f>EXP(-LN(2)/2)*GN75+(1-EXP(-LN(2)/2))/(LN(2)/2)*GH76*GK76*VLOOKUP('Données projet'!$B$17,Paramètres!$A$1:$I$89,3,0)*0.475*44/12</f>
        <v>2.5341718279463554E-7</v>
      </c>
      <c r="GO76" s="21">
        <f t="shared" si="81"/>
        <v>153.00895360777071</v>
      </c>
      <c r="GP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12.4</v>
      </c>
      <c r="GU76" s="12">
        <f>IF('Données projet'!$A$270&gt;35,GU75+GT76-HC75,IF(A76&lt;'Données projet'!$A$270,$GR$205^A76,IF(A76='Données projet'!$A$270,'Données projet'!$B$270,GU75+GT76-HC75)))</f>
        <v>518.19999999999993</v>
      </c>
      <c r="GV76" s="17">
        <f>GU76*VLOOKUP('Données projet'!$B$18,Paramètres!$A$1:$I$89,3,0)*VLOOKUP('Données projet'!$B$18,Paramètres!$A$1:$I$89,5,0)</f>
        <v>296.41039999999998</v>
      </c>
      <c r="GW76" s="13">
        <f t="shared" si="105"/>
        <v>70.423419049036411</v>
      </c>
      <c r="GX76" s="20">
        <f t="shared" si="82"/>
        <v>638.90223484373837</v>
      </c>
      <c r="GY76" s="59">
        <f t="shared" si="83"/>
        <v>932.23556817707163</v>
      </c>
      <c r="GZ76" s="59">
        <f ca="1">AVERAGE(OFFSET($GY$3,0,0,'Données projet'!$E$18+1,1))-AVERAGE(OFFSET($H$3,0,0,'Données projet'!$E$18+1,1))</f>
        <v>362.57172983134313</v>
      </c>
      <c r="HA76" s="59">
        <f t="shared" si="106"/>
        <v>232.03250917542471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82.633167681555008</v>
      </c>
      <c r="HH76" s="21">
        <f>EXP(-LN(2)/25)*HH75+(1-EXP(-LN(2)/25))/(LN(2)/25)*Calculateur!HC76*Calculateur!HE76*VLOOKUP('Données projet'!$B$18,Paramètres!$A$1:$I$89,3,0)*0.475*44/12</f>
        <v>9.4627524862631525</v>
      </c>
      <c r="HI76" s="21">
        <f>EXP(-LN(2)/2)*HI75+(1-EXP(-LN(2)/2))/(LN(2)/2)*HC76*HF76*VLOOKUP('Données projet'!$B$18,Paramètres!$A$1:$I$89,3,0)*0.475*44/12</f>
        <v>2.5248664234373719E-7</v>
      </c>
      <c r="HJ76" s="22">
        <f t="shared" si="84"/>
        <v>92.095920420304807</v>
      </c>
    </row>
    <row r="77" spans="1:218" x14ac:dyDescent="0.3">
      <c r="A77" s="10">
        <f t="shared" si="85"/>
        <v>74</v>
      </c>
      <c r="B77" s="71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5">
        <f t="shared" si="56"/>
        <v>374.17631594989302</v>
      </c>
      <c r="I77" s="6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3.4</v>
      </c>
      <c r="N77" s="13">
        <f>IF('Données projet'!$A$36&gt;35,N76+M77-V76,IF(A77&lt;'Données projet'!$A$36,$K$205^A77,IF(A77='Données projet'!$A$36,'Données projet'!$B$36,N76+M77-V76)))</f>
        <v>266.5999999999998</v>
      </c>
      <c r="O77" s="13">
        <f>N77*VLOOKUP('Données projet'!$B$9,Paramètres!$A$1:$I$89,3,0)*VLOOKUP('Données projet'!$B$9,Paramètres!$A$1:$I$89,5,0)</f>
        <v>212.10695999999984</v>
      </c>
      <c r="P77" s="13">
        <f t="shared" si="87"/>
        <v>52.395741612408194</v>
      </c>
      <c r="Q77" s="20">
        <f t="shared" si="54"/>
        <v>460.67553864161067</v>
      </c>
      <c r="R77" s="59">
        <f t="shared" si="55"/>
        <v>754.00887197494399</v>
      </c>
      <c r="S77" s="59">
        <f ca="1">AVERAGE(OFFSET($R$3,0,0,'Données projet'!$E$9+1,1))-AVERAGE(OFFSET($H$3,0,0,'Données projet'!$E$9+1,1))</f>
        <v>225.2323446080772</v>
      </c>
      <c r="T77" s="59">
        <f t="shared" si="88"/>
        <v>222.29030402759292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40.382186709219688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40.382186709219688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16.8</v>
      </c>
      <c r="AI77" s="13">
        <f>IF('Données projet'!$A$62&gt;35,AI76+AH77-AQ76,IF(A77&lt;'Données projet'!$A$62,$AF$205^A77,IF(A77='Données projet'!$A$62,'Données projet'!$B$62,AI76+AH77-AQ76)))</f>
        <v>730.19999999999993</v>
      </c>
      <c r="AJ77" s="13">
        <f>AI77*VLOOKUP('Données projet'!$B$10,Paramètres!$A$1:$I$89,3,0)*VLOOKUP('Données projet'!$B$10,Paramètres!$A$1:$I$89,5,0)</f>
        <v>360.71879999999999</v>
      </c>
      <c r="AK77" s="13">
        <f t="shared" si="89"/>
        <v>83.765733678841841</v>
      </c>
      <c r="AL77" s="20">
        <f t="shared" si="58"/>
        <v>774.14389615731625</v>
      </c>
      <c r="AM77" s="59">
        <f t="shared" si="59"/>
        <v>1067.4772294906495</v>
      </c>
      <c r="AN77" s="59">
        <f ca="1">AVERAGE(OFFSET($AM$3,0,0,'Données projet'!$E$10+1,1))-AVERAGE(OFFSET($H$3,0,0,'Données projet'!$E$10+1,1))</f>
        <v>360.05819346986135</v>
      </c>
      <c r="AO77" s="59">
        <f t="shared" si="90"/>
        <v>300.47468388351081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110.37087751767535</v>
      </c>
      <c r="AV77" s="21">
        <f>EXP(-LN(2)/25)*AV76+(1-EXP(-LN(2)/25))/(LN(2)/25)*Calculateur!AQ77*Calculateur!AS77*VLOOKUP('Données projet'!$B$10,Paramètres!$A$1:$I$89,3,0)*0.475*44/12</f>
        <v>12.491133386866668</v>
      </c>
      <c r="AW77" s="21">
        <f>EXP(-LN(2)/2)*AW76+(1-EXP(-LN(2)/2))/(LN(2)/2)*AQ77*AT77*VLOOKUP('Données projet'!$B$10,Paramètres!$A$1:$I$89,3,0)*0.475*44/12</f>
        <v>1.2501837796972859E-8</v>
      </c>
      <c r="AX77" s="21">
        <f t="shared" si="60"/>
        <v>122.86201091704386</v>
      </c>
      <c r="AY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10</v>
      </c>
      <c r="BD77" s="12">
        <f>IF('Données projet'!$A$88&gt;35,BD76+BC77-BL76,IF(A77&lt;'Données projet'!$A$88,$BA$205^A77,IF(A77='Données projet'!$A$88,'Données projet'!$B$88,BD76+BC77-BL76)))</f>
        <v>397.99999999999994</v>
      </c>
      <c r="BE77" s="13">
        <f>BD77*VLOOKUP('Données projet'!$B$11,Paramètres!$A$1:$I$89,3,0)*VLOOKUP('Données projet'!$B$11,Paramètres!$A$1:$I$89,5,0)</f>
        <v>227.65599999999998</v>
      </c>
      <c r="BF77" s="13">
        <f t="shared" si="91"/>
        <v>55.775552165489643</v>
      </c>
      <c r="BG77" s="20">
        <f t="shared" si="61"/>
        <v>493.64328668822776</v>
      </c>
      <c r="BH77" s="59">
        <f t="shared" si="62"/>
        <v>786.97662002156108</v>
      </c>
      <c r="BI77" s="59">
        <f ca="1">AVERAGE(OFFSET($BH$3,0,0,'Données projet'!$E$11+1,1))-AVERAGE(OFFSET($H$3,0,0,'Données projet'!$E$11+1,1))</f>
        <v>250.90038883668348</v>
      </c>
      <c r="BJ77" s="59">
        <f t="shared" si="92"/>
        <v>141.96132114475608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61.927379324908031</v>
      </c>
      <c r="BQ77" s="21">
        <f>EXP(-LN(2)/25)*BQ76+(1-EXP(-LN(2)/25))/(LN(2)/25)*Calculateur!BL77*Calculateur!BN77*VLOOKUP('Données projet'!$B$11,Paramètres!$A$1:$I$89,3,0)*0.475*44/12</f>
        <v>3.5146233728882441</v>
      </c>
      <c r="BR77" s="21">
        <f>EXP(-LN(2)/2)*BR76+(1-EXP(-LN(2)/2))/(LN(2)/2)*BL77*BO77*VLOOKUP('Données projet'!$B$11,Paramètres!$A$1:$I$89,3,0)*0.475*44/12</f>
        <v>9.0076315646955249E-7</v>
      </c>
      <c r="BS77" s="22">
        <f t="shared" si="63"/>
        <v>65.442003598559424</v>
      </c>
      <c r="BT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4.2</v>
      </c>
      <c r="BY77" s="12">
        <f>IF('Données projet'!$A$114&gt;35,BY76+BX77-CG76,IF(A77&lt;'Données projet'!$A$114,$BV$205^A77,IF(A77='Données projet'!$A$114,'Données projet'!$B$114,BY76+BX77-CG76)))</f>
        <v>319.7999999999999</v>
      </c>
      <c r="BZ77" s="13">
        <f>BY77*VLOOKUP('Données projet'!$B$12,Paramètres!$A$1:$I$89,3,0)*VLOOKUP('Données projet'!$B$12,Paramètres!$A$1:$I$89,5,0)</f>
        <v>254.43287999999995</v>
      </c>
      <c r="CA77" s="13">
        <f t="shared" si="93"/>
        <v>61.534202204620392</v>
      </c>
      <c r="CB77" s="20">
        <f t="shared" si="64"/>
        <v>550.30933483971376</v>
      </c>
      <c r="CC77" s="59">
        <f t="shared" si="65"/>
        <v>843.64266817304701</v>
      </c>
      <c r="CD77" s="59">
        <f ca="1">AVERAGE(OFFSET($CC$3,0,0,'Données projet'!$E$12+1,1))-AVERAGE(OFFSET($H$3,0,0,'Données projet'!$E$12+1,1))</f>
        <v>279.49721661620544</v>
      </c>
      <c r="CE77" s="59">
        <f t="shared" si="94"/>
        <v>275.18739333988754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48.396541324532542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48.396541324532542</v>
      </c>
      <c r="CO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17.8</v>
      </c>
      <c r="CT77" s="12">
        <f>IF('Données projet'!$A$140&gt;35,CT76+CS77-DB76,IF(A77&lt;'Données projet'!$A$140,$CQ$205^A77,IF(A77='Données projet'!$A$140,'Données projet'!$B$140,CT76+CS77-DB76)))</f>
        <v>788.19999999999982</v>
      </c>
      <c r="CU77" s="17">
        <f>CT77*VLOOKUP('Données projet'!$B$13,Paramètres!$A$1:$I$89,3,0)*VLOOKUP('Données projet'!$B$13,Paramètres!$A$1:$I$89,5,0)</f>
        <v>389.37079999999997</v>
      </c>
      <c r="CV77" s="13">
        <f t="shared" si="95"/>
        <v>89.618391946937166</v>
      </c>
      <c r="CW77" s="20">
        <f t="shared" si="67"/>
        <v>834.23950930758201</v>
      </c>
      <c r="CX77" s="59">
        <f t="shared" si="68"/>
        <v>1127.5728426409153</v>
      </c>
      <c r="CY77" s="59">
        <f ca="1">AVERAGE(OFFSET($CX$3,0,0,'Données projet'!$E$13+1,1))-AVERAGE(OFFSET($H$3,0,0,'Données projet'!$E$13+1,1))</f>
        <v>396.27049617044378</v>
      </c>
      <c r="CZ77" s="59">
        <f t="shared" si="96"/>
        <v>335.2680289568774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122.49552883737606</v>
      </c>
      <c r="DG77" s="21">
        <f>EXP(-LN(2)/25)*DG76+(1-EXP(-LN(2)/25))/(LN(2)/25)*Calculateur!DB77*Calculateur!DD77*VLOOKUP('Données projet'!$B$13,Paramètres!$A$1:$I$89,3,0)*0.475*44/12</f>
        <v>13.879037096518523</v>
      </c>
      <c r="DH77" s="21">
        <f>EXP(-LN(2)/2)*DH76+(1-EXP(-LN(2)/2))/(LN(2)/2)*DB77*DE77*VLOOKUP('Données projet'!$B$13,Paramètres!$A$1:$I$89,3,0)*0.475*44/12</f>
        <v>9.1680143844467695E-8</v>
      </c>
      <c r="DI77" s="22">
        <f t="shared" si="69"/>
        <v>136.37456602557472</v>
      </c>
      <c r="DJ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11.4</v>
      </c>
      <c r="DO77" s="12">
        <f>IF('Données projet'!$A$166&gt;35,DO76+DN77-DW76,IF(A77&lt;'Données projet'!$A$166,$DL$205^A77,IF(A77='Données projet'!$A$166,'Données projet'!$B$166,DO76+DN77-DW76)))</f>
        <v>463.59999999999962</v>
      </c>
      <c r="DP77" s="17">
        <f>DO77*VLOOKUP('Données projet'!$B$14,Paramètres!$A$1:$I$89,3,0)*VLOOKUP('Données projet'!$B$14,Paramètres!$A$1:$I$89,5,0)</f>
        <v>265.17919999999981</v>
      </c>
      <c r="DQ77" s="13">
        <f t="shared" si="97"/>
        <v>63.825103577721052</v>
      </c>
      <c r="DR77" s="20">
        <f t="shared" si="70"/>
        <v>573.01582873119708</v>
      </c>
      <c r="DS77" s="59">
        <f t="shared" si="71"/>
        <v>866.34916206453045</v>
      </c>
      <c r="DT77" s="59">
        <f ca="1">AVERAGE(OFFSET($DS$3,0,0,'Données projet'!$E$14+1,1))-AVERAGE(OFFSET($H$3,0,0,'Données projet'!$E$14+1,1))</f>
        <v>307.43900954374504</v>
      </c>
      <c r="DU77" s="59">
        <f t="shared" si="98"/>
        <v>185.25270859048999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72.106093301343705</v>
      </c>
      <c r="EB77" s="21">
        <f>EXP(-LN(2)/25)*EB76+(1-EXP(-LN(2)/25))/(LN(2)/25)*Calculateur!DW77*Calculateur!DY77*VLOOKUP('Données projet'!$B$14,Paramètres!$A$1:$I$89,3,0)*0.475*44/12</f>
        <v>7.8891368759157903</v>
      </c>
      <c r="EC77" s="21">
        <f>EXP(-LN(2)/2)*EC76+(1-EXP(-LN(2)/2))/(LN(2)/2)*DW77*DZ77*VLOOKUP('Données projet'!$B$14,Paramètres!$A$1:$I$89,3,0)*0.475*44/12</f>
        <v>8.6854873115811462E-8</v>
      </c>
      <c r="ED77" s="22">
        <f t="shared" si="72"/>
        <v>79.995230264114369</v>
      </c>
      <c r="EE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401</v>
      </c>
      <c r="EK77" s="17">
        <f>EJ77*VLOOKUP('Données projet'!$B$15,Paramètres!$A$1:$I$89,3,0)*VLOOKUP('Données projet'!$B$15,Paramètres!$A$1:$I$89,5,0)</f>
        <v>250.22399999999999</v>
      </c>
      <c r="EL77" s="13">
        <f t="shared" si="99"/>
        <v>60.633904580527918</v>
      </c>
      <c r="EM77" s="20">
        <f t="shared" si="73"/>
        <v>541.41085047775289</v>
      </c>
      <c r="EN77" s="59">
        <f t="shared" si="74"/>
        <v>834.74418381108626</v>
      </c>
      <c r="EO77" s="59">
        <f ca="1">AVERAGE(OFFSET($EN$3,0,0,'Données projet'!$E$15+1,1))-AVERAGE(OFFSET($H$3,0,0,'Données projet'!$E$15+1,1))</f>
        <v>269.77739619445515</v>
      </c>
      <c r="EP77" s="59">
        <f t="shared" si="100"/>
        <v>347.56964743629885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58.035538251956197</v>
      </c>
      <c r="EW77" s="21">
        <f>EXP(-LN(2)/25)*EW76+(1-EXP(-LN(2)/25))/(LN(2)/25)*Calculateur!ER77*Calculateur!ET77*VLOOKUP('Données projet'!$B$15,Paramètres!$A$1:$I$89,3,0)*0.475*44/12</f>
        <v>27.086713862449383</v>
      </c>
      <c r="EX77" s="21">
        <f>EXP(-LN(2)/2)*EX76+(1-EXP(-LN(2)/2))/(LN(2)/2)*ER77*EU77*VLOOKUP('Données projet'!$B$15,Paramètres!$A$1:$I$89,3,0)*0.475*44/12</f>
        <v>5.921923166987146E-9</v>
      </c>
      <c r="EY77" s="22">
        <f t="shared" si="75"/>
        <v>85.122252120327502</v>
      </c>
      <c r="EZ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4.8</v>
      </c>
      <c r="FE77" s="12">
        <f>IF('Données projet'!$A$218&gt;35,FE76+FD77-FM76,IF(A77&lt;'Données projet'!$A$218,$FB$205^A77,IF(A77='Données projet'!$A$218,'Données projet'!$B$218,FE76+FD77-FM76)))</f>
        <v>370.1999999999997</v>
      </c>
      <c r="FF77" s="17">
        <f>FE77*VLOOKUP('Données projet'!$B$16,Paramètres!$A$1:$I$89,3,0)*VLOOKUP('Données projet'!$B$16,Paramètres!$A$1:$I$89,5,0)</f>
        <v>294.53111999999976</v>
      </c>
      <c r="FG77" s="13">
        <f t="shared" si="101"/>
        <v>70.028751453157682</v>
      </c>
      <c r="FH77" s="20">
        <f t="shared" si="76"/>
        <v>634.94177611424914</v>
      </c>
      <c r="FI77" s="59">
        <f t="shared" si="77"/>
        <v>928.27510944758251</v>
      </c>
      <c r="FJ77" s="59">
        <f ca="1">AVERAGE(OFFSET($FI$3,0,0,'Données projet'!$E$16+1,1))-AVERAGE(OFFSET($H$3,0,0,'Données projet'!$E$16+1,1))</f>
        <v>331.52724290297675</v>
      </c>
      <c r="FK77" s="59">
        <f t="shared" si="102"/>
        <v>322.79102610158054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55.928136642782569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55.928136642782569</v>
      </c>
      <c r="FU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20.399999999999999</v>
      </c>
      <c r="FZ77" s="12">
        <f>IF('Données projet'!$A$244&gt;35,FZ76+FY77-GH76,IF(A77&lt;'Données projet'!$A$244,$FW$205^A77,IF(A77='Données projet'!$A$244,'Données projet'!$B$244,FZ76+FY77-GH76)))</f>
        <v>853.6</v>
      </c>
      <c r="GA77" s="17">
        <f>FZ77*VLOOKUP('Données projet'!$B$17,Paramètres!$A$1:$I$89,3,0)*VLOOKUP('Données projet'!$B$17,Paramètres!$A$1:$I$89,5,0)</f>
        <v>421.67840000000001</v>
      </c>
      <c r="GB77" s="13">
        <f t="shared" si="103"/>
        <v>96.158037336803631</v>
      </c>
      <c r="GC77" s="20">
        <f t="shared" si="79"/>
        <v>901.89846169493296</v>
      </c>
      <c r="GD77" s="59">
        <f t="shared" si="80"/>
        <v>1195.2317950282663</v>
      </c>
      <c r="GE77" s="59">
        <f ca="1">AVERAGE(OFFSET($GD$3,0,0,'Données projet'!$E$17+1,1))-AVERAGE(OFFSET($H$3,0,0,'Données projet'!$E$17+1,1))</f>
        <v>434.08297999735811</v>
      </c>
      <c r="GF77" s="59">
        <f t="shared" si="104"/>
        <v>371.04090283546122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134.62018015707673</v>
      </c>
      <c r="GM77" s="21">
        <f>EXP(-LN(2)/25)*GM76+(1-EXP(-LN(2)/25))/(LN(2)/25)*Calculateur!GH77*Calculateur!GJ77*VLOOKUP('Données projet'!$B$17,Paramètres!$A$1:$I$89,3,0)*0.475*44/12</f>
        <v>15.266940806170386</v>
      </c>
      <c r="GN77" s="21">
        <f>EXP(-LN(2)/2)*GN76+(1-EXP(-LN(2)/2))/(LN(2)/2)*GH77*GK77*VLOOKUP('Données projet'!$B$17,Paramètres!$A$1:$I$89,3,0)*0.475*44/12</f>
        <v>1.7919300842327767E-7</v>
      </c>
      <c r="GO77" s="21">
        <f t="shared" si="81"/>
        <v>149.88712114244012</v>
      </c>
      <c r="GP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12.4</v>
      </c>
      <c r="GU77" s="12">
        <f>IF('Données projet'!$A$270&gt;35,GU76+GT77-HC76,IF(A77&lt;'Données projet'!$A$270,$GR$205^A77,IF(A77='Données projet'!$A$270,'Données projet'!$B$270,GU76+GT77-HC76)))</f>
        <v>530.59999999999991</v>
      </c>
      <c r="GV77" s="17">
        <f>GU77*VLOOKUP('Données projet'!$B$18,Paramètres!$A$1:$I$89,3,0)*VLOOKUP('Données projet'!$B$18,Paramètres!$A$1:$I$89,5,0)</f>
        <v>303.50319999999999</v>
      </c>
      <c r="GW77" s="13">
        <f t="shared" si="105"/>
        <v>71.910371793603105</v>
      </c>
      <c r="GX77" s="20">
        <f t="shared" si="82"/>
        <v>653.84530420719193</v>
      </c>
      <c r="GY77" s="59">
        <f t="shared" si="83"/>
        <v>947.17863754052519</v>
      </c>
      <c r="GZ77" s="59">
        <f ca="1">AVERAGE(OFFSET($GY$3,0,0,'Données projet'!$E$18+1,1))-AVERAGE(OFFSET($H$3,0,0,'Données projet'!$E$18+1,1))</f>
        <v>362.57172983134313</v>
      </c>
      <c r="HA77" s="59">
        <f t="shared" si="106"/>
        <v>232.03250917542471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81.012781664575286</v>
      </c>
      <c r="HH77" s="21">
        <f>EXP(-LN(2)/25)*HH76+(1-EXP(-LN(2)/25))/(LN(2)/25)*Calculateur!HC77*Calculateur!HE77*VLOOKUP('Données projet'!$B$18,Paramètres!$A$1:$I$89,3,0)*0.475*44/12</f>
        <v>9.2039930219017609</v>
      </c>
      <c r="HI77" s="21">
        <f>EXP(-LN(2)/2)*HI76+(1-EXP(-LN(2)/2))/(LN(2)/2)*HC77*HF77*VLOOKUP('Données projet'!$B$18,Paramètres!$A$1:$I$89,3,0)*0.475*44/12</f>
        <v>1.7853501696027906E-7</v>
      </c>
      <c r="HJ77" s="22">
        <f t="shared" si="84"/>
        <v>90.21677486501207</v>
      </c>
    </row>
    <row r="78" spans="1:218" x14ac:dyDescent="0.3">
      <c r="A78" s="10">
        <f t="shared" si="85"/>
        <v>75</v>
      </c>
      <c r="B78" s="71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5">
        <f t="shared" si="56"/>
        <v>375.238961852476</v>
      </c>
      <c r="I78" s="6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270</v>
      </c>
      <c r="L78" s="12">
        <f>VLOOKUP(A78,'Données projet'!$A$35:$I$55,9,0)</f>
        <v>3.4</v>
      </c>
      <c r="M78" s="12">
        <f t="array" ref="M78">INDEX(L:L,MIN(IF(ISNUMBER(L78:L274),ROW(L78:L274),"")))</f>
        <v>3.4</v>
      </c>
      <c r="N78" s="13">
        <f>IF('Données projet'!$A$36&gt;35,N77+M78-V77,IF(A78&lt;'Données projet'!$A$36,$K$205^A78,IF(A78='Données projet'!$A$36,'Données projet'!$B$36,N77+M78-V77)))</f>
        <v>269.99999999999977</v>
      </c>
      <c r="O78" s="13">
        <f>N78*VLOOKUP('Données projet'!$B$9,Paramètres!$A$1:$I$89,3,0)*VLOOKUP('Données projet'!$B$9,Paramètres!$A$1:$I$89,5,0)</f>
        <v>214.81199999999981</v>
      </c>
      <c r="P78" s="13">
        <f t="shared" si="87"/>
        <v>52.985738231738011</v>
      </c>
      <c r="Q78" s="20">
        <f t="shared" si="54"/>
        <v>466.41439408694333</v>
      </c>
      <c r="R78" s="59">
        <f t="shared" si="55"/>
        <v>759.74772742027665</v>
      </c>
      <c r="S78" s="59">
        <f ca="1">AVERAGE(OFFSET($R$3,0,0,'Données projet'!$E$9+1,1))-AVERAGE(OFFSET($H$3,0,0,'Données projet'!$E$9+1,1))</f>
        <v>225.2323446080772</v>
      </c>
      <c r="T78" s="59">
        <f t="shared" si="88"/>
        <v>222.29030402759292</v>
      </c>
      <c r="U78" s="15">
        <f>IF(ISNA(VLOOKUP(A78,'Données projet'!$A$35:$I$55,3,0)),0,VLOOKUP(A78,'Données projet'!$A$35:$I$55,3,0))</f>
        <v>13</v>
      </c>
      <c r="V78" s="15">
        <f>IF(ISNA(VLOOKUP(A78,'Données projet'!$A$35:$I$55,4,0)),0,VLOOKUP(A78,'Données projet'!$A$35:$I$55,4,0))</f>
        <v>9</v>
      </c>
      <c r="W78" s="16">
        <f>IF(ISNA(VLOOKUP(A78,'Données projet'!$A$35:$I$55,5,0)),0%,VLOOKUP(A78,'Données projet'!$A$35:$I$55,5,0)*VLOOKUP('Données projet'!$B$9,Paramètres!$A$1:$I$89,7,0))</f>
        <v>0.53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43.785590014525802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43.785590014525802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747</v>
      </c>
      <c r="AG78" s="12">
        <f>VLOOKUP(A78,'Données projet'!$A$61:$I$81,9,0)</f>
        <v>16.8</v>
      </c>
      <c r="AH78" s="12">
        <f t="array" ref="AH78">INDEX(AG:AG,MIN(IF(ISNUMBER(AG78:AG274),ROW(AG78:AG274),"")))</f>
        <v>16.8</v>
      </c>
      <c r="AI78" s="13">
        <f>IF('Données projet'!$A$62&gt;35,AI77+AH78-AQ77,IF(A78&lt;'Données projet'!$A$62,$AF$205^A78,IF(A78='Données projet'!$A$62,'Données projet'!$B$62,AI77+AH78-AQ77)))</f>
        <v>746.99999999999989</v>
      </c>
      <c r="AJ78" s="13">
        <f>AI78*VLOOKUP('Données projet'!$B$10,Paramètres!$A$1:$I$89,3,0)*VLOOKUP('Données projet'!$B$10,Paramètres!$A$1:$I$89,5,0)</f>
        <v>369.01799999999997</v>
      </c>
      <c r="AK78" s="13">
        <f t="shared" si="89"/>
        <v>85.466374344123537</v>
      </c>
      <c r="AL78" s="20">
        <f t="shared" si="58"/>
        <v>791.56028531601498</v>
      </c>
      <c r="AM78" s="59">
        <f t="shared" si="59"/>
        <v>1084.8936186493484</v>
      </c>
      <c r="AN78" s="59">
        <f ca="1">AVERAGE(OFFSET($AM$3,0,0,'Données projet'!$E$10+1,1))-AVERAGE(OFFSET($H$3,0,0,'Données projet'!$E$10+1,1))</f>
        <v>360.05819346986135</v>
      </c>
      <c r="AO78" s="59">
        <f t="shared" si="90"/>
        <v>300.47468388351081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47</v>
      </c>
      <c r="AR78" s="16">
        <f>IF(ISNA(VLOOKUP(A78,'Données projet'!$A$61:$I$81,5,0)),0%,VLOOKUP(A78,'Données projet'!$A$61:$I$81,5,0)*VLOOKUP('Données projet'!$B$10,Paramètres!$A$1:$I$89,7,0))</f>
        <v>0.55000000000000004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125.14666736865917</v>
      </c>
      <c r="AV78" s="21">
        <f>EXP(-LN(2)/25)*AV77+(1-EXP(-LN(2)/25))/(LN(2)/25)*Calculateur!AQ78*Calculateur!AS78*VLOOKUP('Données projet'!$B$10,Paramètres!$A$1:$I$89,3,0)*0.475*44/12</f>
        <v>12.149562687522643</v>
      </c>
      <c r="AW78" s="21">
        <f>EXP(-LN(2)/2)*AW77+(1-EXP(-LN(2)/2))/(LN(2)/2)*AQ78*AT78*VLOOKUP('Données projet'!$B$10,Paramètres!$A$1:$I$89,3,0)*0.475*44/12</f>
        <v>8.8401342835337968E-9</v>
      </c>
      <c r="AX78" s="21">
        <f t="shared" si="60"/>
        <v>137.29623006502194</v>
      </c>
      <c r="AY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408</v>
      </c>
      <c r="BB78" s="12">
        <f>VLOOKUP(A78,'Données projet'!$A$87:$I$107,9,0)</f>
        <v>10</v>
      </c>
      <c r="BC78" s="12">
        <f t="array" ref="BC78">INDEX(BB:BB,MIN(IF(ISNUMBER(BB78:BB274),ROW(BB78:BB274),"")))</f>
        <v>10</v>
      </c>
      <c r="BD78" s="12">
        <f>IF('Données projet'!$A$88&gt;35,BD77+BC78-BL77,IF(A78&lt;'Données projet'!$A$88,$BA$205^A78,IF(A78='Données projet'!$A$88,'Données projet'!$B$88,BD77+BC78-BL77)))</f>
        <v>407.99999999999994</v>
      </c>
      <c r="BE78" s="13">
        <f>BD78*VLOOKUP('Données projet'!$B$11,Paramètres!$A$1:$I$89,3,0)*VLOOKUP('Données projet'!$B$11,Paramètres!$A$1:$I$89,5,0)</f>
        <v>233.37599999999998</v>
      </c>
      <c r="BF78" s="13">
        <f t="shared" si="91"/>
        <v>57.012031446990107</v>
      </c>
      <c r="BG78" s="20">
        <f t="shared" si="61"/>
        <v>505.75915477017446</v>
      </c>
      <c r="BH78" s="59">
        <f t="shared" si="62"/>
        <v>799.09248810350778</v>
      </c>
      <c r="BI78" s="59">
        <f ca="1">AVERAGE(OFFSET($BH$3,0,0,'Données projet'!$E$11+1,1))-AVERAGE(OFFSET($H$3,0,0,'Données projet'!$E$11+1,1))</f>
        <v>250.90038883668348</v>
      </c>
      <c r="BJ78" s="59">
        <f t="shared" si="92"/>
        <v>141.96132114475608</v>
      </c>
      <c r="BK78" s="15">
        <f>IF(ISNA(VLOOKUP(A78,'Données projet'!$A$87:$I$107,3,0)),0,VLOOKUP(A78,'Données projet'!$A$87:$I$107,3,0))</f>
        <v>11</v>
      </c>
      <c r="BL78" s="15">
        <f>IF(ISNA(VLOOKUP(A78,'Données projet'!$A$87:$I$107,4,0)),0,VLOOKUP(A78,'Données projet'!$A$87:$I$107,4,0))</f>
        <v>27</v>
      </c>
      <c r="BM78" s="16">
        <f>IF(ISNA(VLOOKUP(A78,'Données projet'!$A$87:$I$107,5,0)),0%,VLOOKUP(A78,'Données projet'!$A$87:$I$107,5,0)*VLOOKUP('Données projet'!$B$11,Paramètres!$A$1:$I$89,7,0))</f>
        <v>0.45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69.932378840732014</v>
      </c>
      <c r="BQ78" s="21">
        <f>EXP(-LN(2)/25)*BQ77+(1-EXP(-LN(2)/25))/(LN(2)/25)*Calculateur!BL78*Calculateur!BN78*VLOOKUP('Données projet'!$B$11,Paramètres!$A$1:$I$89,3,0)*0.475*44/12</f>
        <v>3.4185158119306047</v>
      </c>
      <c r="BR78" s="21">
        <f>EXP(-LN(2)/2)*BR77+(1-EXP(-LN(2)/2))/(LN(2)/2)*BL78*BO78*VLOOKUP('Données projet'!$B$11,Paramètres!$A$1:$I$89,3,0)*0.475*44/12</f>
        <v>6.369357361826198E-7</v>
      </c>
      <c r="BS78" s="22">
        <f t="shared" si="63"/>
        <v>73.350895289598355</v>
      </c>
      <c r="BT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324</v>
      </c>
      <c r="BW78" s="12">
        <f>VLOOKUP(A78,'Données projet'!$A$113:$I$133,9,0)</f>
        <v>4.2</v>
      </c>
      <c r="BX78" s="12">
        <f t="array" ref="BX78">INDEX(BW:BW,MIN(IF(ISNUMBER(BW78:BW274),ROW(BW78:BW274),"")))</f>
        <v>4.2</v>
      </c>
      <c r="BY78" s="12">
        <f>IF('Données projet'!$A$114&gt;35,BY77+BX78-CG77,IF(A78&lt;'Données projet'!$A$114,$BV$205^A78,IF(A78='Données projet'!$A$114,'Données projet'!$B$114,BY77+BX78-CG77)))</f>
        <v>323.99999999999989</v>
      </c>
      <c r="BZ78" s="13">
        <f>BY78*VLOOKUP('Données projet'!$B$12,Paramètres!$A$1:$I$89,3,0)*VLOOKUP('Données projet'!$B$12,Paramètres!$A$1:$I$89,5,0)</f>
        <v>257.77439999999996</v>
      </c>
      <c r="CA78" s="13">
        <f t="shared" si="93"/>
        <v>62.247732872134293</v>
      </c>
      <c r="CB78" s="20">
        <f t="shared" si="64"/>
        <v>557.37188141896718</v>
      </c>
      <c r="CC78" s="59">
        <f t="shared" si="65"/>
        <v>850.70521475230044</v>
      </c>
      <c r="CD78" s="59">
        <f ca="1">AVERAGE(OFFSET($CC$3,0,0,'Données projet'!$E$12+1,1))-AVERAGE(OFFSET($H$3,0,0,'Données projet'!$E$12+1,1))</f>
        <v>279.49721661620544</v>
      </c>
      <c r="CE78" s="59">
        <f t="shared" si="94"/>
        <v>275.18739333988754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12</v>
      </c>
      <c r="CH78" s="16">
        <f>IF(ISNA(VLOOKUP(A78,'Données projet'!$A$113:$I$133,5,0)),0%,VLOOKUP(A78,'Données projet'!$A$113:$I$133,5,0)*VLOOKUP('Données projet'!$B$12,Paramètres!$A$1:$I$89,7,0))</f>
        <v>0.53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53.04121247609671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53.04121247609671</v>
      </c>
      <c r="CO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806</v>
      </c>
      <c r="CR78" s="12">
        <f>VLOOKUP(A78,'Données projet'!$A$139:$I$159,9,0)</f>
        <v>17.8</v>
      </c>
      <c r="CS78" s="12">
        <f t="array" ref="CS78">INDEX(CR:CR,MIN(IF(ISNUMBER(CR78:CR274),ROW(CR78:CR274),"")))</f>
        <v>17.8</v>
      </c>
      <c r="CT78" s="12">
        <f>IF('Données projet'!$A$140&gt;35,CT77+CS78-DB77,IF(A78&lt;'Données projet'!$A$140,$CQ$205^A78,IF(A78='Données projet'!$A$140,'Données projet'!$B$140,CT77+CS78-DB77)))</f>
        <v>805.99999999999977</v>
      </c>
      <c r="CU78" s="17">
        <f>CT78*VLOOKUP('Données projet'!$B$13,Paramètres!$A$1:$I$89,3,0)*VLOOKUP('Données projet'!$B$13,Paramètres!$A$1:$I$89,5,0)</f>
        <v>398.16399999999993</v>
      </c>
      <c r="CV78" s="13">
        <f t="shared" si="95"/>
        <v>91.4043447928848</v>
      </c>
      <c r="CW78" s="20">
        <f t="shared" si="67"/>
        <v>852.66486718094075</v>
      </c>
      <c r="CX78" s="59">
        <f t="shared" si="68"/>
        <v>1145.998200514274</v>
      </c>
      <c r="CY78" s="59">
        <f ca="1">AVERAGE(OFFSET($CX$3,0,0,'Données projet'!$E$13+1,1))-AVERAGE(OFFSET($H$3,0,0,'Données projet'!$E$13+1,1))</f>
        <v>396.27049617044378</v>
      </c>
      <c r="CZ78" s="59">
        <f t="shared" si="96"/>
        <v>335.2680289568774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52</v>
      </c>
      <c r="DC78" s="16">
        <f>IF(ISNA(VLOOKUP(A78,'Données projet'!$A$139:$I$159,5,0)),0%,VLOOKUP(A78,'Données projet'!$A$139:$I$159,5,0)*VLOOKUP('Données projet'!$B$13,Paramètres!$A$1:$I$89,7,0))</f>
        <v>0.55000000000000004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138.83569948400222</v>
      </c>
      <c r="DG78" s="21">
        <f>EXP(-LN(2)/25)*DG77+(1-EXP(-LN(2)/25))/(LN(2)/25)*Calculateur!DB78*Calculateur!DD78*VLOOKUP('Données projet'!$B$13,Paramètres!$A$1:$I$89,3,0)*0.475*44/12</f>
        <v>13.499514097247385</v>
      </c>
      <c r="DH78" s="21">
        <f>EXP(-LN(2)/2)*DH77+(1-EXP(-LN(2)/2))/(LN(2)/2)*DB78*DE78*VLOOKUP('Données projet'!$B$13,Paramètres!$A$1:$I$89,3,0)*0.475*44/12</f>
        <v>6.482765141258122E-8</v>
      </c>
      <c r="DI78" s="22">
        <f t="shared" si="69"/>
        <v>152.33521364607725</v>
      </c>
      <c r="DJ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475</v>
      </c>
      <c r="DM78" s="12">
        <f>VLOOKUP(A78,'Données projet'!$A$165:$I$185,9,0)</f>
        <v>11.4</v>
      </c>
      <c r="DN78" s="12">
        <f t="array" ref="DN78">INDEX(DM:DM,MIN(IF(ISNUMBER(DM78:DM274),ROW(DM78:DM274),"")))</f>
        <v>11.4</v>
      </c>
      <c r="DO78" s="12">
        <f>IF('Données projet'!$A$166&gt;35,DO77+DN78-DW77,IF(A78&lt;'Données projet'!$A$166,$DL$205^A78,IF(A78='Données projet'!$A$166,'Données projet'!$B$166,DO77+DN78-DW77)))</f>
        <v>474.9999999999996</v>
      </c>
      <c r="DP78" s="17">
        <f>DO78*VLOOKUP('Données projet'!$B$14,Paramètres!$A$1:$I$89,3,0)*VLOOKUP('Données projet'!$B$14,Paramètres!$A$1:$I$89,5,0)</f>
        <v>271.69999999999976</v>
      </c>
      <c r="DQ78" s="13">
        <f t="shared" si="97"/>
        <v>65.209920294809322</v>
      </c>
      <c r="DR78" s="20">
        <f t="shared" si="70"/>
        <v>586.78477784679239</v>
      </c>
      <c r="DS78" s="59">
        <f t="shared" si="71"/>
        <v>880.11811118012565</v>
      </c>
      <c r="DT78" s="59">
        <f ca="1">AVERAGE(OFFSET($DS$3,0,0,'Données projet'!$E$14+1,1))-AVERAGE(OFFSET($H$3,0,0,'Données projet'!$E$14+1,1))</f>
        <v>307.43900954374504</v>
      </c>
      <c r="DU78" s="59">
        <f t="shared" si="98"/>
        <v>185.25270859048999</v>
      </c>
      <c r="DV78" s="15">
        <f>IF(ISNA(VLOOKUP(A78,'Données projet'!$A$165:$I$185,3,0)),0,VLOOKUP(A78,'Données projet'!$A$165:$I$185,3,0))</f>
        <v>12</v>
      </c>
      <c r="DW78" s="15">
        <f>IF(ISNA(VLOOKUP(A78,'Données projet'!$A$165:$I$185,4,0)),0,VLOOKUP(A78,'Données projet'!$A$165:$I$185,4,0))</f>
        <v>30</v>
      </c>
      <c r="DX78" s="16">
        <f>IF(ISNA(VLOOKUP(A78,'Données projet'!$A$165:$I$185,5,0)),0%,VLOOKUP(A78,'Données projet'!$A$165:$I$185,5,0)*VLOOKUP('Données projet'!$B$14,Paramètres!$A$1:$I$89,7,0))</f>
        <v>0.45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80.935867516982697</v>
      </c>
      <c r="EB78" s="21">
        <f>EXP(-LN(2)/25)*EB77+(1-EXP(-LN(2)/25))/(LN(2)/25)*Calculateur!DW78*Calculateur!DY78*VLOOKUP('Données projet'!$B$14,Paramètres!$A$1:$I$89,3,0)*0.475*44/12</f>
        <v>7.6734080131721951</v>
      </c>
      <c r="EC78" s="21">
        <f>EXP(-LN(2)/2)*EC77+(1-EXP(-LN(2)/2))/(LN(2)/2)*DW78*DZ78*VLOOKUP('Données projet'!$B$14,Paramètres!$A$1:$I$89,3,0)*0.475*44/12</f>
        <v>6.1415669759287444E-8</v>
      </c>
      <c r="ED78" s="22">
        <f t="shared" si="72"/>
        <v>88.609275591570565</v>
      </c>
      <c r="EE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401</v>
      </c>
      <c r="EK78" s="17">
        <f>EJ78*VLOOKUP('Données projet'!$B$15,Paramètres!$A$1:$I$89,3,0)*VLOOKUP('Données projet'!$B$15,Paramètres!$A$1:$I$89,5,0)</f>
        <v>250.22399999999999</v>
      </c>
      <c r="EL78" s="13">
        <f t="shared" si="99"/>
        <v>60.633904580527918</v>
      </c>
      <c r="EM78" s="20">
        <f t="shared" si="73"/>
        <v>541.41085047775289</v>
      </c>
      <c r="EN78" s="59">
        <f t="shared" si="74"/>
        <v>834.74418381108626</v>
      </c>
      <c r="EO78" s="59">
        <f ca="1">AVERAGE(OFFSET($EN$3,0,0,'Données projet'!$E$15+1,1))-AVERAGE(OFFSET($H$3,0,0,'Données projet'!$E$15+1,1))</f>
        <v>269.77739619445515</v>
      </c>
      <c r="EP78" s="59">
        <f t="shared" si="100"/>
        <v>347.56964743629885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56.897496745018387</v>
      </c>
      <c r="EW78" s="21">
        <f>EXP(-LN(2)/25)*EW77+(1-EXP(-LN(2)/25))/(LN(2)/25)*Calculateur!ER78*Calculateur!ET78*VLOOKUP('Données projet'!$B$15,Paramètres!$A$1:$I$89,3,0)*0.475*44/12</f>
        <v>26.346026247452329</v>
      </c>
      <c r="EX78" s="21">
        <f>EXP(-LN(2)/2)*EX77+(1-EXP(-LN(2)/2))/(LN(2)/2)*ER78*EU78*VLOOKUP('Données projet'!$B$15,Paramètres!$A$1:$I$89,3,0)*0.475*44/12</f>
        <v>4.1874320290423263E-9</v>
      </c>
      <c r="EY78" s="22">
        <f t="shared" si="75"/>
        <v>83.243522996658143</v>
      </c>
      <c r="EZ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375</v>
      </c>
      <c r="FC78" s="12">
        <f>VLOOKUP(A78,'Données projet'!$A$217:$I$237,9,0)</f>
        <v>4.8</v>
      </c>
      <c r="FD78" s="12">
        <f t="array" ref="FD78">INDEX(FC:FC,MIN(IF(ISNUMBER(FC78:FC274),ROW(FC78:FC274),"")))</f>
        <v>4.8</v>
      </c>
      <c r="FE78" s="12">
        <f>IF('Données projet'!$A$218&gt;35,FE77+FD78-FM77,IF(A78&lt;'Données projet'!$A$218,$FB$205^A78,IF(A78='Données projet'!$A$218,'Données projet'!$B$218,FE77+FD78-FM77)))</f>
        <v>374.99999999999972</v>
      </c>
      <c r="FF78" s="17">
        <f>FE78*VLOOKUP('Données projet'!$B$16,Paramètres!$A$1:$I$89,3,0)*VLOOKUP('Données projet'!$B$16,Paramètres!$A$1:$I$89,5,0)</f>
        <v>298.3499999999998</v>
      </c>
      <c r="FG78" s="13">
        <f t="shared" si="101"/>
        <v>70.83044914753448</v>
      </c>
      <c r="FH78" s="20">
        <f t="shared" si="76"/>
        <v>642.98928226528881</v>
      </c>
      <c r="FI78" s="59">
        <f t="shared" si="77"/>
        <v>936.32261559862218</v>
      </c>
      <c r="FJ78" s="59">
        <f ca="1">AVERAGE(OFFSET($FI$3,0,0,'Données projet'!$E$16+1,1))-AVERAGE(OFFSET($H$3,0,0,'Données projet'!$E$16+1,1))</f>
        <v>331.52724290297675</v>
      </c>
      <c r="FK78" s="59">
        <f t="shared" si="102"/>
        <v>322.79102610158054</v>
      </c>
      <c r="FL78" s="15">
        <f>IF(ISNA(VLOOKUP(A78,'Données projet'!$A$217:$I$237,3,0)),0,VLOOKUP(A78,'Données projet'!$A$217:$I$237,3,0))</f>
        <v>14</v>
      </c>
      <c r="FM78" s="15">
        <f>IF(ISNA(VLOOKUP(A78,'Données projet'!$A$217:$I$237,4,0)),0,VLOOKUP(A78,'Données projet'!$A$217:$I$237,4,0))</f>
        <v>14</v>
      </c>
      <c r="FN78" s="16">
        <f>IF(ISNA(VLOOKUP(A78,'Données projet'!$A$217:$I$237,5,0)),0%,VLOOKUP(A78,'Données projet'!$A$217:$I$237,5,0)*VLOOKUP('Données projet'!$B$16,Paramètres!$A$1:$I$89,7,0))</f>
        <v>0.53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61.357400771969196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61.357400771969196</v>
      </c>
      <c r="FU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874</v>
      </c>
      <c r="FX78" s="12">
        <f>VLOOKUP(A78,'Données projet'!$A$243:$I$263,9,0)</f>
        <v>20.399999999999999</v>
      </c>
      <c r="FY78" s="12">
        <f t="array" ref="FY78">INDEX(FX:FX,MIN(IF(ISNUMBER(FX78:FX274),ROW(FX78:FX274),"")))</f>
        <v>20.399999999999999</v>
      </c>
      <c r="FZ78" s="12">
        <f>IF('Données projet'!$A$244&gt;35,FZ77+FY78-GH77,IF(A78&lt;'Données projet'!$A$244,$FW$205^A78,IF(A78='Données projet'!$A$244,'Données projet'!$B$244,FZ77+FY78-GH77)))</f>
        <v>874</v>
      </c>
      <c r="GA78" s="17">
        <f>FZ78*VLOOKUP('Données projet'!$B$17,Paramètres!$A$1:$I$89,3,0)*VLOOKUP('Données projet'!$B$17,Paramètres!$A$1:$I$89,5,0)</f>
        <v>431.75600000000003</v>
      </c>
      <c r="GB78" s="13">
        <f t="shared" si="103"/>
        <v>98.185803569521966</v>
      </c>
      <c r="GC78" s="20">
        <f t="shared" si="79"/>
        <v>922.98197455025081</v>
      </c>
      <c r="GD78" s="59">
        <f t="shared" si="80"/>
        <v>1216.3153078835842</v>
      </c>
      <c r="GE78" s="59">
        <f ca="1">AVERAGE(OFFSET($GD$3,0,0,'Données projet'!$E$17+1,1))-AVERAGE(OFFSET($H$3,0,0,'Données projet'!$E$17+1,1))</f>
        <v>434.08297999735811</v>
      </c>
      <c r="GF78" s="59">
        <f t="shared" si="104"/>
        <v>371.04090283546122</v>
      </c>
      <c r="GG78" s="15">
        <f>IF(ISNA(VLOOKUP(A78,'Données projet'!$A$243:$I$263,3,0)),0,VLOOKUP(A78,'Données projet'!$A$243:$I$263,3,0))</f>
        <v>12</v>
      </c>
      <c r="GH78" s="15">
        <f>IF(ISNA(VLOOKUP(A78,'Données projet'!$A$243:$I$263,4,0)),0,VLOOKUP(A78,'Données projet'!$A$243:$I$263,4,0))</f>
        <v>58</v>
      </c>
      <c r="GI78" s="16">
        <f>IF(ISNA(VLOOKUP(A78,'Données projet'!$A$243:$I$263,5,0)),0%,VLOOKUP(A78,'Données projet'!$A$243:$I$263,5,0)*VLOOKUP('Données projet'!$B$17,Paramètres!$A$1:$I$89,7,0))</f>
        <v>0.55000000000000004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152.88515916188817</v>
      </c>
      <c r="GM78" s="21">
        <f>EXP(-LN(2)/25)*GM77+(1-EXP(-LN(2)/25))/(LN(2)/25)*Calculateur!GH78*Calculateur!GJ78*VLOOKUP('Données projet'!$B$17,Paramètres!$A$1:$I$89,3,0)*0.475*44/12</f>
        <v>14.849465506972132</v>
      </c>
      <c r="GN78" s="21">
        <f>EXP(-LN(2)/2)*GN77+(1-EXP(-LN(2)/2))/(LN(2)/2)*GH78*GK78*VLOOKUP('Données projet'!$B$17,Paramètres!$A$1:$I$89,3,0)*0.475*44/12</f>
        <v>1.2670859139731777E-7</v>
      </c>
      <c r="GO78" s="21">
        <f t="shared" si="81"/>
        <v>167.73462479556889</v>
      </c>
      <c r="GP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>
        <f>VLOOKUP(A78,'Données projet'!$A$269:$I$289,2,0)</f>
        <v>543</v>
      </c>
      <c r="GS78" s="12">
        <f>VLOOKUP(A78,'Données projet'!$A$269:$I$289,9,0)</f>
        <v>12.4</v>
      </c>
      <c r="GT78" s="12">
        <f t="array" ref="GT78">INDEX(GS:GS,MIN(IF(ISNUMBER(GS78:GS274),ROW(GS78:GS274),"")))</f>
        <v>12.4</v>
      </c>
      <c r="GU78" s="12">
        <f>IF('Données projet'!$A$270&gt;35,GU77+GT78-HC77,IF(A78&lt;'Données projet'!$A$270,$GR$205^A78,IF(A78='Données projet'!$A$270,'Données projet'!$B$270,GU77+GT78-HC77)))</f>
        <v>542.99999999999989</v>
      </c>
      <c r="GV78" s="17">
        <f>GU78*VLOOKUP('Données projet'!$B$18,Paramètres!$A$1:$I$89,3,0)*VLOOKUP('Données projet'!$B$18,Paramètres!$A$1:$I$89,5,0)</f>
        <v>310.59599999999995</v>
      </c>
      <c r="GW78" s="13">
        <f t="shared" si="105"/>
        <v>73.393284775883487</v>
      </c>
      <c r="GX78" s="20">
        <f t="shared" si="82"/>
        <v>668.78133765133032</v>
      </c>
      <c r="GY78" s="59">
        <f t="shared" si="83"/>
        <v>962.11467098466369</v>
      </c>
      <c r="GZ78" s="59">
        <f ca="1">AVERAGE(OFFSET($GY$3,0,0,'Données projet'!$E$18+1,1))-AVERAGE(OFFSET($H$3,0,0,'Données projet'!$E$18+1,1))</f>
        <v>362.57172983134313</v>
      </c>
      <c r="HA78" s="59">
        <f t="shared" si="106"/>
        <v>232.03250917542471</v>
      </c>
      <c r="HB78" s="15">
        <f>IF(ISNA(VLOOKUP(A78,'Données projet'!$A$269:$I$289,3,0)),0,VLOOKUP(A78,'Données projet'!$A$269:$I$289,3,0))</f>
        <v>12</v>
      </c>
      <c r="HC78" s="15">
        <f>IF(ISNA(VLOOKUP(A78,'Données projet'!$A$269:$I$289,4,0)),0,VLOOKUP(A78,'Données projet'!$A$269:$I$289,4,0))</f>
        <v>33</v>
      </c>
      <c r="HD78" s="16">
        <f>IF(ISNA(VLOOKUP(A78,'Données projet'!$A$269:$I$289,5,0)),0%,VLOOKUP(A78,'Données projet'!$A$269:$I$289,5,0)*VLOOKUP('Données projet'!$B$18,Paramètres!$A$1:$I$89,7,0))</f>
        <v>0.45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90.692274226445207</v>
      </c>
      <c r="HH78" s="21">
        <f>EXP(-LN(2)/25)*HH77+(1-EXP(-LN(2)/25))/(LN(2)/25)*Calculateur!HC78*Calculateur!HE78*VLOOKUP('Données projet'!$B$18,Paramètres!$A$1:$I$89,3,0)*0.475*44/12</f>
        <v>8.9523093487009007</v>
      </c>
      <c r="HI78" s="21">
        <f>EXP(-LN(2)/2)*HI77+(1-EXP(-LN(2)/2))/(LN(2)/2)*HC78*HF78*VLOOKUP('Données projet'!$B$18,Paramètres!$A$1:$I$89,3,0)*0.475*44/12</f>
        <v>1.262433211718686E-7</v>
      </c>
      <c r="HJ78" s="22">
        <f t="shared" si="84"/>
        <v>99.644583701389422</v>
      </c>
    </row>
    <row r="79" spans="1:218" x14ac:dyDescent="0.3">
      <c r="A79" s="10">
        <f t="shared" si="85"/>
        <v>76</v>
      </c>
      <c r="B79" s="71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5">
        <f t="shared" si="56"/>
        <v>376.30125896348062</v>
      </c>
      <c r="I79" s="6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2.8</v>
      </c>
      <c r="N79" s="13">
        <f>IF('Données projet'!$A$36&gt;35,N78+M79-V78,IF(A79&lt;'Données projet'!$A$36,$K$205^A79,IF(A79='Données projet'!$A$36,'Données projet'!$B$36,N78+M79-V78)))</f>
        <v>263.79999999999978</v>
      </c>
      <c r="O79" s="13">
        <f>N79*VLOOKUP('Données projet'!$B$9,Paramètres!$A$1:$I$89,3,0)*VLOOKUP('Données projet'!$B$9,Paramètres!$A$1:$I$89,5,0)</f>
        <v>209.87927999999985</v>
      </c>
      <c r="P79" s="13">
        <f t="shared" si="87"/>
        <v>51.909204458241767</v>
      </c>
      <c r="Q79" s="20">
        <f t="shared" si="54"/>
        <v>455.94827709810414</v>
      </c>
      <c r="R79" s="59">
        <f t="shared" si="55"/>
        <v>749.28161043143746</v>
      </c>
      <c r="S79" s="59">
        <f ca="1">AVERAGE(OFFSET($R$3,0,0,'Données projet'!$E$9+1,1))-AVERAGE(OFFSET($H$3,0,0,'Données projet'!$E$9+1,1))</f>
        <v>225.2323446080772</v>
      </c>
      <c r="T79" s="59">
        <f t="shared" si="88"/>
        <v>222.29030402759292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42.926981300913802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42.926981300913802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15.8</v>
      </c>
      <c r="AI79" s="13">
        <f>IF('Données projet'!$A$62&gt;35,AI78+AH79-AQ78,IF(A79&lt;'Données projet'!$A$62,$AF$205^A79,IF(A79='Données projet'!$A$62,'Données projet'!$B$62,AI78+AH79-AQ78)))</f>
        <v>715.79999999999984</v>
      </c>
      <c r="AJ79" s="13">
        <f>AI79*VLOOKUP('Données projet'!$B$10,Paramètres!$A$1:$I$89,3,0)*VLOOKUP('Données projet'!$B$10,Paramètres!$A$1:$I$89,5,0)</f>
        <v>353.60519999999997</v>
      </c>
      <c r="AK79" s="13">
        <f t="shared" si="89"/>
        <v>82.304416023872108</v>
      </c>
      <c r="AL79" s="20">
        <f t="shared" si="58"/>
        <v>759.20924790824392</v>
      </c>
      <c r="AM79" s="59">
        <f t="shared" si="59"/>
        <v>1052.5425812415772</v>
      </c>
      <c r="AN79" s="59">
        <f ca="1">AVERAGE(OFFSET($AM$3,0,0,'Données projet'!$E$10+1,1))-AVERAGE(OFFSET($H$3,0,0,'Données projet'!$E$10+1,1))</f>
        <v>360.05819346986135</v>
      </c>
      <c r="AO79" s="59">
        <f t="shared" si="90"/>
        <v>300.47468388351081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122.6926175534897</v>
      </c>
      <c r="AV79" s="21">
        <f>EXP(-LN(2)/25)*AV78+(1-EXP(-LN(2)/25))/(LN(2)/25)*Calculateur!AQ79*Calculateur!AS79*VLOOKUP('Données projet'!$B$10,Paramètres!$A$1:$I$89,3,0)*0.475*44/12</f>
        <v>11.817332256914602</v>
      </c>
      <c r="AW79" s="21">
        <f>EXP(-LN(2)/2)*AW78+(1-EXP(-LN(2)/2))/(LN(2)/2)*AQ79*AT79*VLOOKUP('Données projet'!$B$10,Paramètres!$A$1:$I$89,3,0)*0.475*44/12</f>
        <v>6.2509188984864297E-9</v>
      </c>
      <c r="AX79" s="21">
        <f t="shared" si="60"/>
        <v>134.50994981665522</v>
      </c>
      <c r="AY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</v>
      </c>
      <c r="BD79" s="12">
        <f>IF('Données projet'!$A$88&gt;35,BD78+BC79-BL78,IF(A79&lt;'Données projet'!$A$88,$BA$205^A79,IF(A79='Données projet'!$A$88,'Données projet'!$B$88,BD78+BC79-BL78)))</f>
        <v>389.99999999999994</v>
      </c>
      <c r="BE79" s="13">
        <f>BD79*VLOOKUP('Données projet'!$B$11,Paramètres!$A$1:$I$89,3,0)*VLOOKUP('Données projet'!$B$11,Paramètres!$A$1:$I$89,5,0)</f>
        <v>223.07999999999996</v>
      </c>
      <c r="BF79" s="13">
        <f t="shared" si="91"/>
        <v>54.783765878062667</v>
      </c>
      <c r="BG79" s="20">
        <f t="shared" si="61"/>
        <v>483.94605890429233</v>
      </c>
      <c r="BH79" s="59">
        <f t="shared" si="62"/>
        <v>777.27939223762564</v>
      </c>
      <c r="BI79" s="59">
        <f ca="1">AVERAGE(OFFSET($BH$3,0,0,'Données projet'!$E$11+1,1))-AVERAGE(OFFSET($H$3,0,0,'Données projet'!$E$11+1,1))</f>
        <v>250.90038883668348</v>
      </c>
      <c r="BJ79" s="59">
        <f t="shared" si="92"/>
        <v>141.96132114475608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68.561047546204563</v>
      </c>
      <c r="BQ79" s="21">
        <f>EXP(-LN(2)/25)*BQ78+(1-EXP(-LN(2)/25))/(LN(2)/25)*Calculateur!BL79*Calculateur!BN79*VLOOKUP('Données projet'!$B$11,Paramètres!$A$1:$I$89,3,0)*0.475*44/12</f>
        <v>3.325036317281429</v>
      </c>
      <c r="BR79" s="21">
        <f>EXP(-LN(2)/2)*BR78+(1-EXP(-LN(2)/2))/(LN(2)/2)*BL79*BO79*VLOOKUP('Données projet'!$B$11,Paramètres!$A$1:$I$89,3,0)*0.475*44/12</f>
        <v>4.5038157823477635E-7</v>
      </c>
      <c r="BS79" s="22">
        <f t="shared" si="63"/>
        <v>71.88608431386757</v>
      </c>
      <c r="BT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3.6</v>
      </c>
      <c r="BY79" s="12">
        <f>IF('Données projet'!$A$114&gt;35,BY78+BX79-CG78,IF(A79&lt;'Données projet'!$A$114,$BV$205^A79,IF(A79='Données projet'!$A$114,'Données projet'!$B$114,BY78+BX79-CG78)))</f>
        <v>315.59999999999991</v>
      </c>
      <c r="BZ79" s="13">
        <f>BY79*VLOOKUP('Données projet'!$B$12,Paramètres!$A$1:$I$89,3,0)*VLOOKUP('Données projet'!$B$12,Paramètres!$A$1:$I$89,5,0)</f>
        <v>251.09135999999995</v>
      </c>
      <c r="CA79" s="13">
        <f t="shared" si="93"/>
        <v>60.81957989149403</v>
      </c>
      <c r="CB79" s="20">
        <f t="shared" si="64"/>
        <v>543.24488697768527</v>
      </c>
      <c r="CC79" s="59">
        <f t="shared" si="65"/>
        <v>836.57822031101864</v>
      </c>
      <c r="CD79" s="59">
        <f ca="1">AVERAGE(OFFSET($CC$3,0,0,'Données projet'!$E$12+1,1))-AVERAGE(OFFSET($H$3,0,0,'Données projet'!$E$12+1,1))</f>
        <v>279.49721661620544</v>
      </c>
      <c r="CE79" s="59">
        <f t="shared" si="94"/>
        <v>275.18739333988754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52.001106651385577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52.001106651385577</v>
      </c>
      <c r="CO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17.2</v>
      </c>
      <c r="CT79" s="12">
        <f>IF('Données projet'!$A$140&gt;35,CT78+CS79-DB78,IF(A79&lt;'Données projet'!$A$140,$CQ$205^A79,IF(A79='Données projet'!$A$140,'Données projet'!$B$140,CT78+CS79-DB78)))</f>
        <v>771.19999999999982</v>
      </c>
      <c r="CU79" s="17">
        <f>CT79*VLOOKUP('Données projet'!$B$13,Paramètres!$A$1:$I$89,3,0)*VLOOKUP('Données projet'!$B$13,Paramètres!$A$1:$I$89,5,0)</f>
        <v>380.97279999999989</v>
      </c>
      <c r="CV79" s="13">
        <f t="shared" si="95"/>
        <v>87.908319228926914</v>
      </c>
      <c r="CW79" s="20">
        <f t="shared" si="67"/>
        <v>816.63461599038089</v>
      </c>
      <c r="CX79" s="59">
        <f t="shared" si="68"/>
        <v>1109.9679493237143</v>
      </c>
      <c r="CY79" s="59">
        <f ca="1">AVERAGE(OFFSET($CX$3,0,0,'Données projet'!$E$13+1,1))-AVERAGE(OFFSET($H$3,0,0,'Données projet'!$E$13+1,1))</f>
        <v>396.27049617044378</v>
      </c>
      <c r="CZ79" s="59">
        <f t="shared" si="96"/>
        <v>335.2680289568774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136.11321609853601</v>
      </c>
      <c r="DG79" s="21">
        <f>EXP(-LN(2)/25)*DG78+(1-EXP(-LN(2)/25))/(LN(2)/25)*Calculateur!DB79*Calculateur!DD79*VLOOKUP('Données projet'!$B$13,Paramètres!$A$1:$I$89,3,0)*0.475*44/12</f>
        <v>13.130369174349562</v>
      </c>
      <c r="DH79" s="21">
        <f>EXP(-LN(2)/2)*DH78+(1-EXP(-LN(2)/2))/(LN(2)/2)*DB79*DE79*VLOOKUP('Données projet'!$B$13,Paramètres!$A$1:$I$89,3,0)*0.475*44/12</f>
        <v>4.5840071922233848E-8</v>
      </c>
      <c r="DI79" s="22">
        <f t="shared" si="69"/>
        <v>149.24358531872565</v>
      </c>
      <c r="DJ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10.199999999999999</v>
      </c>
      <c r="DO79" s="12">
        <f>IF('Données projet'!$A$166&gt;35,DO78+DN79-DW78,IF(A79&lt;'Données projet'!$A$166,$DL$205^A79,IF(A79='Données projet'!$A$166,'Données projet'!$B$166,DO78+DN79-DW78)))</f>
        <v>455.19999999999959</v>
      </c>
      <c r="DP79" s="17">
        <f>DO79*VLOOKUP('Données projet'!$B$14,Paramètres!$A$1:$I$89,3,0)*VLOOKUP('Données projet'!$B$14,Paramètres!$A$1:$I$89,5,0)</f>
        <v>260.37439999999975</v>
      </c>
      <c r="DQ79" s="13">
        <f t="shared" si="97"/>
        <v>62.802178221436556</v>
      </c>
      <c r="DR79" s="20">
        <f t="shared" si="70"/>
        <v>562.86587373566817</v>
      </c>
      <c r="DS79" s="59">
        <f t="shared" si="71"/>
        <v>856.19920706900143</v>
      </c>
      <c r="DT79" s="59">
        <f ca="1">AVERAGE(OFFSET($DS$3,0,0,'Données projet'!$E$14+1,1))-AVERAGE(OFFSET($H$3,0,0,'Données projet'!$E$14+1,1))</f>
        <v>307.43900954374504</v>
      </c>
      <c r="DU79" s="59">
        <f t="shared" si="98"/>
        <v>185.25270859048999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79.348764520979358</v>
      </c>
      <c r="EB79" s="21">
        <f>EXP(-LN(2)/25)*EB78+(1-EXP(-LN(2)/25))/(LN(2)/25)*Calculateur!DW79*Calculateur!DY79*VLOOKUP('Données projet'!$B$14,Paramètres!$A$1:$I$89,3,0)*0.475*44/12</f>
        <v>7.463578267525012</v>
      </c>
      <c r="EC79" s="21">
        <f>EXP(-LN(2)/2)*EC78+(1-EXP(-LN(2)/2))/(LN(2)/2)*DW79*DZ79*VLOOKUP('Données projet'!$B$14,Paramètres!$A$1:$I$89,3,0)*0.475*44/12</f>
        <v>4.3427436557905731E-8</v>
      </c>
      <c r="ED79" s="22">
        <f t="shared" si="72"/>
        <v>86.812342831931801</v>
      </c>
      <c r="EE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401</v>
      </c>
      <c r="EK79" s="17">
        <f>EJ79*VLOOKUP('Données projet'!$B$15,Paramètres!$A$1:$I$89,3,0)*VLOOKUP('Données projet'!$B$15,Paramètres!$A$1:$I$89,5,0)</f>
        <v>250.22399999999999</v>
      </c>
      <c r="EL79" s="13">
        <f t="shared" si="99"/>
        <v>60.633904580527918</v>
      </c>
      <c r="EM79" s="20">
        <f t="shared" si="73"/>
        <v>541.41085047775289</v>
      </c>
      <c r="EN79" s="59">
        <f t="shared" si="74"/>
        <v>834.74418381108626</v>
      </c>
      <c r="EO79" s="59">
        <f ca="1">AVERAGE(OFFSET($EN$3,0,0,'Données projet'!$E$15+1,1))-AVERAGE(OFFSET($H$3,0,0,'Données projet'!$E$15+1,1))</f>
        <v>269.77739619445515</v>
      </c>
      <c r="EP79" s="59">
        <f t="shared" si="100"/>
        <v>347.56964743629885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55.781771537894848</v>
      </c>
      <c r="EW79" s="21">
        <f>EXP(-LN(2)/25)*EW78+(1-EXP(-LN(2)/25))/(LN(2)/25)*Calculateur!ER79*Calculateur!ET79*VLOOKUP('Données projet'!$B$15,Paramètres!$A$1:$I$89,3,0)*0.475*44/12</f>
        <v>25.625592774238438</v>
      </c>
      <c r="EX79" s="21">
        <f>EXP(-LN(2)/2)*EX78+(1-EXP(-LN(2)/2))/(LN(2)/2)*ER79*EU79*VLOOKUP('Données projet'!$B$15,Paramètres!$A$1:$I$89,3,0)*0.475*44/12</f>
        <v>2.960961583493573E-9</v>
      </c>
      <c r="EY79" s="22">
        <f t="shared" si="75"/>
        <v>81.407364315094242</v>
      </c>
      <c r="EZ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4</v>
      </c>
      <c r="FE79" s="12">
        <f>IF('Données projet'!$A$218&gt;35,FE78+FD79-FM78,IF(A79&lt;'Données projet'!$A$218,$FB$205^A79,IF(A79='Données projet'!$A$218,'Données projet'!$B$218,FE78+FD79-FM78)))</f>
        <v>364.99999999999972</v>
      </c>
      <c r="FF79" s="17">
        <f>FE79*VLOOKUP('Données projet'!$B$16,Paramètres!$A$1:$I$89,3,0)*VLOOKUP('Données projet'!$B$16,Paramètres!$A$1:$I$89,5,0)</f>
        <v>290.39399999999978</v>
      </c>
      <c r="FG79" s="13">
        <f t="shared" si="101"/>
        <v>69.158878594433091</v>
      </c>
      <c r="FH79" s="20">
        <f t="shared" si="76"/>
        <v>626.22126355197054</v>
      </c>
      <c r="FI79" s="59">
        <f t="shared" si="77"/>
        <v>919.55459688530391</v>
      </c>
      <c r="FJ79" s="59">
        <f ca="1">AVERAGE(OFFSET($FI$3,0,0,'Données projet'!$E$16+1,1))-AVERAGE(OFFSET($H$3,0,0,'Données projet'!$E$16+1,1))</f>
        <v>331.52724290297675</v>
      </c>
      <c r="FK79" s="59">
        <f t="shared" si="102"/>
        <v>322.79102610158054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60.154219567150008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60.154219567150008</v>
      </c>
      <c r="FU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18.600000000000001</v>
      </c>
      <c r="FZ79" s="12">
        <f>IF('Données projet'!$A$244&gt;35,FZ78+FY79-GH78,IF(A79&lt;'Données projet'!$A$244,$FW$205^A79,IF(A79='Données projet'!$A$244,'Données projet'!$B$244,FZ78+FY79-GH78)))</f>
        <v>834.6</v>
      </c>
      <c r="GA79" s="17">
        <f>FZ79*VLOOKUP('Données projet'!$B$17,Paramètres!$A$1:$I$89,3,0)*VLOOKUP('Données projet'!$B$17,Paramètres!$A$1:$I$89,5,0)</f>
        <v>412.29240000000004</v>
      </c>
      <c r="GB79" s="13">
        <f t="shared" si="103"/>
        <v>94.264353612406822</v>
      </c>
      <c r="GC79" s="20">
        <f t="shared" si="79"/>
        <v>882.25301254160865</v>
      </c>
      <c r="GD79" s="59">
        <f t="shared" si="80"/>
        <v>1175.586345874942</v>
      </c>
      <c r="GE79" s="59">
        <f ca="1">AVERAGE(OFFSET($GD$3,0,0,'Données projet'!$E$17+1,1))-AVERAGE(OFFSET($H$3,0,0,'Données projet'!$E$17+1,1))</f>
        <v>434.08297999735811</v>
      </c>
      <c r="GF79" s="59">
        <f t="shared" si="104"/>
        <v>371.04090283546122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149.88717444146289</v>
      </c>
      <c r="GM79" s="21">
        <f>EXP(-LN(2)/25)*GM78+(1-EXP(-LN(2)/25))/(LN(2)/25)*Calculateur!GH79*Calculateur!GJ79*VLOOKUP('Données projet'!$B$17,Paramètres!$A$1:$I$89,3,0)*0.475*44/12</f>
        <v>14.443406091784528</v>
      </c>
      <c r="GN79" s="21">
        <f>EXP(-LN(2)/2)*GN78+(1-EXP(-LN(2)/2))/(LN(2)/2)*GH79*GK79*VLOOKUP('Données projet'!$B$17,Paramètres!$A$1:$I$89,3,0)*0.475*44/12</f>
        <v>8.9596504211638837E-8</v>
      </c>
      <c r="GO79" s="21">
        <f t="shared" si="81"/>
        <v>164.33058062284394</v>
      </c>
      <c r="GP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11.2</v>
      </c>
      <c r="GU79" s="12">
        <f>IF('Données projet'!$A$270&gt;35,GU78+GT79-HC78,IF(A79&lt;'Données projet'!$A$270,$GR$205^A79,IF(A79='Données projet'!$A$270,'Données projet'!$B$270,GU78+GT79-HC78)))</f>
        <v>521.19999999999993</v>
      </c>
      <c r="GV79" s="17">
        <f>GU79*VLOOKUP('Données projet'!$B$18,Paramètres!$A$1:$I$89,3,0)*VLOOKUP('Données projet'!$B$18,Paramètres!$A$1:$I$89,5,0)</f>
        <v>298.12639999999999</v>
      </c>
      <c r="GW79" s="13">
        <f t="shared" si="105"/>
        <v>70.783541850504434</v>
      </c>
      <c r="GX79" s="20">
        <f t="shared" si="82"/>
        <v>642.51814872296188</v>
      </c>
      <c r="GY79" s="59">
        <f t="shared" si="83"/>
        <v>935.85148205629525</v>
      </c>
      <c r="GZ79" s="59">
        <f ca="1">AVERAGE(OFFSET($GY$3,0,0,'Données projet'!$E$18+1,1))-AVERAGE(OFFSET($H$3,0,0,'Données projet'!$E$18+1,1))</f>
        <v>362.57172983134313</v>
      </c>
      <c r="HA79" s="59">
        <f t="shared" si="106"/>
        <v>232.03250917542471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88.913854045689817</v>
      </c>
      <c r="HH79" s="21">
        <f>EXP(-LN(2)/25)*HH78+(1-EXP(-LN(2)/25))/(LN(2)/25)*Calculateur!HC79*Calculateur!HE79*VLOOKUP('Données projet'!$B$18,Paramètres!$A$1:$I$89,3,0)*0.475*44/12</f>
        <v>8.7075079787791871</v>
      </c>
      <c r="HI79" s="21">
        <f>EXP(-LN(2)/2)*HI78+(1-EXP(-LN(2)/2))/(LN(2)/2)*HC79*HF79*VLOOKUP('Données projet'!$B$18,Paramètres!$A$1:$I$89,3,0)*0.475*44/12</f>
        <v>8.9267508480139532E-8</v>
      </c>
      <c r="HJ79" s="22">
        <f t="shared" si="84"/>
        <v>97.62136211373651</v>
      </c>
    </row>
    <row r="80" spans="1:218" x14ac:dyDescent="0.3">
      <c r="A80" s="10">
        <f t="shared" si="85"/>
        <v>77</v>
      </c>
      <c r="B80" s="71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5">
        <f t="shared" si="56"/>
        <v>377.36321240284718</v>
      </c>
      <c r="I80" s="6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2.8</v>
      </c>
      <c r="N80" s="13">
        <f>IF('Données projet'!$A$36&gt;35,N79+M80-V79,IF(A80&lt;'Données projet'!$A$36,$K$205^A80,IF(A80='Données projet'!$A$36,'Données projet'!$B$36,N79+M80-V79)))</f>
        <v>266.5999999999998</v>
      </c>
      <c r="O80" s="13">
        <f>N80*VLOOKUP('Données projet'!$B$9,Paramètres!$A$1:$I$89,3,0)*VLOOKUP('Données projet'!$B$9,Paramètres!$A$1:$I$89,5,0)</f>
        <v>212.10695999999984</v>
      </c>
      <c r="P80" s="13">
        <f t="shared" si="87"/>
        <v>52.395741612408194</v>
      </c>
      <c r="Q80" s="20">
        <f t="shared" si="54"/>
        <v>460.67553864161067</v>
      </c>
      <c r="R80" s="59">
        <f t="shared" si="55"/>
        <v>754.00887197494399</v>
      </c>
      <c r="S80" s="59">
        <f ca="1">AVERAGE(OFFSET($R$3,0,0,'Données projet'!$E$9+1,1))-AVERAGE(OFFSET($H$3,0,0,'Données projet'!$E$9+1,1))</f>
        <v>225.2323446080772</v>
      </c>
      <c r="T80" s="59">
        <f t="shared" si="88"/>
        <v>222.29030402759292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42.08520938047613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42.08520938047613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15.8</v>
      </c>
      <c r="AI80" s="13">
        <f>IF('Données projet'!$A$62&gt;35,AI79+AH80-AQ79,IF(A80&lt;'Données projet'!$A$62,$AF$205^A80,IF(A80='Données projet'!$A$62,'Données projet'!$B$62,AI79+AH80-AQ79)))</f>
        <v>731.5999999999998</v>
      </c>
      <c r="AJ80" s="13">
        <f>AI80*VLOOKUP('Données projet'!$B$10,Paramètres!$A$1:$I$89,3,0)*VLOOKUP('Données projet'!$B$10,Paramètres!$A$1:$I$89,5,0)</f>
        <v>361.41039999999992</v>
      </c>
      <c r="AK80" s="13">
        <f t="shared" si="89"/>
        <v>83.907626322952453</v>
      </c>
      <c r="AL80" s="20">
        <f t="shared" si="58"/>
        <v>775.59556251247534</v>
      </c>
      <c r="AM80" s="59">
        <f t="shared" si="59"/>
        <v>1068.9288958458087</v>
      </c>
      <c r="AN80" s="59">
        <f ca="1">AVERAGE(OFFSET($AM$3,0,0,'Données projet'!$E$10+1,1))-AVERAGE(OFFSET($H$3,0,0,'Données projet'!$E$10+1,1))</f>
        <v>360.05819346986135</v>
      </c>
      <c r="AO80" s="59">
        <f t="shared" si="90"/>
        <v>300.47468388351081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120.28669015837312</v>
      </c>
      <c r="AV80" s="21">
        <f>EXP(-LN(2)/25)*AV79+(1-EXP(-LN(2)/25))/(LN(2)/25)*Calculateur!AQ80*Calculateur!AS80*VLOOKUP('Données projet'!$B$10,Paramètres!$A$1:$I$89,3,0)*0.475*44/12</f>
        <v>11.494186684902777</v>
      </c>
      <c r="AW80" s="21">
        <f>EXP(-LN(2)/2)*AW79+(1-EXP(-LN(2)/2))/(LN(2)/2)*AQ80*AT80*VLOOKUP('Données projet'!$B$10,Paramètres!$A$1:$I$89,3,0)*0.475*44/12</f>
        <v>4.4200671417668984E-9</v>
      </c>
      <c r="AX80" s="21">
        <f t="shared" si="60"/>
        <v>131.78087684769596</v>
      </c>
      <c r="AY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</v>
      </c>
      <c r="BD80" s="12">
        <f>IF('Données projet'!$A$88&gt;35,BD79+BC80-BL79,IF(A80&lt;'Données projet'!$A$88,$BA$205^A80,IF(A80='Données projet'!$A$88,'Données projet'!$B$88,BD79+BC80-BL79)))</f>
        <v>398.99999999999994</v>
      </c>
      <c r="BE80" s="13">
        <f>BD80*VLOOKUP('Données projet'!$B$11,Paramètres!$A$1:$I$89,3,0)*VLOOKUP('Données projet'!$B$11,Paramètres!$A$1:$I$89,5,0)</f>
        <v>228.22799999999998</v>
      </c>
      <c r="BF80" s="13">
        <f t="shared" si="91"/>
        <v>55.899361406374432</v>
      </c>
      <c r="BG80" s="20">
        <f t="shared" si="61"/>
        <v>494.85515444943547</v>
      </c>
      <c r="BH80" s="59">
        <f t="shared" si="62"/>
        <v>788.18848778276879</v>
      </c>
      <c r="BI80" s="59">
        <f ca="1">AVERAGE(OFFSET($BH$3,0,0,'Données projet'!$E$11+1,1))-AVERAGE(OFFSET($H$3,0,0,'Données projet'!$E$11+1,1))</f>
        <v>250.90038883668348</v>
      </c>
      <c r="BJ80" s="59">
        <f t="shared" si="92"/>
        <v>141.96132114475608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67.216607221933302</v>
      </c>
      <c r="BQ80" s="21">
        <f>EXP(-LN(2)/25)*BQ79+(1-EXP(-LN(2)/25))/(LN(2)/25)*Calculateur!BL80*Calculateur!BN80*VLOOKUP('Données projet'!$B$11,Paramètres!$A$1:$I$89,3,0)*0.475*44/12</f>
        <v>3.2341130243293077</v>
      </c>
      <c r="BR80" s="21">
        <f>EXP(-LN(2)/2)*BR79+(1-EXP(-LN(2)/2))/(LN(2)/2)*BL80*BO80*VLOOKUP('Données projet'!$B$11,Paramètres!$A$1:$I$89,3,0)*0.475*44/12</f>
        <v>3.1846786809130995E-7</v>
      </c>
      <c r="BS80" s="22">
        <f t="shared" si="63"/>
        <v>70.450720564730474</v>
      </c>
      <c r="BT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3.6</v>
      </c>
      <c r="BY80" s="12">
        <f>IF('Données projet'!$A$114&gt;35,BY79+BX80-CG79,IF(A80&lt;'Données projet'!$A$114,$BV$205^A80,IF(A80='Données projet'!$A$114,'Données projet'!$B$114,BY79+BX80-CG79)))</f>
        <v>319.19999999999993</v>
      </c>
      <c r="BZ80" s="13">
        <f>BY80*VLOOKUP('Données projet'!$B$12,Paramètres!$A$1:$I$89,3,0)*VLOOKUP('Données projet'!$B$12,Paramètres!$A$1:$I$89,5,0)</f>
        <v>253.95551999999998</v>
      </c>
      <c r="CA80" s="13">
        <f t="shared" si="93"/>
        <v>61.432180511879253</v>
      </c>
      <c r="CB80" s="20">
        <f t="shared" si="64"/>
        <v>549.30024505818972</v>
      </c>
      <c r="CC80" s="59">
        <f t="shared" si="65"/>
        <v>842.63357839152309</v>
      </c>
      <c r="CD80" s="59">
        <f ca="1">AVERAGE(OFFSET($CC$3,0,0,'Données projet'!$E$12+1,1))-AVERAGE(OFFSET($H$3,0,0,'Données projet'!$E$12+1,1))</f>
        <v>279.49721661620544</v>
      </c>
      <c r="CE80" s="59">
        <f t="shared" si="94"/>
        <v>275.18739333988754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50.981396667495119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50.981396667495119</v>
      </c>
      <c r="CO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17.2</v>
      </c>
      <c r="CT80" s="12">
        <f>IF('Données projet'!$A$140&gt;35,CT79+CS80-DB79,IF(A80&lt;'Données projet'!$A$140,$CQ$205^A80,IF(A80='Données projet'!$A$140,'Données projet'!$B$140,CT79+CS80-DB79)))</f>
        <v>788.39999999999986</v>
      </c>
      <c r="CU80" s="17">
        <f>CT80*VLOOKUP('Données projet'!$B$13,Paramètres!$A$1:$I$89,3,0)*VLOOKUP('Données projet'!$B$13,Paramètres!$A$1:$I$89,5,0)</f>
        <v>389.4695999999999</v>
      </c>
      <c r="CV80" s="13">
        <f t="shared" si="95"/>
        <v>89.638484725881028</v>
      </c>
      <c r="CW80" s="20">
        <f t="shared" si="67"/>
        <v>834.44658089757593</v>
      </c>
      <c r="CX80" s="59">
        <f t="shared" si="68"/>
        <v>1127.7799142309093</v>
      </c>
      <c r="CY80" s="59">
        <f ca="1">AVERAGE(OFFSET($CX$3,0,0,'Données projet'!$E$13+1,1))-AVERAGE(OFFSET($H$3,0,0,'Données projet'!$E$13+1,1))</f>
        <v>396.27049617044378</v>
      </c>
      <c r="CZ80" s="59">
        <f t="shared" si="96"/>
        <v>335.2680289568774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133.44411895170791</v>
      </c>
      <c r="DG80" s="21">
        <f>EXP(-LN(2)/25)*DG79+(1-EXP(-LN(2)/25))/(LN(2)/25)*Calculateur!DB80*Calculateur!DD80*VLOOKUP('Données projet'!$B$13,Paramètres!$A$1:$I$89,3,0)*0.475*44/12</f>
        <v>12.771318538780868</v>
      </c>
      <c r="DH80" s="21">
        <f>EXP(-LN(2)/2)*DH79+(1-EXP(-LN(2)/2))/(LN(2)/2)*DB80*DE80*VLOOKUP('Données projet'!$B$13,Paramètres!$A$1:$I$89,3,0)*0.475*44/12</f>
        <v>3.241382570629061E-8</v>
      </c>
      <c r="DI80" s="22">
        <f t="shared" si="69"/>
        <v>146.21543752290259</v>
      </c>
      <c r="DJ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10.199999999999999</v>
      </c>
      <c r="DO80" s="12">
        <f>IF('Données projet'!$A$166&gt;35,DO79+DN80-DW79,IF(A80&lt;'Données projet'!$A$166,$DL$205^A80,IF(A80='Données projet'!$A$166,'Données projet'!$B$166,DO79+DN80-DW79)))</f>
        <v>465.39999999999958</v>
      </c>
      <c r="DP80" s="17">
        <f>DO80*VLOOKUP('Données projet'!$B$14,Paramètres!$A$1:$I$89,3,0)*VLOOKUP('Données projet'!$B$14,Paramètres!$A$1:$I$89,5,0)</f>
        <v>266.20879999999977</v>
      </c>
      <c r="DQ80" s="13">
        <f t="shared" si="97"/>
        <v>64.044019981852728</v>
      </c>
      <c r="DR80" s="20">
        <f t="shared" si="70"/>
        <v>575.19032813505976</v>
      </c>
      <c r="DS80" s="59">
        <f t="shared" si="71"/>
        <v>868.52366146839313</v>
      </c>
      <c r="DT80" s="59">
        <f ca="1">AVERAGE(OFFSET($DS$3,0,0,'Données projet'!$E$14+1,1))-AVERAGE(OFFSET($H$3,0,0,'Données projet'!$E$14+1,1))</f>
        <v>307.43900954374504</v>
      </c>
      <c r="DU80" s="59">
        <f t="shared" si="98"/>
        <v>185.25270859048999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77.79278364669041</v>
      </c>
      <c r="EB80" s="21">
        <f>EXP(-LN(2)/25)*EB79+(1-EXP(-LN(2)/25))/(LN(2)/25)*Calculateur!DW80*Calculateur!DY80*VLOOKUP('Données projet'!$B$14,Paramètres!$A$1:$I$89,3,0)*0.475*44/12</f>
        <v>7.2594863273070178</v>
      </c>
      <c r="EC80" s="21">
        <f>EXP(-LN(2)/2)*EC79+(1-EXP(-LN(2)/2))/(LN(2)/2)*DW80*DZ80*VLOOKUP('Données projet'!$B$14,Paramètres!$A$1:$I$89,3,0)*0.475*44/12</f>
        <v>3.0707834879643722E-8</v>
      </c>
      <c r="ED80" s="22">
        <f t="shared" si="72"/>
        <v>85.052270004705264</v>
      </c>
      <c r="EE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401</v>
      </c>
      <c r="EK80" s="17">
        <f>EJ80*VLOOKUP('Données projet'!$B$15,Paramètres!$A$1:$I$89,3,0)*VLOOKUP('Données projet'!$B$15,Paramètres!$A$1:$I$89,5,0)</f>
        <v>250.22399999999999</v>
      </c>
      <c r="EL80" s="13">
        <f t="shared" si="99"/>
        <v>60.633904580527918</v>
      </c>
      <c r="EM80" s="20">
        <f t="shared" si="73"/>
        <v>541.41085047775289</v>
      </c>
      <c r="EN80" s="59">
        <f t="shared" si="74"/>
        <v>834.74418381108626</v>
      </c>
      <c r="EO80" s="59">
        <f ca="1">AVERAGE(OFFSET($EN$3,0,0,'Données projet'!$E$15+1,1))-AVERAGE(OFFSET($H$3,0,0,'Données projet'!$E$15+1,1))</f>
        <v>269.77739619445515</v>
      </c>
      <c r="EP80" s="59">
        <f t="shared" si="100"/>
        <v>347.56964743629885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54.687925021557824</v>
      </c>
      <c r="EW80" s="21">
        <f>EXP(-LN(2)/25)*EW79+(1-EXP(-LN(2)/25))/(LN(2)/25)*Calculateur!ER80*Calculateur!ET80*VLOOKUP('Données projet'!$B$15,Paramètres!$A$1:$I$89,3,0)*0.475*44/12</f>
        <v>24.924859592235531</v>
      </c>
      <c r="EX80" s="21">
        <f>EXP(-LN(2)/2)*EX79+(1-EXP(-LN(2)/2))/(LN(2)/2)*ER80*EU80*VLOOKUP('Données projet'!$B$15,Paramètres!$A$1:$I$89,3,0)*0.475*44/12</f>
        <v>2.0937160145211631E-9</v>
      </c>
      <c r="EY80" s="22">
        <f t="shared" si="75"/>
        <v>79.612784615887065</v>
      </c>
      <c r="EZ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4</v>
      </c>
      <c r="FE80" s="12">
        <f>IF('Données projet'!$A$218&gt;35,FE79+FD80-FM79,IF(A80&lt;'Données projet'!$A$218,$FB$205^A80,IF(A80='Données projet'!$A$218,'Données projet'!$B$218,FE79+FD80-FM79)))</f>
        <v>368.99999999999972</v>
      </c>
      <c r="FF80" s="17">
        <f>FE80*VLOOKUP('Données projet'!$B$16,Paramètres!$A$1:$I$89,3,0)*VLOOKUP('Données projet'!$B$16,Paramètres!$A$1:$I$89,5,0)</f>
        <v>293.57639999999981</v>
      </c>
      <c r="FG80" s="13">
        <f t="shared" si="101"/>
        <v>69.828138511965548</v>
      </c>
      <c r="FH80" s="20">
        <f t="shared" si="76"/>
        <v>632.92957124167299</v>
      </c>
      <c r="FI80" s="59">
        <f t="shared" si="77"/>
        <v>926.26290457500636</v>
      </c>
      <c r="FJ80" s="59">
        <f ca="1">AVERAGE(OFFSET($FI$3,0,0,'Données projet'!$E$16+1,1))-AVERAGE(OFFSET($H$3,0,0,'Données projet'!$E$16+1,1))</f>
        <v>331.52724290297675</v>
      </c>
      <c r="FK80" s="59">
        <f t="shared" si="102"/>
        <v>322.79102610158054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58.974632011889248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58.974632011889248</v>
      </c>
      <c r="FU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18.600000000000001</v>
      </c>
      <c r="FZ80" s="12">
        <f>IF('Données projet'!$A$244&gt;35,FZ79+FY80-GH79,IF(A80&lt;'Données projet'!$A$244,$FW$205^A80,IF(A80='Données projet'!$A$244,'Données projet'!$B$244,FZ79+FY80-GH79)))</f>
        <v>853.2</v>
      </c>
      <c r="GA80" s="17">
        <f>FZ80*VLOOKUP('Données projet'!$B$17,Paramètres!$A$1:$I$89,3,0)*VLOOKUP('Données projet'!$B$17,Paramètres!$A$1:$I$89,5,0)</f>
        <v>421.48080000000004</v>
      </c>
      <c r="GB80" s="13">
        <f t="shared" si="103"/>
        <v>96.118221235852943</v>
      </c>
      <c r="GC80" s="20">
        <f t="shared" si="79"/>
        <v>901.48496198577732</v>
      </c>
      <c r="GD80" s="59">
        <f t="shared" si="80"/>
        <v>1194.8182953191106</v>
      </c>
      <c r="GE80" s="59">
        <f ca="1">AVERAGE(OFFSET($GD$3,0,0,'Données projet'!$E$17+1,1))-AVERAGE(OFFSET($H$3,0,0,'Données projet'!$E$17+1,1))</f>
        <v>434.08297999735811</v>
      </c>
      <c r="GF80" s="59">
        <f t="shared" si="104"/>
        <v>371.04090283546122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146.94797837281502</v>
      </c>
      <c r="GM80" s="21">
        <f>EXP(-LN(2)/25)*GM79+(1-EXP(-LN(2)/25))/(LN(2)/25)*Calculateur!GH80*Calculateur!GJ80*VLOOKUP('Données projet'!$B$17,Paramètres!$A$1:$I$89,3,0)*0.475*44/12</f>
        <v>14.048450392658964</v>
      </c>
      <c r="GN80" s="21">
        <f>EXP(-LN(2)/2)*GN79+(1-EXP(-LN(2)/2))/(LN(2)/2)*GH80*GK80*VLOOKUP('Données projet'!$B$17,Paramètres!$A$1:$I$89,3,0)*0.475*44/12</f>
        <v>6.3354295698658885E-8</v>
      </c>
      <c r="GO80" s="21">
        <f t="shared" si="81"/>
        <v>160.99642882882827</v>
      </c>
      <c r="GP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11.2</v>
      </c>
      <c r="GU80" s="12">
        <f>IF('Données projet'!$A$270&gt;35,GU79+GT80-HC79,IF(A80&lt;'Données projet'!$A$270,$GR$205^A80,IF(A80='Données projet'!$A$270,'Données projet'!$B$270,GU79+GT80-HC79)))</f>
        <v>532.4</v>
      </c>
      <c r="GV80" s="17">
        <f>GU80*VLOOKUP('Données projet'!$B$18,Paramètres!$A$1:$I$89,3,0)*VLOOKUP('Données projet'!$B$18,Paramètres!$A$1:$I$89,5,0)</f>
        <v>304.53280000000001</v>
      </c>
      <c r="GW80" s="13">
        <f t="shared" si="105"/>
        <v>72.12588150965226</v>
      </c>
      <c r="GX80" s="20">
        <f t="shared" si="82"/>
        <v>656.01387029597765</v>
      </c>
      <c r="GY80" s="59">
        <f t="shared" si="83"/>
        <v>949.34720362931102</v>
      </c>
      <c r="GZ80" s="59">
        <f ca="1">AVERAGE(OFFSET($GY$3,0,0,'Données projet'!$E$18+1,1))-AVERAGE(OFFSET($H$3,0,0,'Données projet'!$E$18+1,1))</f>
        <v>362.57172983134313</v>
      </c>
      <c r="HA80" s="59">
        <f t="shared" si="106"/>
        <v>232.03250917542471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87.170307599949837</v>
      </c>
      <c r="HH80" s="21">
        <f>EXP(-LN(2)/25)*HH79+(1-EXP(-LN(2)/25))/(LN(2)/25)*Calculateur!HC80*Calculateur!HE80*VLOOKUP('Données projet'!$B$18,Paramètres!$A$1:$I$89,3,0)*0.475*44/12</f>
        <v>8.4694007151915276</v>
      </c>
      <c r="HI80" s="21">
        <f>EXP(-LN(2)/2)*HI79+(1-EXP(-LN(2)/2))/(LN(2)/2)*HC80*HF80*VLOOKUP('Données projet'!$B$18,Paramètres!$A$1:$I$89,3,0)*0.475*44/12</f>
        <v>6.3121660585934299E-8</v>
      </c>
      <c r="HJ80" s="22">
        <f t="shared" si="84"/>
        <v>95.639708378263023</v>
      </c>
    </row>
    <row r="81" spans="1:218" x14ac:dyDescent="0.3">
      <c r="A81" s="10">
        <f t="shared" si="85"/>
        <v>78</v>
      </c>
      <c r="B81" s="71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5">
        <f t="shared" si="56"/>
        <v>378.42482714988546</v>
      </c>
      <c r="I81" s="6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2.8</v>
      </c>
      <c r="N81" s="13">
        <f>IF('Données projet'!$A$36&gt;35,N80+M81-V80,IF(A81&lt;'Données projet'!$A$36,$K$205^A81,IF(A81='Données projet'!$A$36,'Données projet'!$B$36,N80+M81-V80)))</f>
        <v>269.39999999999981</v>
      </c>
      <c r="O81" s="13">
        <f>N81*VLOOKUP('Données projet'!$B$9,Paramètres!$A$1:$I$89,3,0)*VLOOKUP('Données projet'!$B$9,Paramètres!$A$1:$I$89,5,0)</f>
        <v>214.33463999999984</v>
      </c>
      <c r="P81" s="13">
        <f t="shared" si="87"/>
        <v>52.881684324030282</v>
      </c>
      <c r="Q81" s="20">
        <f t="shared" si="54"/>
        <v>465.40176486435234</v>
      </c>
      <c r="R81" s="59">
        <f t="shared" si="55"/>
        <v>758.7350981976856</v>
      </c>
      <c r="S81" s="59">
        <f ca="1">AVERAGE(OFFSET($R$3,0,0,'Données projet'!$E$9+1,1))-AVERAGE(OFFSET($H$3,0,0,'Données projet'!$E$9+1,1))</f>
        <v>225.2323446080772</v>
      </c>
      <c r="T81" s="59">
        <f t="shared" si="88"/>
        <v>222.29030402759292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41.259944093968066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41.259944093968066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15.8</v>
      </c>
      <c r="AI81" s="13">
        <f>IF('Données projet'!$A$62&gt;35,AI80+AH81-AQ80,IF(A81&lt;'Données projet'!$A$62,$AF$205^A81,IF(A81='Données projet'!$A$62,'Données projet'!$B$62,AI80+AH81-AQ80)))</f>
        <v>747.39999999999975</v>
      </c>
      <c r="AJ81" s="13">
        <f>AI81*VLOOKUP('Données projet'!$B$10,Paramètres!$A$1:$I$89,3,0)*VLOOKUP('Données projet'!$B$10,Paramètres!$A$1:$I$89,5,0)</f>
        <v>369.21559999999988</v>
      </c>
      <c r="AK81" s="13">
        <f t="shared" si="89"/>
        <v>85.506811150197862</v>
      </c>
      <c r="AL81" s="20">
        <f t="shared" si="58"/>
        <v>791.97486608659426</v>
      </c>
      <c r="AM81" s="59">
        <f t="shared" si="59"/>
        <v>1085.3081994199276</v>
      </c>
      <c r="AN81" s="59">
        <f ca="1">AVERAGE(OFFSET($AM$3,0,0,'Données projet'!$E$10+1,1))-AVERAGE(OFFSET($H$3,0,0,'Données projet'!$E$10+1,1))</f>
        <v>360.05819346986135</v>
      </c>
      <c r="AO81" s="59">
        <f t="shared" si="90"/>
        <v>300.47468388351081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117.92794153200397</v>
      </c>
      <c r="AV81" s="21">
        <f>EXP(-LN(2)/25)*AV80+(1-EXP(-LN(2)/25))/(LN(2)/25)*Calculateur!AQ81*Calculateur!AS81*VLOOKUP('Données projet'!$B$10,Paramètres!$A$1:$I$89,3,0)*0.475*44/12</f>
        <v>11.179877545551104</v>
      </c>
      <c r="AW81" s="21">
        <f>EXP(-LN(2)/2)*AW80+(1-EXP(-LN(2)/2))/(LN(2)/2)*AQ81*AT81*VLOOKUP('Données projet'!$B$10,Paramètres!$A$1:$I$89,3,0)*0.475*44/12</f>
        <v>3.1254594492432148E-9</v>
      </c>
      <c r="AX81" s="21">
        <f t="shared" si="60"/>
        <v>129.10781908068051</v>
      </c>
      <c r="AY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</v>
      </c>
      <c r="BD81" s="12">
        <f>IF('Données projet'!$A$88&gt;35,BD80+BC81-BL80,IF(A81&lt;'Données projet'!$A$88,$BA$205^A81,IF(A81='Données projet'!$A$88,'Données projet'!$B$88,BD80+BC81-BL80)))</f>
        <v>407.99999999999994</v>
      </c>
      <c r="BE81" s="13">
        <f>BD81*VLOOKUP('Données projet'!$B$11,Paramètres!$A$1:$I$89,3,0)*VLOOKUP('Données projet'!$B$11,Paramètres!$A$1:$I$89,5,0)</f>
        <v>233.37599999999998</v>
      </c>
      <c r="BF81" s="13">
        <f t="shared" si="91"/>
        <v>57.012031446990107</v>
      </c>
      <c r="BG81" s="20">
        <f t="shared" si="61"/>
        <v>505.75915477017446</v>
      </c>
      <c r="BH81" s="59">
        <f t="shared" si="62"/>
        <v>799.09248810350778</v>
      </c>
      <c r="BI81" s="59">
        <f ca="1">AVERAGE(OFFSET($BH$3,0,0,'Données projet'!$E$11+1,1))-AVERAGE(OFFSET($H$3,0,0,'Données projet'!$E$11+1,1))</f>
        <v>250.90038883668348</v>
      </c>
      <c r="BJ81" s="59">
        <f t="shared" si="92"/>
        <v>141.96132114475608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65.898530552393368</v>
      </c>
      <c r="BQ81" s="21">
        <f>EXP(-LN(2)/25)*BQ80+(1-EXP(-LN(2)/25))/(LN(2)/25)*Calculateur!BL81*Calculateur!BN81*VLOOKUP('Données projet'!$B$11,Paramètres!$A$1:$I$89,3,0)*0.475*44/12</f>
        <v>3.1456760336044103</v>
      </c>
      <c r="BR81" s="21">
        <f>EXP(-LN(2)/2)*BR80+(1-EXP(-LN(2)/2))/(LN(2)/2)*BL81*BO81*VLOOKUP('Données projet'!$B$11,Paramètres!$A$1:$I$89,3,0)*0.475*44/12</f>
        <v>2.251907891173882E-7</v>
      </c>
      <c r="BS81" s="22">
        <f t="shared" si="63"/>
        <v>69.044206811188573</v>
      </c>
      <c r="BT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3.6</v>
      </c>
      <c r="BY81" s="12">
        <f>IF('Données projet'!$A$114&gt;35,BY80+BX81-CG80,IF(A81&lt;'Données projet'!$A$114,$BV$205^A81,IF(A81='Données projet'!$A$114,'Données projet'!$B$114,BY80+BX81-CG80)))</f>
        <v>322.79999999999995</v>
      </c>
      <c r="BZ81" s="13">
        <f>BY81*VLOOKUP('Données projet'!$B$12,Paramètres!$A$1:$I$89,3,0)*VLOOKUP('Données projet'!$B$12,Paramètres!$A$1:$I$89,5,0)</f>
        <v>256.81968000000001</v>
      </c>
      <c r="CA81" s="13">
        <f t="shared" si="93"/>
        <v>62.043977430851903</v>
      </c>
      <c r="CB81" s="20">
        <f t="shared" si="64"/>
        <v>555.35420335873368</v>
      </c>
      <c r="CC81" s="59">
        <f t="shared" si="65"/>
        <v>848.68753669206694</v>
      </c>
      <c r="CD81" s="59">
        <f ca="1">AVERAGE(OFFSET($CC$3,0,0,'Données projet'!$E$12+1,1))-AVERAGE(OFFSET($H$3,0,0,'Données projet'!$E$12+1,1))</f>
        <v>279.49721661620544</v>
      </c>
      <c r="CE81" s="59">
        <f t="shared" si="94"/>
        <v>275.18739333988754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49.981682574427076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49.981682574427076</v>
      </c>
      <c r="CO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17.2</v>
      </c>
      <c r="CT81" s="12">
        <f>IF('Données projet'!$A$140&gt;35,CT80+CS81-DB80,IF(A81&lt;'Données projet'!$A$140,$CQ$205^A81,IF(A81='Données projet'!$A$140,'Données projet'!$B$140,CT80+CS81-DB80)))</f>
        <v>805.59999999999991</v>
      </c>
      <c r="CU81" s="17">
        <f>CT81*VLOOKUP('Données projet'!$B$13,Paramètres!$A$1:$I$89,3,0)*VLOOKUP('Données projet'!$B$13,Paramètres!$A$1:$I$89,5,0)</f>
        <v>397.96640000000002</v>
      </c>
      <c r="CV81" s="13">
        <f t="shared" si="95"/>
        <v>91.364261809136821</v>
      </c>
      <c r="CW81" s="20">
        <f t="shared" si="67"/>
        <v>852.2509026509133</v>
      </c>
      <c r="CX81" s="59">
        <f t="shared" si="68"/>
        <v>1145.5842359842466</v>
      </c>
      <c r="CY81" s="59">
        <f ca="1">AVERAGE(OFFSET($CX$3,0,0,'Données projet'!$E$13+1,1))-AVERAGE(OFFSET($H$3,0,0,'Données projet'!$E$13+1,1))</f>
        <v>396.27049617044378</v>
      </c>
      <c r="CZ81" s="59">
        <f t="shared" si="96"/>
        <v>335.2680289568774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130.82736117194059</v>
      </c>
      <c r="DG81" s="21">
        <f>EXP(-LN(2)/25)*DG80+(1-EXP(-LN(2)/25))/(LN(2)/25)*Calculateur!DB81*Calculateur!DD81*VLOOKUP('Données projet'!$B$13,Paramètres!$A$1:$I$89,3,0)*0.475*44/12</f>
        <v>12.422086161723453</v>
      </c>
      <c r="DH81" s="21">
        <f>EXP(-LN(2)/2)*DH80+(1-EXP(-LN(2)/2))/(LN(2)/2)*DB81*DE81*VLOOKUP('Données projet'!$B$13,Paramètres!$A$1:$I$89,3,0)*0.475*44/12</f>
        <v>2.2920035961116924E-8</v>
      </c>
      <c r="DI81" s="22">
        <f t="shared" si="69"/>
        <v>143.24944735658408</v>
      </c>
      <c r="DJ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10.199999999999999</v>
      </c>
      <c r="DO81" s="12">
        <f>IF('Données projet'!$A$166&gt;35,DO80+DN81-DW80,IF(A81&lt;'Données projet'!$A$166,$DL$205^A81,IF(A81='Données projet'!$A$166,'Données projet'!$B$166,DO80+DN81-DW80)))</f>
        <v>475.59999999999957</v>
      </c>
      <c r="DP81" s="17">
        <f>DO81*VLOOKUP('Données projet'!$B$14,Paramètres!$A$1:$I$89,3,0)*VLOOKUP('Données projet'!$B$14,Paramètres!$A$1:$I$89,5,0)</f>
        <v>272.04319999999979</v>
      </c>
      <c r="DQ81" s="13">
        <f t="shared" si="97"/>
        <v>65.282697454750803</v>
      </c>
      <c r="DR81" s="20">
        <f t="shared" si="70"/>
        <v>587.50927140035719</v>
      </c>
      <c r="DS81" s="59">
        <f t="shared" si="71"/>
        <v>880.84260473369045</v>
      </c>
      <c r="DT81" s="59">
        <f ca="1">AVERAGE(OFFSET($DS$3,0,0,'Données projet'!$E$14+1,1))-AVERAGE(OFFSET($H$3,0,0,'Données projet'!$E$14+1,1))</f>
        <v>307.43900954374504</v>
      </c>
      <c r="DU81" s="59">
        <f t="shared" si="98"/>
        <v>185.25270859048999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76.267314608291642</v>
      </c>
      <c r="EB81" s="21">
        <f>EXP(-LN(2)/25)*EB80+(1-EXP(-LN(2)/25))/(LN(2)/25)*Calculateur!DW81*Calculateur!DY81*VLOOKUP('Données projet'!$B$14,Paramètres!$A$1:$I$89,3,0)*0.475*44/12</f>
        <v>7.0609752919270132</v>
      </c>
      <c r="EC81" s="21">
        <f>EXP(-LN(2)/2)*EC80+(1-EXP(-LN(2)/2))/(LN(2)/2)*DW81*DZ81*VLOOKUP('Données projet'!$B$14,Paramètres!$A$1:$I$89,3,0)*0.475*44/12</f>
        <v>2.1713718278952865E-8</v>
      </c>
      <c r="ED81" s="22">
        <f t="shared" si="72"/>
        <v>83.328289921932367</v>
      </c>
      <c r="EE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401</v>
      </c>
      <c r="EK81" s="17">
        <f>EJ81*VLOOKUP('Données projet'!$B$15,Paramètres!$A$1:$I$89,3,0)*VLOOKUP('Données projet'!$B$15,Paramètres!$A$1:$I$89,5,0)</f>
        <v>250.22399999999999</v>
      </c>
      <c r="EL81" s="13">
        <f t="shared" si="99"/>
        <v>60.633904580527918</v>
      </c>
      <c r="EM81" s="20">
        <f t="shared" si="73"/>
        <v>541.41085047775289</v>
      </c>
      <c r="EN81" s="59">
        <f t="shared" si="74"/>
        <v>834.74418381108626</v>
      </c>
      <c r="EO81" s="59">
        <f ca="1">AVERAGE(OFFSET($EN$3,0,0,'Données projet'!$E$15+1,1))-AVERAGE(OFFSET($H$3,0,0,'Données projet'!$E$15+1,1))</f>
        <v>269.77739619445515</v>
      </c>
      <c r="EP81" s="59">
        <f t="shared" si="100"/>
        <v>347.56964743629885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53.615528168225673</v>
      </c>
      <c r="EW81" s="21">
        <f>EXP(-LN(2)/25)*EW80+(1-EXP(-LN(2)/25))/(LN(2)/25)*Calculateur!ER81*Calculateur!ET81*VLOOKUP('Données projet'!$B$15,Paramètres!$A$1:$I$89,3,0)*0.475*44/12</f>
        <v>24.243287995944453</v>
      </c>
      <c r="EX81" s="21">
        <f>EXP(-LN(2)/2)*EX80+(1-EXP(-LN(2)/2))/(LN(2)/2)*ER81*EU81*VLOOKUP('Données projet'!$B$15,Paramètres!$A$1:$I$89,3,0)*0.475*44/12</f>
        <v>1.4804807917467865E-9</v>
      </c>
      <c r="EY81" s="22">
        <f t="shared" si="75"/>
        <v>77.858816165650609</v>
      </c>
      <c r="EZ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4</v>
      </c>
      <c r="FE81" s="12">
        <f>IF('Données projet'!$A$218&gt;35,FE80+FD81-FM80,IF(A81&lt;'Données projet'!$A$218,$FB$205^A81,IF(A81='Données projet'!$A$218,'Données projet'!$B$218,FE80+FD81-FM80)))</f>
        <v>372.99999999999972</v>
      </c>
      <c r="FF81" s="17">
        <f>FE81*VLOOKUP('Données projet'!$B$16,Paramètres!$A$1:$I$89,3,0)*VLOOKUP('Données projet'!$B$16,Paramètres!$A$1:$I$89,5,0)</f>
        <v>296.75879999999978</v>
      </c>
      <c r="FG81" s="13">
        <f t="shared" si="101"/>
        <v>70.496554480015604</v>
      </c>
      <c r="FH81" s="20">
        <f t="shared" si="76"/>
        <v>639.63640905269347</v>
      </c>
      <c r="FI81" s="59">
        <f t="shared" si="77"/>
        <v>932.96974238602684</v>
      </c>
      <c r="FJ81" s="59">
        <f ca="1">AVERAGE(OFFSET($FI$3,0,0,'Données projet'!$E$16+1,1))-AVERAGE(OFFSET($H$3,0,0,'Données projet'!$E$16+1,1))</f>
        <v>331.52724290297675</v>
      </c>
      <c r="FK81" s="59">
        <f t="shared" si="102"/>
        <v>322.79102610158054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57.818175449109788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57.818175449109788</v>
      </c>
      <c r="FU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18.600000000000001</v>
      </c>
      <c r="FZ81" s="12">
        <f>IF('Données projet'!$A$244&gt;35,FZ80+FY81-GH80,IF(A81&lt;'Données projet'!$A$244,$FW$205^A81,IF(A81='Données projet'!$A$244,'Données projet'!$B$244,FZ80+FY81-GH80)))</f>
        <v>871.80000000000007</v>
      </c>
      <c r="GA81" s="17">
        <f>FZ81*VLOOKUP('Données projet'!$B$17,Paramètres!$A$1:$I$89,3,0)*VLOOKUP('Données projet'!$B$17,Paramètres!$A$1:$I$89,5,0)</f>
        <v>430.6692000000001</v>
      </c>
      <c r="GB81" s="13">
        <f t="shared" si="103"/>
        <v>97.967390142683371</v>
      </c>
      <c r="GC81" s="20">
        <f t="shared" si="79"/>
        <v>920.70872783184029</v>
      </c>
      <c r="GD81" s="59">
        <f t="shared" si="80"/>
        <v>1214.0420611651737</v>
      </c>
      <c r="GE81" s="59">
        <f ca="1">AVERAGE(OFFSET($GD$3,0,0,'Données projet'!$E$17+1,1))-AVERAGE(OFFSET($H$3,0,0,'Données projet'!$E$17+1,1))</f>
        <v>434.08297999735811</v>
      </c>
      <c r="GF81" s="59">
        <f t="shared" si="104"/>
        <v>371.04090283546122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144.06641814634074</v>
      </c>
      <c r="GM81" s="21">
        <f>EXP(-LN(2)/25)*GM80+(1-EXP(-LN(2)/25))/(LN(2)/25)*Calculateur!GH81*Calculateur!GJ81*VLOOKUP('Données projet'!$B$17,Paramètres!$A$1:$I$89,3,0)*0.475*44/12</f>
        <v>13.664294777895806</v>
      </c>
      <c r="GN81" s="21">
        <f>EXP(-LN(2)/2)*GN80+(1-EXP(-LN(2)/2))/(LN(2)/2)*GH81*GK81*VLOOKUP('Données projet'!$B$17,Paramètres!$A$1:$I$89,3,0)*0.475*44/12</f>
        <v>4.4798252105819419E-8</v>
      </c>
      <c r="GO81" s="21">
        <f t="shared" si="81"/>
        <v>157.73071296903478</v>
      </c>
      <c r="GP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11.2</v>
      </c>
      <c r="GU81" s="12">
        <f>IF('Données projet'!$A$270&gt;35,GU80+GT81-HC80,IF(A81&lt;'Données projet'!$A$270,$GR$205^A81,IF(A81='Données projet'!$A$270,'Données projet'!$B$270,GU80+GT81-HC80)))</f>
        <v>543.6</v>
      </c>
      <c r="GV81" s="17">
        <f>GU81*VLOOKUP('Données projet'!$B$18,Paramètres!$A$1:$I$89,3,0)*VLOOKUP('Données projet'!$B$18,Paramètres!$A$1:$I$89,5,0)</f>
        <v>310.93920000000003</v>
      </c>
      <c r="GW81" s="13">
        <f t="shared" si="105"/>
        <v>73.464937966665843</v>
      </c>
      <c r="GX81" s="20">
        <f t="shared" si="82"/>
        <v>669.50387362527647</v>
      </c>
      <c r="GY81" s="59">
        <f t="shared" si="83"/>
        <v>962.83720695860984</v>
      </c>
      <c r="GZ81" s="59">
        <f ca="1">AVERAGE(OFFSET($GY$3,0,0,'Données projet'!$E$18+1,1))-AVERAGE(OFFSET($H$3,0,0,'Données projet'!$E$18+1,1))</f>
        <v>362.57172983134313</v>
      </c>
      <c r="HA81" s="59">
        <f t="shared" si="106"/>
        <v>232.03250917542471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85.460951036552487</v>
      </c>
      <c r="HH81" s="21">
        <f>EXP(-LN(2)/25)*HH80+(1-EXP(-LN(2)/25))/(LN(2)/25)*Calculateur!HC81*Calculateur!HE81*VLOOKUP('Données projet'!$B$18,Paramètres!$A$1:$I$89,3,0)*0.475*44/12</f>
        <v>8.2378045072481889</v>
      </c>
      <c r="HI81" s="21">
        <f>EXP(-LN(2)/2)*HI80+(1-EXP(-LN(2)/2))/(LN(2)/2)*HC81*HF81*VLOOKUP('Données projet'!$B$18,Paramètres!$A$1:$I$89,3,0)*0.475*44/12</f>
        <v>4.4633754240069766E-8</v>
      </c>
      <c r="HJ81" s="22">
        <f t="shared" si="84"/>
        <v>93.698755588434423</v>
      </c>
    </row>
    <row r="82" spans="1:218" x14ac:dyDescent="0.3">
      <c r="A82" s="10">
        <f t="shared" si="85"/>
        <v>79</v>
      </c>
      <c r="B82" s="71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5">
        <f t="shared" si="56"/>
        <v>379.48610804888961</v>
      </c>
      <c r="I82" s="6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2.8</v>
      </c>
      <c r="N82" s="13">
        <f>IF('Données projet'!$A$36&gt;35,N81+M82-V81,IF(A82&lt;'Données projet'!$A$36,$K$205^A82,IF(A82='Données projet'!$A$36,'Données projet'!$B$36,N81+M82-V81)))</f>
        <v>272.19999999999982</v>
      </c>
      <c r="O82" s="13">
        <f>N82*VLOOKUP('Données projet'!$B$9,Paramètres!$A$1:$I$89,3,0)*VLOOKUP('Données projet'!$B$9,Paramètres!$A$1:$I$89,5,0)</f>
        <v>216.56231999999989</v>
      </c>
      <c r="P82" s="13">
        <f t="shared" si="87"/>
        <v>53.367039486661959</v>
      </c>
      <c r="Q82" s="20">
        <f t="shared" si="54"/>
        <v>470.12696777260271</v>
      </c>
      <c r="R82" s="59">
        <f t="shared" si="55"/>
        <v>763.46030110593597</v>
      </c>
      <c r="S82" s="59">
        <f ca="1">AVERAGE(OFFSET($R$3,0,0,'Données projet'!$E$9+1,1))-AVERAGE(OFFSET($H$3,0,0,'Données projet'!$E$9+1,1))</f>
        <v>225.2323446080772</v>
      </c>
      <c r="T82" s="59">
        <f t="shared" si="88"/>
        <v>222.29030402759292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40.450861756366308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40.450861756366308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15.8</v>
      </c>
      <c r="AI82" s="13">
        <f>IF('Données projet'!$A$62&gt;35,AI81+AH82-AQ81,IF(A82&lt;'Données projet'!$A$62,$AF$205^A82,IF(A82='Données projet'!$A$62,'Données projet'!$B$62,AI81+AH82-AQ81)))</f>
        <v>763.1999999999997</v>
      </c>
      <c r="AJ82" s="13">
        <f>AI82*VLOOKUP('Données projet'!$B$10,Paramètres!$A$1:$I$89,3,0)*VLOOKUP('Données projet'!$B$10,Paramètres!$A$1:$I$89,5,0)</f>
        <v>377.02079999999989</v>
      </c>
      <c r="AK82" s="13">
        <f t="shared" si="89"/>
        <v>87.102065406811391</v>
      </c>
      <c r="AL82" s="20">
        <f t="shared" si="58"/>
        <v>808.34732391686293</v>
      </c>
      <c r="AM82" s="59">
        <f t="shared" si="59"/>
        <v>1101.6806572501962</v>
      </c>
      <c r="AN82" s="59">
        <f ca="1">AVERAGE(OFFSET($AM$3,0,0,'Données projet'!$E$10+1,1))-AVERAGE(OFFSET($H$3,0,0,'Données projet'!$E$10+1,1))</f>
        <v>360.05819346986135</v>
      </c>
      <c r="AO82" s="59">
        <f t="shared" si="90"/>
        <v>300.47468388351081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115.61544652750331</v>
      </c>
      <c r="AV82" s="21">
        <f>EXP(-LN(2)/25)*AV81+(1-EXP(-LN(2)/25))/(LN(2)/25)*Calculateur!AQ82*Calculateur!AS82*VLOOKUP('Données projet'!$B$10,Paramètres!$A$1:$I$89,3,0)*0.475*44/12</f>
        <v>10.874163206143802</v>
      </c>
      <c r="AW82" s="21">
        <f>EXP(-LN(2)/2)*AW81+(1-EXP(-LN(2)/2))/(LN(2)/2)*AQ82*AT82*VLOOKUP('Données projet'!$B$10,Paramètres!$A$1:$I$89,3,0)*0.475*44/12</f>
        <v>2.2100335708834492E-9</v>
      </c>
      <c r="AX82" s="21">
        <f t="shared" si="60"/>
        <v>126.48960973585714</v>
      </c>
      <c r="AY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</v>
      </c>
      <c r="BD82" s="12">
        <f>IF('Données projet'!$A$88&gt;35,BD81+BC82-BL81,IF(A82&lt;'Données projet'!$A$88,$BA$205^A82,IF(A82='Données projet'!$A$88,'Données projet'!$B$88,BD81+BC82-BL81)))</f>
        <v>416.99999999999994</v>
      </c>
      <c r="BE82" s="13">
        <f>BD82*VLOOKUP('Données projet'!$B$11,Paramètres!$A$1:$I$89,3,0)*VLOOKUP('Données projet'!$B$11,Paramètres!$A$1:$I$89,5,0)</f>
        <v>238.524</v>
      </c>
      <c r="BF82" s="13">
        <f t="shared" si="91"/>
        <v>58.12184796372339</v>
      </c>
      <c r="BG82" s="20">
        <f t="shared" si="61"/>
        <v>516.65818520348489</v>
      </c>
      <c r="BH82" s="59">
        <f t="shared" si="62"/>
        <v>809.99151853681815</v>
      </c>
      <c r="BI82" s="59">
        <f ca="1">AVERAGE(OFFSET($BH$3,0,0,'Données projet'!$E$11+1,1))-AVERAGE(OFFSET($H$3,0,0,'Données projet'!$E$11+1,1))</f>
        <v>250.90038883668348</v>
      </c>
      <c r="BJ82" s="59">
        <f t="shared" si="92"/>
        <v>141.96132114475608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64.606300562395731</v>
      </c>
      <c r="BQ82" s="21">
        <f>EXP(-LN(2)/25)*BQ81+(1-EXP(-LN(2)/25))/(LN(2)/25)*Calculateur!BL82*Calculateur!BN82*VLOOKUP('Données projet'!$B$11,Paramètres!$A$1:$I$89,3,0)*0.475*44/12</f>
        <v>3.0596573570415848</v>
      </c>
      <c r="BR82" s="21">
        <f>EXP(-LN(2)/2)*BR81+(1-EXP(-LN(2)/2))/(LN(2)/2)*BL82*BO82*VLOOKUP('Données projet'!$B$11,Paramètres!$A$1:$I$89,3,0)*0.475*44/12</f>
        <v>1.59233934045655E-7</v>
      </c>
      <c r="BS82" s="22">
        <f t="shared" si="63"/>
        <v>67.665958078671252</v>
      </c>
      <c r="BT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3.6</v>
      </c>
      <c r="BY82" s="12">
        <f>IF('Données projet'!$A$114&gt;35,BY81+BX82-CG81,IF(A82&lt;'Données projet'!$A$114,$BV$205^A82,IF(A82='Données projet'!$A$114,'Données projet'!$B$114,BY81+BX82-CG81)))</f>
        <v>326.39999999999998</v>
      </c>
      <c r="BZ82" s="13">
        <f>BY82*VLOOKUP('Données projet'!$B$12,Paramètres!$A$1:$I$89,3,0)*VLOOKUP('Données projet'!$B$12,Paramètres!$A$1:$I$89,5,0)</f>
        <v>259.68384000000003</v>
      </c>
      <c r="CA82" s="13">
        <f t="shared" si="93"/>
        <v>62.654980648867358</v>
      </c>
      <c r="CB82" s="20">
        <f t="shared" si="64"/>
        <v>561.40677929677736</v>
      </c>
      <c r="CC82" s="59">
        <f t="shared" si="65"/>
        <v>854.74011263011062</v>
      </c>
      <c r="CD82" s="59">
        <f ca="1">AVERAGE(OFFSET($CC$3,0,0,'Données projet'!$E$12+1,1))-AVERAGE(OFFSET($H$3,0,0,'Données projet'!$E$12+1,1))</f>
        <v>279.49721661620544</v>
      </c>
      <c r="CE82" s="59">
        <f t="shared" si="94"/>
        <v>275.18739333988754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49.00157226495871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49.00157226495871</v>
      </c>
      <c r="CO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17.2</v>
      </c>
      <c r="CT82" s="12">
        <f>IF('Données projet'!$A$140&gt;35,CT81+CS82-DB81,IF(A82&lt;'Données projet'!$A$140,$CQ$205^A82,IF(A82='Données projet'!$A$140,'Données projet'!$B$140,CT81+CS82-DB81)))</f>
        <v>822.8</v>
      </c>
      <c r="CU82" s="17">
        <f>CT82*VLOOKUP('Données projet'!$B$13,Paramètres!$A$1:$I$89,3,0)*VLOOKUP('Données projet'!$B$13,Paramètres!$A$1:$I$89,5,0)</f>
        <v>406.46319999999997</v>
      </c>
      <c r="CV82" s="13">
        <f t="shared" si="95"/>
        <v>93.085754965986609</v>
      </c>
      <c r="CW82" s="20">
        <f t="shared" si="67"/>
        <v>870.04776323242652</v>
      </c>
      <c r="CX82" s="59">
        <f t="shared" si="68"/>
        <v>1163.3810965657599</v>
      </c>
      <c r="CY82" s="59">
        <f ca="1">AVERAGE(OFFSET($CX$3,0,0,'Données projet'!$E$13+1,1))-AVERAGE(OFFSET($H$3,0,0,'Données projet'!$E$13+1,1))</f>
        <v>396.27049617044378</v>
      </c>
      <c r="CZ82" s="59">
        <f t="shared" si="96"/>
        <v>335.2680289568774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128.26191641616987</v>
      </c>
      <c r="DG82" s="21">
        <f>EXP(-LN(2)/25)*DG81+(1-EXP(-LN(2)/25))/(LN(2)/25)*Calculateur!DB82*Calculateur!DD82*VLOOKUP('Données projet'!$B$13,Paramètres!$A$1:$I$89,3,0)*0.475*44/12</f>
        <v>12.082403562382005</v>
      </c>
      <c r="DH82" s="21">
        <f>EXP(-LN(2)/2)*DH81+(1-EXP(-LN(2)/2))/(LN(2)/2)*DB82*DE82*VLOOKUP('Données projet'!$B$13,Paramètres!$A$1:$I$89,3,0)*0.475*44/12</f>
        <v>1.6206912853145305E-8</v>
      </c>
      <c r="DI82" s="22">
        <f t="shared" si="69"/>
        <v>140.34431999475879</v>
      </c>
      <c r="DJ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10.199999999999999</v>
      </c>
      <c r="DO82" s="12">
        <f>IF('Données projet'!$A$166&gt;35,DO81+DN82-DW81,IF(A82&lt;'Données projet'!$A$166,$DL$205^A82,IF(A82='Données projet'!$A$166,'Données projet'!$B$166,DO81+DN82-DW81)))</f>
        <v>485.79999999999956</v>
      </c>
      <c r="DP82" s="17">
        <f>DO82*VLOOKUP('Données projet'!$B$14,Paramètres!$A$1:$I$89,3,0)*VLOOKUP('Données projet'!$B$14,Paramètres!$A$1:$I$89,5,0)</f>
        <v>277.87759999999975</v>
      </c>
      <c r="DQ82" s="13">
        <f t="shared" si="97"/>
        <v>66.518286319824696</v>
      </c>
      <c r="DR82" s="20">
        <f t="shared" si="70"/>
        <v>599.82283534036094</v>
      </c>
      <c r="DS82" s="59">
        <f t="shared" si="71"/>
        <v>893.15616867369431</v>
      </c>
      <c r="DT82" s="59">
        <f ca="1">AVERAGE(OFFSET($DS$3,0,0,'Données projet'!$E$14+1,1))-AVERAGE(OFFSET($H$3,0,0,'Données projet'!$E$14+1,1))</f>
        <v>307.43900954374504</v>
      </c>
      <c r="DU82" s="59">
        <f t="shared" si="98"/>
        <v>185.25270859048999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74.771759087291642</v>
      </c>
      <c r="EB82" s="21">
        <f>EXP(-LN(2)/25)*EB81+(1-EXP(-LN(2)/25))/(LN(2)/25)*Calculateur!DW82*Calculateur!DY82*VLOOKUP('Données projet'!$B$14,Paramètres!$A$1:$I$89,3,0)*0.475*44/12</f>
        <v>6.8678925512487163</v>
      </c>
      <c r="EC82" s="21">
        <f>EXP(-LN(2)/2)*EC81+(1-EXP(-LN(2)/2))/(LN(2)/2)*DW82*DZ82*VLOOKUP('Données projet'!$B$14,Paramètres!$A$1:$I$89,3,0)*0.475*44/12</f>
        <v>1.5353917439821861E-8</v>
      </c>
      <c r="ED82" s="22">
        <f t="shared" si="72"/>
        <v>81.639651653894276</v>
      </c>
      <c r="EE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401</v>
      </c>
      <c r="EK82" s="17">
        <f>EJ82*VLOOKUP('Données projet'!$B$15,Paramètres!$A$1:$I$89,3,0)*VLOOKUP('Données projet'!$B$15,Paramètres!$A$1:$I$89,5,0)</f>
        <v>250.22399999999999</v>
      </c>
      <c r="EL82" s="13">
        <f t="shared" si="99"/>
        <v>60.633904580527918</v>
      </c>
      <c r="EM82" s="20">
        <f t="shared" si="73"/>
        <v>541.41085047775289</v>
      </c>
      <c r="EN82" s="59">
        <f t="shared" si="74"/>
        <v>834.74418381108626</v>
      </c>
      <c r="EO82" s="59">
        <f ca="1">AVERAGE(OFFSET($EN$3,0,0,'Données projet'!$E$15+1,1))-AVERAGE(OFFSET($H$3,0,0,'Données projet'!$E$15+1,1))</f>
        <v>269.77739619445515</v>
      </c>
      <c r="EP82" s="59">
        <f t="shared" si="100"/>
        <v>347.56964743629885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52.564160363089869</v>
      </c>
      <c r="EW82" s="21">
        <f>EXP(-LN(2)/25)*EW81+(1-EXP(-LN(2)/25))/(LN(2)/25)*Calculateur!ER82*Calculateur!ET82*VLOOKUP('Données projet'!$B$15,Paramètres!$A$1:$I$89,3,0)*0.475*44/12</f>
        <v>23.580354010796245</v>
      </c>
      <c r="EX82" s="21">
        <f>EXP(-LN(2)/2)*EX81+(1-EXP(-LN(2)/2))/(LN(2)/2)*ER82*EU82*VLOOKUP('Données projet'!$B$15,Paramètres!$A$1:$I$89,3,0)*0.475*44/12</f>
        <v>1.0468580072605816E-9</v>
      </c>
      <c r="EY82" s="22">
        <f t="shared" si="75"/>
        <v>76.144514374932967</v>
      </c>
      <c r="EZ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4</v>
      </c>
      <c r="FE82" s="12">
        <f>IF('Données projet'!$A$218&gt;35,FE81+FD82-FM81,IF(A82&lt;'Données projet'!$A$218,$FB$205^A82,IF(A82='Données projet'!$A$218,'Données projet'!$B$218,FE81+FD82-FM81)))</f>
        <v>376.99999999999972</v>
      </c>
      <c r="FF82" s="17">
        <f>FE82*VLOOKUP('Données projet'!$B$16,Paramètres!$A$1:$I$89,3,0)*VLOOKUP('Données projet'!$B$16,Paramètres!$A$1:$I$89,5,0)</f>
        <v>299.94119999999981</v>
      </c>
      <c r="FG82" s="13">
        <f t="shared" si="101"/>
        <v>71.164136596531506</v>
      </c>
      <c r="FH82" s="20">
        <f t="shared" si="76"/>
        <v>646.34179457229197</v>
      </c>
      <c r="FI82" s="59">
        <f t="shared" si="77"/>
        <v>939.67512790562523</v>
      </c>
      <c r="FJ82" s="59">
        <f ca="1">AVERAGE(OFFSET($FI$3,0,0,'Données projet'!$E$16+1,1))-AVERAGE(OFFSET($H$3,0,0,'Données projet'!$E$16+1,1))</f>
        <v>331.52724290297675</v>
      </c>
      <c r="FK82" s="59">
        <f t="shared" si="102"/>
        <v>322.79102610158054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56.68439629415758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56.68439629415758</v>
      </c>
      <c r="FU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18.600000000000001</v>
      </c>
      <c r="FZ82" s="12">
        <f>IF('Données projet'!$A$244&gt;35,FZ81+FY82-GH81,IF(A82&lt;'Données projet'!$A$244,$FW$205^A82,IF(A82='Données projet'!$A$244,'Données projet'!$B$244,FZ81+FY82-GH81)))</f>
        <v>890.40000000000009</v>
      </c>
      <c r="GA82" s="17">
        <f>FZ82*VLOOKUP('Données projet'!$B$17,Paramètres!$A$1:$I$89,3,0)*VLOOKUP('Données projet'!$B$17,Paramètres!$A$1:$I$89,5,0)</f>
        <v>439.85760000000005</v>
      </c>
      <c r="GB82" s="13">
        <f t="shared" si="103"/>
        <v>99.811972127941502</v>
      </c>
      <c r="GC82" s="20">
        <f t="shared" si="79"/>
        <v>939.92450478949831</v>
      </c>
      <c r="GD82" s="59">
        <f t="shared" si="80"/>
        <v>1233.2578381228316</v>
      </c>
      <c r="GE82" s="59">
        <f ca="1">AVERAGE(OFFSET($GD$3,0,0,'Données projet'!$E$17+1,1))-AVERAGE(OFFSET($H$3,0,0,'Données projet'!$E$17+1,1))</f>
        <v>434.08297999735811</v>
      </c>
      <c r="GF82" s="59">
        <f t="shared" si="104"/>
        <v>371.04090283546122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141.24136355832945</v>
      </c>
      <c r="GM82" s="21">
        <f>EXP(-LN(2)/25)*GM81+(1-EXP(-LN(2)/25))/(LN(2)/25)*Calculateur!GH82*Calculateur!GJ82*VLOOKUP('Données projet'!$B$17,Paramètres!$A$1:$I$89,3,0)*0.475*44/12</f>
        <v>13.290643918620214</v>
      </c>
      <c r="GN82" s="21">
        <f>EXP(-LN(2)/2)*GN81+(1-EXP(-LN(2)/2))/(LN(2)/2)*GH82*GK82*VLOOKUP('Données projet'!$B$17,Paramètres!$A$1:$I$89,3,0)*0.475*44/12</f>
        <v>3.1677147849329442E-8</v>
      </c>
      <c r="GO82" s="21">
        <f t="shared" si="81"/>
        <v>154.53200750862683</v>
      </c>
      <c r="GP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11.2</v>
      </c>
      <c r="GU82" s="12">
        <f>IF('Données projet'!$A$270&gt;35,GU81+GT82-HC81,IF(A82&lt;'Données projet'!$A$270,$GR$205^A82,IF(A82='Données projet'!$A$270,'Données projet'!$B$270,GU81+GT82-HC81)))</f>
        <v>554.80000000000007</v>
      </c>
      <c r="GV82" s="17">
        <f>GU82*VLOOKUP('Données projet'!$B$18,Paramètres!$A$1:$I$89,3,0)*VLOOKUP('Données projet'!$B$18,Paramètres!$A$1:$I$89,5,0)</f>
        <v>317.34560000000005</v>
      </c>
      <c r="GW82" s="13">
        <f t="shared" si="105"/>
        <v>74.80078666080081</v>
      </c>
      <c r="GX82" s="20">
        <f t="shared" si="82"/>
        <v>682.98829010089491</v>
      </c>
      <c r="GY82" s="59">
        <f t="shared" si="83"/>
        <v>976.32162343422829</v>
      </c>
      <c r="GZ82" s="59">
        <f ca="1">AVERAGE(OFFSET($GY$3,0,0,'Données projet'!$E$18+1,1))-AVERAGE(OFFSET($H$3,0,0,'Données projet'!$E$18+1,1))</f>
        <v>362.57172983134313</v>
      </c>
      <c r="HA82" s="59">
        <f t="shared" si="106"/>
        <v>232.03250917542471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83.785113912758803</v>
      </c>
      <c r="HH82" s="21">
        <f>EXP(-LN(2)/25)*HH81+(1-EXP(-LN(2)/25))/(LN(2)/25)*Calculateur!HC82*Calculateur!HE82*VLOOKUP('Données projet'!$B$18,Paramètres!$A$1:$I$89,3,0)*0.475*44/12</f>
        <v>8.0125413097901763</v>
      </c>
      <c r="HI82" s="21">
        <f>EXP(-LN(2)/2)*HI81+(1-EXP(-LN(2)/2))/(LN(2)/2)*HC82*HF82*VLOOKUP('Données projet'!$B$18,Paramètres!$A$1:$I$89,3,0)*0.475*44/12</f>
        <v>3.1560830292967149E-8</v>
      </c>
      <c r="HJ82" s="22">
        <f t="shared" si="84"/>
        <v>91.797655254109813</v>
      </c>
    </row>
    <row r="83" spans="1:218" x14ac:dyDescent="0.3">
      <c r="A83" s="10">
        <f t="shared" si="85"/>
        <v>80</v>
      </c>
      <c r="B83" s="71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5">
        <f t="shared" si="56"/>
        <v>380.54705981446097</v>
      </c>
      <c r="I83" s="6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275</v>
      </c>
      <c r="L83" s="12">
        <f>VLOOKUP(A83,'Données projet'!$A$35:$I$55,9,0)</f>
        <v>2.8</v>
      </c>
      <c r="M83" s="12">
        <f t="array" ref="M83">INDEX(L:L,MIN(IF(ISNUMBER(L83:L279),ROW(L83:L279),"")))</f>
        <v>2.8</v>
      </c>
      <c r="N83" s="13">
        <f>IF('Données projet'!$A$36&gt;35,N82+M83-V82,IF(A83&lt;'Données projet'!$A$36,$K$205^A83,IF(A83='Données projet'!$A$36,'Données projet'!$B$36,N82+M83-V82)))</f>
        <v>274.99999999999983</v>
      </c>
      <c r="O83" s="13">
        <f>N83*VLOOKUP('Données projet'!$B$9,Paramètres!$A$1:$I$89,3,0)*VLOOKUP('Données projet'!$B$9,Paramètres!$A$1:$I$89,5,0)</f>
        <v>218.78999999999988</v>
      </c>
      <c r="P83" s="13">
        <f t="shared" si="87"/>
        <v>53.851813843863468</v>
      </c>
      <c r="Q83" s="20">
        <f t="shared" si="54"/>
        <v>474.85115911139536</v>
      </c>
      <c r="R83" s="59">
        <f t="shared" si="55"/>
        <v>768.18449244472868</v>
      </c>
      <c r="S83" s="59">
        <f ca="1">AVERAGE(OFFSET($R$3,0,0,'Données projet'!$E$9+1,1))-AVERAGE(OFFSET($H$3,0,0,'Données projet'!$E$9+1,1))</f>
        <v>225.2323446080772</v>
      </c>
      <c r="T83" s="59">
        <f t="shared" si="88"/>
        <v>222.29030402759292</v>
      </c>
      <c r="U83" s="15">
        <f>IF(ISNA(VLOOKUP(A83,'Données projet'!$A$35:$I$55,3,0)),0,VLOOKUP(A83,'Données projet'!$A$35:$I$55,3,0))</f>
        <v>14</v>
      </c>
      <c r="V83" s="15">
        <f>IF(ISNA(VLOOKUP(A83,'Données projet'!$A$35:$I$55,4,0)),0,VLOOKUP(A83,'Données projet'!$A$35:$I$55,4,0))</f>
        <v>8</v>
      </c>
      <c r="W83" s="16">
        <f>IF(ISNA(VLOOKUP(A83,'Données projet'!$A$35:$I$55,5,0)),0%,VLOOKUP(A83,'Données projet'!$A$35:$I$55,5,0)*VLOOKUP('Données projet'!$B$9,Paramètres!$A$1:$I$89,7,0))</f>
        <v>0.53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43.386776901888616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43.386776901888616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779</v>
      </c>
      <c r="AG83" s="12">
        <f>VLOOKUP(A83,'Données projet'!$A$61:$I$81,9,0)</f>
        <v>15.8</v>
      </c>
      <c r="AH83" s="12">
        <f t="array" ref="AH83">INDEX(AG:AG,MIN(IF(ISNUMBER(AG83:AG279),ROW(AG83:AG279),"")))</f>
        <v>15.8</v>
      </c>
      <c r="AI83" s="13">
        <f>IF('Données projet'!$A$62&gt;35,AI82+AH83-AQ82,IF(A83&lt;'Données projet'!$A$62,$AF$205^A83,IF(A83='Données projet'!$A$62,'Données projet'!$B$62,AI82+AH83-AQ82)))</f>
        <v>778.99999999999966</v>
      </c>
      <c r="AJ83" s="13">
        <f>AI83*VLOOKUP('Données projet'!$B$10,Paramètres!$A$1:$I$89,3,0)*VLOOKUP('Données projet'!$B$10,Paramètres!$A$1:$I$89,5,0)</f>
        <v>384.82599999999985</v>
      </c>
      <c r="AK83" s="13">
        <f t="shared" si="89"/>
        <v>88.693479840075071</v>
      </c>
      <c r="AL83" s="20">
        <f t="shared" si="58"/>
        <v>824.71309405479712</v>
      </c>
      <c r="AM83" s="59">
        <f t="shared" si="59"/>
        <v>1118.0464273881305</v>
      </c>
      <c r="AN83" s="59">
        <f ca="1">AVERAGE(OFFSET($AM$3,0,0,'Données projet'!$E$10+1,1))-AVERAGE(OFFSET($H$3,0,0,'Données projet'!$E$10+1,1))</f>
        <v>360.05819346986135</v>
      </c>
      <c r="AO83" s="59">
        <f t="shared" si="90"/>
        <v>300.47468388351081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46</v>
      </c>
      <c r="AR83" s="16">
        <f>IF(ISNA(VLOOKUP(A83,'Données projet'!$A$61:$I$81,5,0)),0%,VLOOKUP(A83,'Données projet'!$A$61:$I$81,5,0)*VLOOKUP('Données projet'!$B$10,Paramètres!$A$1:$I$89,7,0))</f>
        <v>0.55000000000000004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129.92796601653268</v>
      </c>
      <c r="AV83" s="21">
        <f>EXP(-LN(2)/25)*AV82+(1-EXP(-LN(2)/25))/(LN(2)/25)*Calculateur!AQ83*Calculateur!AS83*VLOOKUP('Données projet'!$B$10,Paramètres!$A$1:$I$89,3,0)*0.475*44/12</f>
        <v>10.57680864142441</v>
      </c>
      <c r="AW83" s="21">
        <f>EXP(-LN(2)/2)*AW82+(1-EXP(-LN(2)/2))/(LN(2)/2)*AQ83*AT83*VLOOKUP('Données projet'!$B$10,Paramètres!$A$1:$I$89,3,0)*0.475*44/12</f>
        <v>1.5627297246216074E-9</v>
      </c>
      <c r="AX83" s="21">
        <f t="shared" si="60"/>
        <v>140.50477465951982</v>
      </c>
      <c r="AY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426</v>
      </c>
      <c r="BB83" s="12">
        <f>VLOOKUP(A83,'Données projet'!$A$87:$I$107,9,0)</f>
        <v>9</v>
      </c>
      <c r="BC83" s="12">
        <f t="array" ref="BC83">INDEX(BB:BB,MIN(IF(ISNUMBER(BB83:BB279),ROW(BB83:BB279),"")))</f>
        <v>9</v>
      </c>
      <c r="BD83" s="12">
        <f>IF('Données projet'!$A$88&gt;35,BD82+BC83-BL82,IF(A83&lt;'Données projet'!$A$88,$BA$205^A83,IF(A83='Données projet'!$A$88,'Données projet'!$B$88,BD82+BC83-BL82)))</f>
        <v>425.99999999999994</v>
      </c>
      <c r="BE83" s="13">
        <f>BD83*VLOOKUP('Données projet'!$B$11,Paramètres!$A$1:$I$89,3,0)*VLOOKUP('Données projet'!$B$11,Paramètres!$A$1:$I$89,5,0)</f>
        <v>243.67199999999997</v>
      </c>
      <c r="BF83" s="13">
        <f t="shared" si="91"/>
        <v>59.228879636606152</v>
      </c>
      <c r="BG83" s="20">
        <f t="shared" si="61"/>
        <v>527.55236536708901</v>
      </c>
      <c r="BH83" s="59">
        <f t="shared" si="62"/>
        <v>820.88569870042238</v>
      </c>
      <c r="BI83" s="59">
        <f ca="1">AVERAGE(OFFSET($BH$3,0,0,'Données projet'!$E$11+1,1))-AVERAGE(OFFSET($H$3,0,0,'Données projet'!$E$11+1,1))</f>
        <v>250.90038883668348</v>
      </c>
      <c r="BJ83" s="59">
        <f t="shared" si="92"/>
        <v>141.96132114475608</v>
      </c>
      <c r="BK83" s="15">
        <f>IF(ISNA(VLOOKUP(A83,'Données projet'!$A$87:$I$107,3,0)),0,VLOOKUP(A83,'Données projet'!$A$87:$I$107,3,0))</f>
        <v>12</v>
      </c>
      <c r="BL83" s="21">
        <f>IF(ISNA(VLOOKUP(A83,'Données projet'!$A$87:$I$107,4,0)),0,VLOOKUP(A83,'Données projet'!$A$87:$I$107,4,0))</f>
        <v>24</v>
      </c>
      <c r="BM83" s="16">
        <f>IF(ISNA(VLOOKUP(A83,'Données projet'!$A$87:$I$107,5,0)),0%,VLOOKUP(A83,'Données projet'!$A$87:$I$107,5,0)*VLOOKUP('Données projet'!$B$11,Paramètres!$A$1:$I$89,7,0))</f>
        <v>0.45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71.534394994242788</v>
      </c>
      <c r="BQ83" s="21">
        <f>EXP(-LN(2)/25)*BQ82+(1-EXP(-LN(2)/25))/(LN(2)/25)*Calculateur!BL83*Calculateur!BN83*VLOOKUP('Données projet'!$B$11,Paramètres!$A$1:$I$89,3,0)*0.475*44/12</f>
        <v>2.9759908657128951</v>
      </c>
      <c r="BR83" s="21">
        <f>EXP(-LN(2)/2)*BR82+(1-EXP(-LN(2)/2))/(LN(2)/2)*BL83*BO83*VLOOKUP('Données projet'!$B$11,Paramètres!$A$1:$I$89,3,0)*0.475*44/12</f>
        <v>1.1259539455869411E-7</v>
      </c>
      <c r="BS83" s="22">
        <f t="shared" si="63"/>
        <v>74.510385972551092</v>
      </c>
      <c r="BT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330</v>
      </c>
      <c r="BW83" s="12">
        <f>VLOOKUP(A83,'Données projet'!$A$113:$I$133,9,0)</f>
        <v>3.6</v>
      </c>
      <c r="BX83" s="12">
        <f t="array" ref="BX83">INDEX(BW:BW,MIN(IF(ISNUMBER(BW83:BW279),ROW(BW83:BW279),"")))</f>
        <v>3.6</v>
      </c>
      <c r="BY83" s="12">
        <f>IF('Données projet'!$A$114&gt;35,BY82+BX83-CG82,IF(A83&lt;'Données projet'!$A$114,$BV$205^A83,IF(A83='Données projet'!$A$114,'Données projet'!$B$114,BY82+BX83-CG82)))</f>
        <v>330</v>
      </c>
      <c r="BZ83" s="13">
        <f>BY83*VLOOKUP('Données projet'!$B$12,Paramètres!$A$1:$I$89,3,0)*VLOOKUP('Données projet'!$B$12,Paramètres!$A$1:$I$89,5,0)</f>
        <v>262.548</v>
      </c>
      <c r="CA83" s="13">
        <f t="shared" si="93"/>
        <v>63.265199933079444</v>
      </c>
      <c r="CB83" s="20">
        <f t="shared" si="64"/>
        <v>567.45798988344666</v>
      </c>
      <c r="CC83" s="59">
        <f t="shared" si="65"/>
        <v>860.79132321678003</v>
      </c>
      <c r="CD83" s="59">
        <f ca="1">AVERAGE(OFFSET($CC$3,0,0,'Données projet'!$E$12+1,1))-AVERAGE(OFFSET($H$3,0,0,'Données projet'!$E$12+1,1))</f>
        <v>279.49721661620544</v>
      </c>
      <c r="CE83" s="59">
        <f t="shared" si="94"/>
        <v>275.18739333988754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11</v>
      </c>
      <c r="CH83" s="16">
        <f>IF(ISNA(VLOOKUP(A83,'Données projet'!$A$113:$I$133,5,0)),0%,VLOOKUP(A83,'Données projet'!$A$113:$I$133,5,0)*VLOOKUP('Données projet'!$B$12,Paramètres!$A$1:$I$89,7,0))</f>
        <v>0.53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53.168237644816656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53.168237644816656</v>
      </c>
      <c r="CO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840</v>
      </c>
      <c r="CR83" s="12">
        <f>VLOOKUP(A83,'Données projet'!$A$139:$I$159,9,0)</f>
        <v>17.2</v>
      </c>
      <c r="CS83" s="12">
        <f t="array" ref="CS83">INDEX(CR:CR,MIN(IF(ISNUMBER(CR83:CR279),ROW(CR83:CR279),"")))</f>
        <v>17.2</v>
      </c>
      <c r="CT83" s="12">
        <f>IF('Données projet'!$A$140&gt;35,CT82+CS83-DB82,IF(A83&lt;'Données projet'!$A$140,$CQ$205^A83,IF(A83='Données projet'!$A$140,'Données projet'!$B$140,CT82+CS83-DB82)))</f>
        <v>840</v>
      </c>
      <c r="CU83" s="17">
        <f>CT83*VLOOKUP('Données projet'!$B$13,Paramètres!$A$1:$I$89,3,0)*VLOOKUP('Données projet'!$B$13,Paramètres!$A$1:$I$89,5,0)</f>
        <v>414.96</v>
      </c>
      <c r="CV83" s="13">
        <f t="shared" si="95"/>
        <v>94.803064065636192</v>
      </c>
      <c r="CW83" s="20">
        <f t="shared" si="67"/>
        <v>887.83733658098299</v>
      </c>
      <c r="CX83" s="59">
        <f t="shared" si="68"/>
        <v>1181.1706699143162</v>
      </c>
      <c r="CY83" s="59">
        <f ca="1">AVERAGE(OFFSET($CX$3,0,0,'Données projet'!$E$13+1,1))-AVERAGE(OFFSET($H$3,0,0,'Données projet'!$E$13+1,1))</f>
        <v>396.27049617044378</v>
      </c>
      <c r="CZ83" s="59">
        <f t="shared" si="96"/>
        <v>335.2680289568774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51</v>
      </c>
      <c r="DC83" s="16">
        <f>IF(ISNA(VLOOKUP(A83,'Données projet'!$A$139:$I$159,5,0)),0%,VLOOKUP(A83,'Données projet'!$A$139:$I$159,5,0)*VLOOKUP('Données projet'!$B$13,Paramètres!$A$1:$I$89,7,0))</f>
        <v>0.55000000000000004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144.1285841569821</v>
      </c>
      <c r="DG83" s="21">
        <f>EXP(-LN(2)/25)*DG82+(1-EXP(-LN(2)/25))/(LN(2)/25)*Calculateur!DB83*Calculateur!DD83*VLOOKUP('Données projet'!$B$13,Paramètres!$A$1:$I$89,3,0)*0.475*44/12</f>
        <v>11.75200960158268</v>
      </c>
      <c r="DH83" s="21">
        <f>EXP(-LN(2)/2)*DH82+(1-EXP(-LN(2)/2))/(LN(2)/2)*DB83*DE83*VLOOKUP('Données projet'!$B$13,Paramètres!$A$1:$I$89,3,0)*0.475*44/12</f>
        <v>1.1460017980558462E-8</v>
      </c>
      <c r="DI83" s="22">
        <f t="shared" si="69"/>
        <v>155.8805937700248</v>
      </c>
      <c r="DJ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496</v>
      </c>
      <c r="DM83" s="12">
        <f>VLOOKUP(A83,'Données projet'!$A$165:$I$185,9,0)</f>
        <v>10.199999999999999</v>
      </c>
      <c r="DN83" s="12">
        <f t="array" ref="DN83">INDEX(DM:DM,MIN(IF(ISNUMBER(DM83:DM279),ROW(DM83:DM279),"")))</f>
        <v>10.199999999999999</v>
      </c>
      <c r="DO83" s="12">
        <f>IF('Données projet'!$A$166&gt;35,DO82+DN83-DW82,IF(A83&lt;'Données projet'!$A$166,$DL$205^A83,IF(A83='Données projet'!$A$166,'Données projet'!$B$166,DO82+DN83-DW82)))</f>
        <v>495.99999999999955</v>
      </c>
      <c r="DP83" s="17">
        <f>DO83*VLOOKUP('Données projet'!$B$14,Paramètres!$A$1:$I$89,3,0)*VLOOKUP('Données projet'!$B$14,Paramètres!$A$1:$I$89,5,0)</f>
        <v>283.71199999999976</v>
      </c>
      <c r="DQ83" s="13">
        <f t="shared" si="97"/>
        <v>67.750858897187811</v>
      </c>
      <c r="DR83" s="20">
        <f t="shared" si="70"/>
        <v>612.13114591260171</v>
      </c>
      <c r="DS83" s="59">
        <f t="shared" si="71"/>
        <v>905.46447924593508</v>
      </c>
      <c r="DT83" s="59">
        <f ca="1">AVERAGE(OFFSET($DS$3,0,0,'Données projet'!$E$14+1,1))-AVERAGE(OFFSET($H$3,0,0,'Données projet'!$E$14+1,1))</f>
        <v>307.43900954374504</v>
      </c>
      <c r="DU83" s="59">
        <f t="shared" si="98"/>
        <v>185.25270859048999</v>
      </c>
      <c r="DV83" s="15">
        <f>IF(ISNA(VLOOKUP(A83,'Données projet'!$A$165:$I$185,3,0)),0,VLOOKUP(A83,'Données projet'!$A$165:$I$185,3,0))</f>
        <v>13</v>
      </c>
      <c r="DW83" s="15">
        <f>IF(ISNA(VLOOKUP(A83,'Données projet'!$A$165:$I$185,4,0)),0,VLOOKUP(A83,'Données projet'!$A$165:$I$185,4,0))</f>
        <v>26</v>
      </c>
      <c r="DX83" s="16">
        <f>IF(ISNA(VLOOKUP(A83,'Données projet'!$A$165:$I$185,5,0)),0%,VLOOKUP(A83,'Données projet'!$A$165:$I$185,5,0)*VLOOKUP('Données projet'!$B$14,Paramètres!$A$1:$I$89,7,0))</f>
        <v>0.45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82.18343045944323</v>
      </c>
      <c r="EB83" s="21">
        <f>EXP(-LN(2)/25)*EB82+(1-EXP(-LN(2)/25))/(LN(2)/25)*Calculateur!DW83*Calculateur!DY83*VLOOKUP('Données projet'!$B$14,Paramètres!$A$1:$I$89,3,0)*0.475*44/12</f>
        <v>6.6800896682680477</v>
      </c>
      <c r="EC83" s="21">
        <f>EXP(-LN(2)/2)*EC82+(1-EXP(-LN(2)/2))/(LN(2)/2)*DW83*DZ83*VLOOKUP('Données projet'!$B$14,Paramètres!$A$1:$I$89,3,0)*0.475*44/12</f>
        <v>1.0856859139476433E-8</v>
      </c>
      <c r="ED83" s="22">
        <f t="shared" si="72"/>
        <v>88.863520138568148</v>
      </c>
      <c r="EE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401</v>
      </c>
      <c r="EK83" s="17">
        <f>EJ83*VLOOKUP('Données projet'!$B$15,Paramètres!$A$1:$I$89,3,0)*VLOOKUP('Données projet'!$B$15,Paramètres!$A$1:$I$89,5,0)</f>
        <v>250.22399999999999</v>
      </c>
      <c r="EL83" s="13">
        <f t="shared" si="99"/>
        <v>60.633904580527918</v>
      </c>
      <c r="EM83" s="20">
        <f t="shared" si="73"/>
        <v>541.41085047775289</v>
      </c>
      <c r="EN83" s="59">
        <f t="shared" si="74"/>
        <v>834.74418381108626</v>
      </c>
      <c r="EO83" s="59">
        <f ca="1">AVERAGE(OFFSET($EN$3,0,0,'Données projet'!$E$15+1,1))-AVERAGE(OFFSET($H$3,0,0,'Données projet'!$E$15+1,1))</f>
        <v>269.77739619445515</v>
      </c>
      <c r="EP83" s="59">
        <f t="shared" si="100"/>
        <v>347.56964743629885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51.533409239341736</v>
      </c>
      <c r="EW83" s="21">
        <f>EXP(-LN(2)/25)*EW82+(1-EXP(-LN(2)/25))/(LN(2)/25)*Calculateur!ER83*Calculateur!ET83*VLOOKUP('Données projet'!$B$15,Paramètres!$A$1:$I$89,3,0)*0.475*44/12</f>
        <v>22.935547990334097</v>
      </c>
      <c r="EX83" s="21">
        <f>EXP(-LN(2)/2)*EX82+(1-EXP(-LN(2)/2))/(LN(2)/2)*ER83*EU83*VLOOKUP('Données projet'!$B$15,Paramètres!$A$1:$I$89,3,0)*0.475*44/12</f>
        <v>7.4024039587339325E-10</v>
      </c>
      <c r="EY83" s="22">
        <f t="shared" si="75"/>
        <v>74.468957230416081</v>
      </c>
      <c r="EZ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381</v>
      </c>
      <c r="FC83" s="12">
        <f>VLOOKUP(A83,'Données projet'!$A$217:$I$237,9,0)</f>
        <v>4</v>
      </c>
      <c r="FD83" s="12">
        <f t="array" ref="FD83">INDEX(FC:FC,MIN(IF(ISNUMBER(FC83:FC279),ROW(FC83:FC279),"")))</f>
        <v>4</v>
      </c>
      <c r="FE83" s="12">
        <f>IF('Données projet'!$A$218&gt;35,FE82+FD83-FM82,IF(A83&lt;'Données projet'!$A$218,$FB$205^A83,IF(A83='Données projet'!$A$218,'Données projet'!$B$218,FE82+FD83-FM82)))</f>
        <v>380.99999999999972</v>
      </c>
      <c r="FF83" s="17">
        <f>FE83*VLOOKUP('Données projet'!$B$16,Paramètres!$A$1:$I$89,3,0)*VLOOKUP('Données projet'!$B$16,Paramètres!$A$1:$I$89,5,0)</f>
        <v>303.12359999999978</v>
      </c>
      <c r="FG83" s="13">
        <f t="shared" si="101"/>
        <v>71.830894732837621</v>
      </c>
      <c r="FH83" s="20">
        <f t="shared" si="76"/>
        <v>653.0457449930251</v>
      </c>
      <c r="FI83" s="59">
        <f t="shared" si="77"/>
        <v>946.37907832635847</v>
      </c>
      <c r="FJ83" s="59">
        <f ca="1">AVERAGE(OFFSET($FI$3,0,0,'Données projet'!$E$16+1,1))-AVERAGE(OFFSET($H$3,0,0,'Données projet'!$E$16+1,1))</f>
        <v>331.52724290297675</v>
      </c>
      <c r="FK83" s="59">
        <f t="shared" si="102"/>
        <v>322.79102610158054</v>
      </c>
      <c r="FL83" s="15">
        <f>IF(ISNA(VLOOKUP(A83,'Données projet'!$A$217:$I$237,3,0)),0,VLOOKUP(A83,'Données projet'!$A$217:$I$237,3,0))</f>
        <v>15</v>
      </c>
      <c r="FM83" s="15">
        <f>IF(ISNA(VLOOKUP(A83,'Données projet'!$A$217:$I$237,4,0)),0,VLOOKUP(A83,'Données projet'!$A$217:$I$237,4,0))</f>
        <v>13</v>
      </c>
      <c r="FN83" s="16">
        <f>IF(ISNA(VLOOKUP(A83,'Données projet'!$A$217:$I$237,5,0)),0%,VLOOKUP(A83,'Données projet'!$A$217:$I$237,5,0)*VLOOKUP('Données projet'!$B$16,Paramètres!$A$1:$I$89,7,0))</f>
        <v>0.53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61.632689148856684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61.632689148856684</v>
      </c>
      <c r="FU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909</v>
      </c>
      <c r="FX83" s="12">
        <f>VLOOKUP(A83,'Données projet'!$A$243:$I$263,9,0)</f>
        <v>18.600000000000001</v>
      </c>
      <c r="FY83" s="12">
        <f t="array" ref="FY83">INDEX(FX:FX,MIN(IF(ISNUMBER(FX83:FX279),ROW(FX83:FX279),"")))</f>
        <v>18.600000000000001</v>
      </c>
      <c r="FZ83" s="12">
        <f>IF('Données projet'!$A$244&gt;35,FZ82+FY83-GH82,IF(A83&lt;'Données projet'!$A$244,$FW$205^A83,IF(A83='Données projet'!$A$244,'Données projet'!$B$244,FZ82+FY83-GH82)))</f>
        <v>909.00000000000011</v>
      </c>
      <c r="GA83" s="17">
        <f>FZ83*VLOOKUP('Données projet'!$B$17,Paramètres!$A$1:$I$89,3,0)*VLOOKUP('Données projet'!$B$17,Paramètres!$A$1:$I$89,5,0)</f>
        <v>449.04600000000011</v>
      </c>
      <c r="GB83" s="13">
        <f t="shared" si="103"/>
        <v>101.65207404908085</v>
      </c>
      <c r="GC83" s="20">
        <f t="shared" si="79"/>
        <v>959.13247896881603</v>
      </c>
      <c r="GD83" s="59">
        <f t="shared" si="80"/>
        <v>1252.4658123021493</v>
      </c>
      <c r="GE83" s="59">
        <f ca="1">AVERAGE(OFFSET($GD$3,0,0,'Données projet'!$E$17+1,1))-AVERAGE(OFFSET($H$3,0,0,'Données projet'!$E$17+1,1))</f>
        <v>434.08297999735811</v>
      </c>
      <c r="GF83" s="59">
        <f t="shared" si="104"/>
        <v>371.04090283546122</v>
      </c>
      <c r="GG83" s="15">
        <f>IF(ISNA(VLOOKUP(A83,'Données projet'!$A$243:$I$263,3,0)),0,VLOOKUP(A83,'Données projet'!$A$243:$I$263,3,0))</f>
        <v>13</v>
      </c>
      <c r="GH83" s="15">
        <f>IF(ISNA(VLOOKUP(A83,'Données projet'!$A$243:$I$263,4,0)),0,VLOOKUP(A83,'Données projet'!$A$243:$I$263,4,0))</f>
        <v>57</v>
      </c>
      <c r="GI83" s="16">
        <f>IF(ISNA(VLOOKUP(A83,'Données projet'!$A$243:$I$263,5,0)),0%,VLOOKUP(A83,'Données projet'!$A$243:$I$263,5,0)*VLOOKUP('Données projet'!$B$17,Paramètres!$A$1:$I$89,7,0))</f>
        <v>0.55000000000000004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159.01607763262251</v>
      </c>
      <c r="GM83" s="21">
        <f>EXP(-LN(2)/25)*GM82+(1-EXP(-LN(2)/25))/(LN(2)/25)*Calculateur!GH83*Calculateur!GJ83*VLOOKUP('Données projet'!$B$17,Paramètres!$A$1:$I$89,3,0)*0.475*44/12</f>
        <v>12.927210561740957</v>
      </c>
      <c r="GN83" s="21">
        <f>EXP(-LN(2)/2)*GN82+(1-EXP(-LN(2)/2))/(LN(2)/2)*GH83*GK83*VLOOKUP('Données projet'!$B$17,Paramètres!$A$1:$I$89,3,0)*0.475*44/12</f>
        <v>2.2399126052909709E-8</v>
      </c>
      <c r="GO83" s="21">
        <f t="shared" si="81"/>
        <v>171.9432882167626</v>
      </c>
      <c r="GP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566</v>
      </c>
      <c r="GS83" s="12">
        <f>VLOOKUP(A83,'Données projet'!$A$269:$I$289,9,0)</f>
        <v>11.2</v>
      </c>
      <c r="GT83" s="12">
        <f t="array" ref="GT83">INDEX(GS:GS,MIN(IF(ISNUMBER(GS83:GS279),ROW(GS83:GS279),"")))</f>
        <v>11.2</v>
      </c>
      <c r="GU83" s="12">
        <f>IF('Données projet'!$A$270&gt;35,GU82+GT83-HC82,IF(A83&lt;'Données projet'!$A$270,$GR$205^A83,IF(A83='Données projet'!$A$270,'Données projet'!$B$270,GU82+GT83-HC82)))</f>
        <v>566.00000000000011</v>
      </c>
      <c r="GV83" s="17">
        <f>GU83*VLOOKUP('Données projet'!$B$18,Paramètres!$A$1:$I$89,3,0)*VLOOKUP('Données projet'!$B$18,Paramètres!$A$1:$I$89,5,0)</f>
        <v>323.75200000000007</v>
      </c>
      <c r="GW83" s="13">
        <f t="shared" si="105"/>
        <v>76.133499811318373</v>
      </c>
      <c r="GX83" s="20">
        <f t="shared" si="82"/>
        <v>696.46724550471288</v>
      </c>
      <c r="GY83" s="59">
        <f t="shared" si="83"/>
        <v>989.80057883804625</v>
      </c>
      <c r="GZ83" s="59">
        <f ca="1">AVERAGE(OFFSET($GY$3,0,0,'Données projet'!$E$18+1,1))-AVERAGE(OFFSET($H$3,0,0,'Données projet'!$E$18+1,1))</f>
        <v>362.57172983134313</v>
      </c>
      <c r="HA83" s="59">
        <f t="shared" si="106"/>
        <v>232.03250917542471</v>
      </c>
      <c r="HB83" s="15">
        <f>IF(ISNA(VLOOKUP(A83,'Données projet'!$A$269:$I$289,3,0)),0,VLOOKUP(A83,'Données projet'!$A$269:$I$289,3,0))</f>
        <v>13</v>
      </c>
      <c r="HC83" s="15">
        <f>IF(ISNA(VLOOKUP(A83,'Données projet'!$A$269:$I$289,4,0)),0,VLOOKUP(A83,'Données projet'!$A$269:$I$289,4,0))</f>
        <v>29</v>
      </c>
      <c r="HD83" s="16">
        <f>IF(ISNA(VLOOKUP(A83,'Données projet'!$A$269:$I$289,5,0)),0%,VLOOKUP(A83,'Données projet'!$A$269:$I$289,5,0)*VLOOKUP('Données projet'!$B$18,Paramètres!$A$1:$I$89,7,0))</f>
        <v>0.45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92.044411966876993</v>
      </c>
      <c r="HH83" s="21">
        <f>EXP(-LN(2)/25)*HH82+(1-EXP(-LN(2)/25))/(LN(2)/25)*Calculateur!HC83*Calculateur!HE83*VLOOKUP('Données projet'!$B$18,Paramètres!$A$1:$I$89,3,0)*0.475*44/12</f>
        <v>7.7934379463127295</v>
      </c>
      <c r="HI83" s="21">
        <f>EXP(-LN(2)/2)*HI82+(1-EXP(-LN(2)/2))/(LN(2)/2)*HC83*HF83*VLOOKUP('Données projet'!$B$18,Paramètres!$A$1:$I$89,3,0)*0.475*44/12</f>
        <v>2.2316877120034883E-8</v>
      </c>
      <c r="HJ83" s="22">
        <f t="shared" si="84"/>
        <v>99.837849935506611</v>
      </c>
    </row>
    <row r="84" spans="1:218" x14ac:dyDescent="0.3">
      <c r="A84" s="10">
        <f t="shared" si="85"/>
        <v>81</v>
      </c>
      <c r="B84" s="71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5">
        <f t="shared" si="56"/>
        <v>381.60768703655714</v>
      </c>
      <c r="I84" s="6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266.99999999999983</v>
      </c>
      <c r="O84" s="13">
        <f>N84*VLOOKUP('Données projet'!$B$9,Paramètres!$A$1:$I$89,3,0)*VLOOKUP('Données projet'!$B$9,Paramètres!$A$1:$I$89,5,0)</f>
        <v>212.42519999999985</v>
      </c>
      <c r="P84" s="13">
        <f t="shared" si="87"/>
        <v>52.465198231787184</v>
      </c>
      <c r="Q84" s="20">
        <f t="shared" si="54"/>
        <v>461.35077692036231</v>
      </c>
      <c r="R84" s="59">
        <f t="shared" si="55"/>
        <v>754.68411025369562</v>
      </c>
      <c r="S84" s="59">
        <f ca="1">AVERAGE(OFFSET($R$3,0,0,'Données projet'!$E$9+1,1))-AVERAGE(OFFSET($H$3,0,0,'Données projet'!$E$9+1,1))</f>
        <v>225.2323446080772</v>
      </c>
      <c r="T84" s="59">
        <f t="shared" si="88"/>
        <v>222.29030402759292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42.535988670163455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42.535988670163455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732.99999999999966</v>
      </c>
      <c r="AJ84" s="13">
        <f>AI84*VLOOKUP('Données projet'!$B$10,Paramètres!$A$1:$I$89,3,0)*VLOOKUP('Données projet'!$B$10,Paramètres!$A$1:$I$89,5,0)</f>
        <v>362.1019999999998</v>
      </c>
      <c r="AK84" s="13">
        <f t="shared" si="89"/>
        <v>84.049487364732272</v>
      </c>
      <c r="AL84" s="20">
        <f t="shared" si="58"/>
        <v>777.04717382690842</v>
      </c>
      <c r="AM84" s="59">
        <f t="shared" si="59"/>
        <v>1070.3805071602417</v>
      </c>
      <c r="AN84" s="59">
        <f ca="1">AVERAGE(OFFSET($AM$3,0,0,'Données projet'!$E$10+1,1))-AVERAGE(OFFSET($H$3,0,0,'Données projet'!$E$10+1,1))</f>
        <v>360.05819346986135</v>
      </c>
      <c r="AO84" s="59">
        <f t="shared" si="90"/>
        <v>300.47468388351081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127.38015785118263</v>
      </c>
      <c r="AV84" s="21">
        <f>EXP(-LN(2)/25)*AV83+(1-EXP(-LN(2)/25))/(LN(2)/25)*Calculateur!AQ84*Calculateur!AS84*VLOOKUP('Données projet'!$B$10,Paramètres!$A$1:$I$89,3,0)*0.475*44/12</f>
        <v>10.287585252914466</v>
      </c>
      <c r="AW84" s="21">
        <f>EXP(-LN(2)/2)*AW83+(1-EXP(-LN(2)/2))/(LN(2)/2)*AQ84*AT84*VLOOKUP('Données projet'!$B$10,Paramètres!$A$1:$I$89,3,0)*0.475*44/12</f>
        <v>1.1050167854417246E-9</v>
      </c>
      <c r="AX84" s="21">
        <f t="shared" si="60"/>
        <v>137.66774310520211</v>
      </c>
      <c r="AY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7.8</v>
      </c>
      <c r="BD84" s="12">
        <f>IF('Données projet'!$A$88&gt;35,BD83+BC84-BL83,IF(A84&lt;'Données projet'!$A$88,$BA$205^A84,IF(A84='Données projet'!$A$88,'Données projet'!$B$88,BD83+BC84-BL83)))</f>
        <v>409.79999999999995</v>
      </c>
      <c r="BE84" s="13">
        <f>BD84*VLOOKUP('Données projet'!$B$11,Paramètres!$A$1:$I$89,3,0)*VLOOKUP('Données projet'!$B$11,Paramètres!$A$1:$I$89,5,0)</f>
        <v>234.40559999999999</v>
      </c>
      <c r="BF84" s="13">
        <f t="shared" si="91"/>
        <v>57.234220788626125</v>
      </c>
      <c r="BG84" s="20">
        <f t="shared" si="61"/>
        <v>507.93935454019044</v>
      </c>
      <c r="BH84" s="59">
        <f t="shared" si="62"/>
        <v>801.27268787352375</v>
      </c>
      <c r="BI84" s="59">
        <f ca="1">AVERAGE(OFFSET($BH$3,0,0,'Données projet'!$E$11+1,1))-AVERAGE(OFFSET($H$3,0,0,'Données projet'!$E$11+1,1))</f>
        <v>250.90038883668348</v>
      </c>
      <c r="BJ84" s="59">
        <f t="shared" si="92"/>
        <v>141.96132114475608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70.131649140078366</v>
      </c>
      <c r="BQ84" s="21">
        <f>EXP(-LN(2)/25)*BQ83+(1-EXP(-LN(2)/25))/(LN(2)/25)*Calculateur!BL84*Calculateur!BN84*VLOOKUP('Données projet'!$B$11,Paramètres!$A$1:$I$89,3,0)*0.475*44/12</f>
        <v>2.894612238989418</v>
      </c>
      <c r="BR84" s="21">
        <f>EXP(-LN(2)/2)*BR83+(1-EXP(-LN(2)/2))/(LN(2)/2)*BL84*BO84*VLOOKUP('Données projet'!$B$11,Paramètres!$A$1:$I$89,3,0)*0.475*44/12</f>
        <v>7.9616967022827502E-8</v>
      </c>
      <c r="BS84" s="22">
        <f t="shared" si="63"/>
        <v>73.026261458684758</v>
      </c>
      <c r="BT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319</v>
      </c>
      <c r="BZ84" s="13">
        <f>BY84*VLOOKUP('Données projet'!$B$12,Paramètres!$A$1:$I$89,3,0)*VLOOKUP('Données projet'!$B$12,Paramètres!$A$1:$I$89,5,0)</f>
        <v>253.79640000000001</v>
      </c>
      <c r="CA84" s="13">
        <f t="shared" si="93"/>
        <v>61.39816832228076</v>
      </c>
      <c r="CB84" s="20">
        <f t="shared" si="64"/>
        <v>548.96387316130563</v>
      </c>
      <c r="CC84" s="59">
        <f t="shared" si="65"/>
        <v>842.29720649463889</v>
      </c>
      <c r="CD84" s="59">
        <f ca="1">AVERAGE(OFFSET($CC$3,0,0,'Données projet'!$E$12+1,1))-AVERAGE(OFFSET($H$3,0,0,'Données projet'!$E$12+1,1))</f>
        <v>279.49721661620544</v>
      </c>
      <c r="CE84" s="59">
        <f t="shared" si="94"/>
        <v>275.18739333988754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52.125640934024624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52.125640934024624</v>
      </c>
      <c r="CO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789</v>
      </c>
      <c r="CU84" s="17">
        <f>CT84*VLOOKUP('Données projet'!$B$13,Paramètres!$A$1:$I$89,3,0)*VLOOKUP('Données projet'!$B$13,Paramètres!$A$1:$I$89,5,0)</f>
        <v>389.76600000000002</v>
      </c>
      <c r="CV84" s="13">
        <f t="shared" si="95"/>
        <v>89.698759503620408</v>
      </c>
      <c r="CW84" s="20">
        <f t="shared" si="67"/>
        <v>835.06778946880547</v>
      </c>
      <c r="CX84" s="59">
        <f t="shared" si="68"/>
        <v>1128.4011228021388</v>
      </c>
      <c r="CY84" s="59">
        <f ca="1">AVERAGE(OFFSET($CX$3,0,0,'Données projet'!$E$13+1,1))-AVERAGE(OFFSET($H$3,0,0,'Données projet'!$E$13+1,1))</f>
        <v>396.27049617044378</v>
      </c>
      <c r="CZ84" s="59">
        <f t="shared" si="96"/>
        <v>335.2680289568774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141.30231053141964</v>
      </c>
      <c r="DG84" s="21">
        <f>EXP(-LN(2)/25)*DG83+(1-EXP(-LN(2)/25))/(LN(2)/25)*Calculateur!DB84*Calculateur!DD84*VLOOKUP('Données projet'!$B$13,Paramètres!$A$1:$I$89,3,0)*0.475*44/12</f>
        <v>11.430650281016076</v>
      </c>
      <c r="DH84" s="21">
        <f>EXP(-LN(2)/2)*DH83+(1-EXP(-LN(2)/2))/(LN(2)/2)*DB84*DE84*VLOOKUP('Données projet'!$B$13,Paramètres!$A$1:$I$89,3,0)*0.475*44/12</f>
        <v>8.1034564265726525E-9</v>
      </c>
      <c r="DI84" s="22">
        <f t="shared" si="69"/>
        <v>152.73296082053918</v>
      </c>
      <c r="DJ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9.1999999999999993</v>
      </c>
      <c r="DO84" s="12">
        <f>IF('Données projet'!$A$166&gt;35,DO83+DN84-DW83,IF(A84&lt;'Données projet'!$A$166,$DL$205^A84,IF(A84='Données projet'!$A$166,'Données projet'!$B$166,DO83+DN84-DW83)))</f>
        <v>479.19999999999953</v>
      </c>
      <c r="DP84" s="17">
        <f>DO84*VLOOKUP('Données projet'!$B$14,Paramètres!$A$1:$I$89,3,0)*VLOOKUP('Données projet'!$B$14,Paramètres!$A$1:$I$89,5,0)</f>
        <v>274.1023999999997</v>
      </c>
      <c r="DQ84" s="13">
        <f t="shared" si="97"/>
        <v>65.719136527619227</v>
      </c>
      <c r="DR84" s="20">
        <f t="shared" si="70"/>
        <v>591.85584278560293</v>
      </c>
      <c r="DS84" s="59">
        <f t="shared" si="71"/>
        <v>885.1891761189363</v>
      </c>
      <c r="DT84" s="59">
        <f ca="1">AVERAGE(OFFSET($DS$3,0,0,'Données projet'!$E$14+1,1))-AVERAGE(OFFSET($H$3,0,0,'Données projet'!$E$14+1,1))</f>
        <v>307.43900954374504</v>
      </c>
      <c r="DU84" s="59">
        <f t="shared" si="98"/>
        <v>185.25270859048999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80.571863515076501</v>
      </c>
      <c r="EB84" s="21">
        <f>EXP(-LN(2)/25)*EB83+(1-EXP(-LN(2)/25))/(LN(2)/25)*Calculateur!DW84*Calculateur!DY84*VLOOKUP('Données projet'!$B$14,Paramètres!$A$1:$I$89,3,0)*0.475*44/12</f>
        <v>6.49742226499861</v>
      </c>
      <c r="EC84" s="21">
        <f>EXP(-LN(2)/2)*EC83+(1-EXP(-LN(2)/2))/(LN(2)/2)*DW84*DZ84*VLOOKUP('Données projet'!$B$14,Paramètres!$A$1:$I$89,3,0)*0.475*44/12</f>
        <v>7.6769587199109304E-9</v>
      </c>
      <c r="ED84" s="22">
        <f t="shared" si="72"/>
        <v>87.069285787752065</v>
      </c>
      <c r="EE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401</v>
      </c>
      <c r="EK84" s="17">
        <f>EJ84*VLOOKUP('Données projet'!$B$15,Paramètres!$A$1:$I$89,3,0)*VLOOKUP('Données projet'!$B$15,Paramètres!$A$1:$I$89,5,0)</f>
        <v>250.22399999999999</v>
      </c>
      <c r="EL84" s="13">
        <f t="shared" si="99"/>
        <v>60.633904580527918</v>
      </c>
      <c r="EM84" s="20">
        <f t="shared" si="73"/>
        <v>541.41085047775289</v>
      </c>
      <c r="EN84" s="59">
        <f t="shared" si="74"/>
        <v>834.74418381108626</v>
      </c>
      <c r="EO84" s="59">
        <f ca="1">AVERAGE(OFFSET($EN$3,0,0,'Données projet'!$E$15+1,1))-AVERAGE(OFFSET($H$3,0,0,'Données projet'!$E$15+1,1))</f>
        <v>269.77739619445515</v>
      </c>
      <c r="EP84" s="59">
        <f t="shared" si="100"/>
        <v>347.56964743629885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50.522870516434203</v>
      </c>
      <c r="EW84" s="21">
        <f>EXP(-LN(2)/25)*EW83+(1-EXP(-LN(2)/25))/(LN(2)/25)*Calculateur!ER84*Calculateur!ET84*VLOOKUP('Données projet'!$B$15,Paramètres!$A$1:$I$89,3,0)*0.475*44/12</f>
        <v>22.308374224410361</v>
      </c>
      <c r="EX84" s="21">
        <f>EXP(-LN(2)/2)*EX83+(1-EXP(-LN(2)/2))/(LN(2)/2)*ER84*EU84*VLOOKUP('Données projet'!$B$15,Paramètres!$A$1:$I$89,3,0)*0.475*44/12</f>
        <v>5.2342900363029079E-10</v>
      </c>
      <c r="EY84" s="22">
        <f t="shared" si="75"/>
        <v>72.831244741367996</v>
      </c>
      <c r="EZ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367.99999999999972</v>
      </c>
      <c r="FF84" s="17">
        <f>FE84*VLOOKUP('Données projet'!$B$16,Paramètres!$A$1:$I$89,3,0)*VLOOKUP('Données projet'!$B$16,Paramètres!$A$1:$I$89,5,0)</f>
        <v>292.78079999999977</v>
      </c>
      <c r="FG84" s="13">
        <f t="shared" si="101"/>
        <v>69.660903052386217</v>
      </c>
      <c r="FH84" s="20">
        <f t="shared" si="76"/>
        <v>631.25263281623893</v>
      </c>
      <c r="FI84" s="59">
        <f t="shared" si="77"/>
        <v>924.58596614957219</v>
      </c>
      <c r="FJ84" s="59">
        <f ca="1">AVERAGE(OFFSET($FI$3,0,0,'Données projet'!$E$16+1,1))-AVERAGE(OFFSET($H$3,0,0,'Données projet'!$E$16+1,1))</f>
        <v>331.52724290297675</v>
      </c>
      <c r="FK84" s="59">
        <f t="shared" si="102"/>
        <v>322.79102610158054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60.42410970687606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60.42410970687606</v>
      </c>
      <c r="FU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852.00000000000011</v>
      </c>
      <c r="GA84" s="17">
        <f>FZ84*VLOOKUP('Données projet'!$B$17,Paramètres!$A$1:$I$89,3,0)*VLOOKUP('Données projet'!$B$17,Paramètres!$A$1:$I$89,5,0)</f>
        <v>420.88800000000009</v>
      </c>
      <c r="GB84" s="13">
        <f t="shared" si="103"/>
        <v>95.998759891259041</v>
      </c>
      <c r="GC84" s="20">
        <f t="shared" si="79"/>
        <v>900.24444014394294</v>
      </c>
      <c r="GD84" s="59">
        <f t="shared" si="80"/>
        <v>1193.5777734772762</v>
      </c>
      <c r="GE84" s="59">
        <f ca="1">AVERAGE(OFFSET($GD$3,0,0,'Données projet'!$E$17+1,1))-AVERAGE(OFFSET($H$3,0,0,'Données projet'!$E$17+1,1))</f>
        <v>434.08297999735811</v>
      </c>
      <c r="GF84" s="59">
        <f t="shared" si="104"/>
        <v>371.04090283546122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155.89786934047714</v>
      </c>
      <c r="GM84" s="21">
        <f>EXP(-LN(2)/25)*GM83+(1-EXP(-LN(2)/25))/(LN(2)/25)*Calculateur!GH84*Calculateur!GJ84*VLOOKUP('Données projet'!$B$17,Paramètres!$A$1:$I$89,3,0)*0.475*44/12</f>
        <v>12.573715309117691</v>
      </c>
      <c r="GN84" s="21">
        <f>EXP(-LN(2)/2)*GN83+(1-EXP(-LN(2)/2))/(LN(2)/2)*GH84*GK84*VLOOKUP('Données projet'!$B$17,Paramètres!$A$1:$I$89,3,0)*0.475*44/12</f>
        <v>1.5838573924664721E-8</v>
      </c>
      <c r="GO84" s="21">
        <f t="shared" si="81"/>
        <v>168.4715846654334</v>
      </c>
      <c r="GP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10</v>
      </c>
      <c r="GU84" s="12">
        <f>IF('Données projet'!$A$270&gt;35,GU83+GT84-HC83,IF(A84&lt;'Données projet'!$A$270,$GR$205^A84,IF(A84='Données projet'!$A$270,'Données projet'!$B$270,GU83+GT84-HC83)))</f>
        <v>547.00000000000011</v>
      </c>
      <c r="GV84" s="17">
        <f>GU84*VLOOKUP('Données projet'!$B$18,Paramètres!$A$1:$I$89,3,0)*VLOOKUP('Données projet'!$B$18,Paramètres!$A$1:$I$89,5,0)</f>
        <v>312.88400000000007</v>
      </c>
      <c r="GW84" s="13">
        <f t="shared" si="105"/>
        <v>73.87079917090611</v>
      </c>
      <c r="GX84" s="20">
        <f t="shared" si="82"/>
        <v>673.59794188932813</v>
      </c>
      <c r="GY84" s="59">
        <f t="shared" si="83"/>
        <v>966.9312752226615</v>
      </c>
      <c r="GZ84" s="59">
        <f ca="1">AVERAGE(OFFSET($GY$3,0,0,'Données projet'!$E$18+1,1))-AVERAGE(OFFSET($H$3,0,0,'Données projet'!$E$18+1,1))</f>
        <v>362.57172983134313</v>
      </c>
      <c r="HA84" s="59">
        <f t="shared" si="106"/>
        <v>232.03250917542471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90.239477189754311</v>
      </c>
      <c r="HH84" s="21">
        <f>EXP(-LN(2)/25)*HH83+(1-EXP(-LN(2)/25))/(LN(2)/25)*Calculateur!HC84*Calculateur!HE84*VLOOKUP('Données projet'!$B$18,Paramètres!$A$1:$I$89,3,0)*0.475*44/12</f>
        <v>7.5803259758317187</v>
      </c>
      <c r="HI84" s="21">
        <f>EXP(-LN(2)/2)*HI83+(1-EXP(-LN(2)/2))/(LN(2)/2)*HC84*HF84*VLOOKUP('Données projet'!$B$18,Paramètres!$A$1:$I$89,3,0)*0.475*44/12</f>
        <v>1.5780415146483575E-8</v>
      </c>
      <c r="HJ84" s="22">
        <f t="shared" si="84"/>
        <v>97.819803181366439</v>
      </c>
    </row>
    <row r="85" spans="1:218" x14ac:dyDescent="0.3">
      <c r="A85" s="10">
        <f t="shared" si="85"/>
        <v>82</v>
      </c>
      <c r="B85" s="71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5">
        <f t="shared" si="56"/>
        <v>382.66799418528461</v>
      </c>
      <c r="I85" s="6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266.99999999999983</v>
      </c>
      <c r="O85" s="13">
        <f>N85*VLOOKUP('Données projet'!$B$9,Paramètres!$A$1:$I$89,3,0)*VLOOKUP('Données projet'!$B$9,Paramètres!$A$1:$I$89,5,0)</f>
        <v>212.42519999999985</v>
      </c>
      <c r="P85" s="13">
        <f t="shared" si="87"/>
        <v>52.465198231787184</v>
      </c>
      <c r="Q85" s="20">
        <f t="shared" si="54"/>
        <v>461.35077692036231</v>
      </c>
      <c r="R85" s="59">
        <f t="shared" si="55"/>
        <v>754.68411025369562</v>
      </c>
      <c r="S85" s="59">
        <f ca="1">AVERAGE(OFFSET($R$3,0,0,'Données projet'!$E$9+1,1))-AVERAGE(OFFSET($H$3,0,0,'Données projet'!$E$9+1,1))</f>
        <v>225.2323446080772</v>
      </c>
      <c r="T85" s="59">
        <f t="shared" si="88"/>
        <v>222.29030402759292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41.701883876732843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41.701883876732843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732.99999999999966</v>
      </c>
      <c r="AJ85" s="13">
        <f>AI85*VLOOKUP('Données projet'!$B$10,Paramètres!$A$1:$I$89,3,0)*VLOOKUP('Données projet'!$B$10,Paramètres!$A$1:$I$89,5,0)</f>
        <v>362.1019999999998</v>
      </c>
      <c r="AK85" s="13">
        <f t="shared" si="89"/>
        <v>84.049487364732272</v>
      </c>
      <c r="AL85" s="20">
        <f t="shared" si="58"/>
        <v>777.04717382690842</v>
      </c>
      <c r="AM85" s="59">
        <f t="shared" si="59"/>
        <v>1070.3805071602417</v>
      </c>
      <c r="AN85" s="59">
        <f ca="1">AVERAGE(OFFSET($AM$3,0,0,'Données projet'!$E$10+1,1))-AVERAGE(OFFSET($H$3,0,0,'Données projet'!$E$10+1,1))</f>
        <v>360.05819346986135</v>
      </c>
      <c r="AO85" s="59">
        <f t="shared" si="90"/>
        <v>300.47468388351081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124.88231064994557</v>
      </c>
      <c r="AV85" s="21">
        <f>EXP(-LN(2)/25)*AV84+(1-EXP(-LN(2)/25))/(LN(2)/25)*Calculateur!AQ85*Calculateur!AS85*VLOOKUP('Données projet'!$B$10,Paramètres!$A$1:$I$89,3,0)*0.475*44/12</f>
        <v>10.006270693172924</v>
      </c>
      <c r="AW85" s="21">
        <f>EXP(-LN(2)/2)*AW84+(1-EXP(-LN(2)/2))/(LN(2)/2)*AQ85*AT85*VLOOKUP('Données projet'!$B$10,Paramètres!$A$1:$I$89,3,0)*0.475*44/12</f>
        <v>7.8136486231080371E-10</v>
      </c>
      <c r="AX85" s="21">
        <f t="shared" si="60"/>
        <v>134.88858134389986</v>
      </c>
      <c r="AY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7.8</v>
      </c>
      <c r="BD85" s="12">
        <f>IF('Données projet'!$A$88&gt;35,BD84+BC85-BL84,IF(A85&lt;'Données projet'!$A$88,$BA$205^A85,IF(A85='Données projet'!$A$88,'Données projet'!$B$88,BD84+BC85-BL84)))</f>
        <v>417.59999999999997</v>
      </c>
      <c r="BE85" s="13">
        <f>BD85*VLOOKUP('Données projet'!$B$11,Paramètres!$A$1:$I$89,3,0)*VLOOKUP('Données projet'!$B$11,Paramètres!$A$1:$I$89,5,0)</f>
        <v>238.8672</v>
      </c>
      <c r="BF85" s="13">
        <f t="shared" si="91"/>
        <v>58.195735973104156</v>
      </c>
      <c r="BG85" s="20">
        <f t="shared" si="61"/>
        <v>517.38461348648968</v>
      </c>
      <c r="BH85" s="59">
        <f t="shared" si="62"/>
        <v>810.71794681982306</v>
      </c>
      <c r="BI85" s="59">
        <f ca="1">AVERAGE(OFFSET($BH$3,0,0,'Données projet'!$E$11+1,1))-AVERAGE(OFFSET($H$3,0,0,'Données projet'!$E$11+1,1))</f>
        <v>250.90038883668348</v>
      </c>
      <c r="BJ85" s="59">
        <f t="shared" si="92"/>
        <v>141.96132114475608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68.756410276523624</v>
      </c>
      <c r="BQ85" s="21">
        <f>EXP(-LN(2)/25)*BQ84+(1-EXP(-LN(2)/25))/(LN(2)/25)*Calculateur!BL85*Calculateur!BN85*VLOOKUP('Données projet'!$B$11,Paramètres!$A$1:$I$89,3,0)*0.475*44/12</f>
        <v>2.8154589150932106</v>
      </c>
      <c r="BR85" s="21">
        <f>EXP(-LN(2)/2)*BR84+(1-EXP(-LN(2)/2))/(LN(2)/2)*BL85*BO85*VLOOKUP('Données projet'!$B$11,Paramètres!$A$1:$I$89,3,0)*0.475*44/12</f>
        <v>5.6297697279347057E-8</v>
      </c>
      <c r="BS85" s="22">
        <f t="shared" si="63"/>
        <v>71.571869247914535</v>
      </c>
      <c r="BT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319</v>
      </c>
      <c r="BZ85" s="13">
        <f>BY85*VLOOKUP('Données projet'!$B$12,Paramètres!$A$1:$I$89,3,0)*VLOOKUP('Données projet'!$B$12,Paramètres!$A$1:$I$89,5,0)</f>
        <v>253.79640000000001</v>
      </c>
      <c r="CA85" s="13">
        <f t="shared" si="93"/>
        <v>61.39816832228076</v>
      </c>
      <c r="CB85" s="20">
        <f t="shared" si="64"/>
        <v>548.96387316130563</v>
      </c>
      <c r="CC85" s="59">
        <f t="shared" si="65"/>
        <v>842.29720649463889</v>
      </c>
      <c r="CD85" s="59">
        <f ca="1">AVERAGE(OFFSET($CC$3,0,0,'Données projet'!$E$12+1,1))-AVERAGE(OFFSET($H$3,0,0,'Données projet'!$E$12+1,1))</f>
        <v>279.49721661620544</v>
      </c>
      <c r="CE85" s="59">
        <f t="shared" si="94"/>
        <v>275.18739333988754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51.103488908810021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51.103488908810021</v>
      </c>
      <c r="CO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789</v>
      </c>
      <c r="CU85" s="17">
        <f>CT85*VLOOKUP('Données projet'!$B$13,Paramètres!$A$1:$I$89,3,0)*VLOOKUP('Données projet'!$B$13,Paramètres!$A$1:$I$89,5,0)</f>
        <v>389.76600000000002</v>
      </c>
      <c r="CV85" s="13">
        <f t="shared" si="95"/>
        <v>89.698759503620408</v>
      </c>
      <c r="CW85" s="20">
        <f t="shared" si="67"/>
        <v>835.06778946880547</v>
      </c>
      <c r="CX85" s="59">
        <f t="shared" si="68"/>
        <v>1128.4011228021388</v>
      </c>
      <c r="CY85" s="59">
        <f ca="1">AVERAGE(OFFSET($CX$3,0,0,'Données projet'!$E$13+1,1))-AVERAGE(OFFSET($H$3,0,0,'Données projet'!$E$13+1,1))</f>
        <v>396.27049617044378</v>
      </c>
      <c r="CZ85" s="59">
        <f t="shared" si="96"/>
        <v>335.2680289568774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138.53145840779777</v>
      </c>
      <c r="DG85" s="21">
        <f>EXP(-LN(2)/25)*DG84+(1-EXP(-LN(2)/25))/(LN(2)/25)*Calculateur!DB85*Calculateur!DD85*VLOOKUP('Données projet'!$B$13,Paramètres!$A$1:$I$89,3,0)*0.475*44/12</f>
        <v>11.118078547969919</v>
      </c>
      <c r="DH85" s="21">
        <f>EXP(-LN(2)/2)*DH84+(1-EXP(-LN(2)/2))/(LN(2)/2)*DB85*DE85*VLOOKUP('Données projet'!$B$13,Paramètres!$A$1:$I$89,3,0)*0.475*44/12</f>
        <v>5.7300089902792309E-9</v>
      </c>
      <c r="DI85" s="22">
        <f t="shared" si="69"/>
        <v>149.64953696149772</v>
      </c>
      <c r="DJ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9.1999999999999993</v>
      </c>
      <c r="DO85" s="12">
        <f>IF('Données projet'!$A$166&gt;35,DO84+DN85-DW84,IF(A85&lt;'Données projet'!$A$166,$DL$205^A85,IF(A85='Données projet'!$A$166,'Données projet'!$B$166,DO84+DN85-DW84)))</f>
        <v>488.39999999999952</v>
      </c>
      <c r="DP85" s="17">
        <f>DO85*VLOOKUP('Données projet'!$B$14,Paramètres!$A$1:$I$89,3,0)*VLOOKUP('Données projet'!$B$14,Paramètres!$A$1:$I$89,5,0)</f>
        <v>279.36479999999972</v>
      </c>
      <c r="DQ85" s="13">
        <f t="shared" si="97"/>
        <v>66.832755122992182</v>
      </c>
      <c r="DR85" s="20">
        <f t="shared" si="70"/>
        <v>602.96074183921087</v>
      </c>
      <c r="DS85" s="59">
        <f t="shared" si="71"/>
        <v>896.29407517254413</v>
      </c>
      <c r="DT85" s="59">
        <f ca="1">AVERAGE(OFFSET($DS$3,0,0,'Données projet'!$E$14+1,1))-AVERAGE(OFFSET($H$3,0,0,'Données projet'!$E$14+1,1))</f>
        <v>307.43900954374504</v>
      </c>
      <c r="DU85" s="59">
        <f t="shared" si="98"/>
        <v>185.25270859048999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78.991898415530031</v>
      </c>
      <c r="EB85" s="21">
        <f>EXP(-LN(2)/25)*EB84+(1-EXP(-LN(2)/25))/(LN(2)/25)*Calculateur!DW85*Calculateur!DY85*VLOOKUP('Données projet'!$B$14,Paramètres!$A$1:$I$89,3,0)*0.475*44/12</f>
        <v>6.3197499114776363</v>
      </c>
      <c r="EC85" s="21">
        <f>EXP(-LN(2)/2)*EC84+(1-EXP(-LN(2)/2))/(LN(2)/2)*DW85*DZ85*VLOOKUP('Données projet'!$B$14,Paramètres!$A$1:$I$89,3,0)*0.475*44/12</f>
        <v>5.4284295697382163E-9</v>
      </c>
      <c r="ED85" s="22">
        <f t="shared" si="72"/>
        <v>85.311648332436107</v>
      </c>
      <c r="EE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401</v>
      </c>
      <c r="EK85" s="17">
        <f>EJ85*VLOOKUP('Données projet'!$B$15,Paramètres!$A$1:$I$89,3,0)*VLOOKUP('Données projet'!$B$15,Paramètres!$A$1:$I$89,5,0)</f>
        <v>250.22399999999999</v>
      </c>
      <c r="EL85" s="13">
        <f t="shared" si="99"/>
        <v>60.633904580527918</v>
      </c>
      <c r="EM85" s="20">
        <f t="shared" si="73"/>
        <v>541.41085047775289</v>
      </c>
      <c r="EN85" s="59">
        <f t="shared" si="74"/>
        <v>834.74418381108626</v>
      </c>
      <c r="EO85" s="59">
        <f ca="1">AVERAGE(OFFSET($EN$3,0,0,'Données projet'!$E$15+1,1))-AVERAGE(OFFSET($H$3,0,0,'Données projet'!$E$15+1,1))</f>
        <v>269.77739619445515</v>
      </c>
      <c r="EP85" s="59">
        <f t="shared" si="100"/>
        <v>347.56964743629885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49.532147841515126</v>
      </c>
      <c r="EW85" s="21">
        <f>EXP(-LN(2)/25)*EW84+(1-EXP(-LN(2)/25))/(LN(2)/25)*Calculateur!ER85*Calculateur!ET85*VLOOKUP('Données projet'!$B$15,Paramètres!$A$1:$I$89,3,0)*0.475*44/12</f>
        <v>21.698350558097445</v>
      </c>
      <c r="EX85" s="21">
        <f>EXP(-LN(2)/2)*EX84+(1-EXP(-LN(2)/2))/(LN(2)/2)*ER85*EU85*VLOOKUP('Données projet'!$B$15,Paramètres!$A$1:$I$89,3,0)*0.475*44/12</f>
        <v>3.7012019793669663E-10</v>
      </c>
      <c r="EY85" s="22">
        <f t="shared" si="75"/>
        <v>71.230498399982693</v>
      </c>
      <c r="EZ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367.99999999999972</v>
      </c>
      <c r="FF85" s="17">
        <f>FE85*VLOOKUP('Données projet'!$B$16,Paramètres!$A$1:$I$89,3,0)*VLOOKUP('Données projet'!$B$16,Paramètres!$A$1:$I$89,5,0)</f>
        <v>292.78079999999977</v>
      </c>
      <c r="FG85" s="13">
        <f t="shared" si="101"/>
        <v>69.660903052386217</v>
      </c>
      <c r="FH85" s="20">
        <f t="shared" si="76"/>
        <v>631.25263281623893</v>
      </c>
      <c r="FI85" s="59">
        <f t="shared" si="77"/>
        <v>924.58596614957219</v>
      </c>
      <c r="FJ85" s="59">
        <f ca="1">AVERAGE(OFFSET($FI$3,0,0,'Données projet'!$E$16+1,1))-AVERAGE(OFFSET($H$3,0,0,'Données projet'!$E$16+1,1))</f>
        <v>331.52724290297675</v>
      </c>
      <c r="FK85" s="59">
        <f t="shared" si="102"/>
        <v>322.79102610158054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59.239229770592004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59.239229770592004</v>
      </c>
      <c r="FU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852.00000000000011</v>
      </c>
      <c r="GA85" s="17">
        <f>FZ85*VLOOKUP('Données projet'!$B$17,Paramètres!$A$1:$I$89,3,0)*VLOOKUP('Données projet'!$B$17,Paramètres!$A$1:$I$89,5,0)</f>
        <v>420.88800000000009</v>
      </c>
      <c r="GB85" s="13">
        <f t="shared" si="103"/>
        <v>95.998759891259041</v>
      </c>
      <c r="GC85" s="20">
        <f t="shared" si="79"/>
        <v>900.24444014394294</v>
      </c>
      <c r="GD85" s="59">
        <f t="shared" si="80"/>
        <v>1193.5777734772762</v>
      </c>
      <c r="GE85" s="59">
        <f ca="1">AVERAGE(OFFSET($GD$3,0,0,'Données projet'!$E$17+1,1))-AVERAGE(OFFSET($H$3,0,0,'Données projet'!$E$17+1,1))</f>
        <v>434.08297999735811</v>
      </c>
      <c r="GF85" s="59">
        <f t="shared" si="104"/>
        <v>371.04090283546122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152.84080721102148</v>
      </c>
      <c r="GM85" s="21">
        <f>EXP(-LN(2)/25)*GM84+(1-EXP(-LN(2)/25))/(LN(2)/25)*Calculateur!GH85*Calculateur!GJ85*VLOOKUP('Données projet'!$B$17,Paramètres!$A$1:$I$89,3,0)*0.475*44/12</f>
        <v>12.229886402766917</v>
      </c>
      <c r="GN85" s="21">
        <f>EXP(-LN(2)/2)*GN84+(1-EXP(-LN(2)/2))/(LN(2)/2)*GH85*GK85*VLOOKUP('Données projet'!$B$17,Paramètres!$A$1:$I$89,3,0)*0.475*44/12</f>
        <v>1.1199563026454855E-8</v>
      </c>
      <c r="GO85" s="21">
        <f t="shared" si="81"/>
        <v>165.07069362498797</v>
      </c>
      <c r="GP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10</v>
      </c>
      <c r="GU85" s="12">
        <f>IF('Données projet'!$A$270&gt;35,GU84+GT85-HC84,IF(A85&lt;'Données projet'!$A$270,$GR$205^A85,IF(A85='Données projet'!$A$270,'Données projet'!$B$270,GU84+GT85-HC84)))</f>
        <v>557.00000000000011</v>
      </c>
      <c r="GV85" s="17">
        <f>GU85*VLOOKUP('Données projet'!$B$18,Paramètres!$A$1:$I$89,3,0)*VLOOKUP('Données projet'!$B$18,Paramètres!$A$1:$I$89,5,0)</f>
        <v>318.60400000000004</v>
      </c>
      <c r="GW85" s="13">
        <f t="shared" si="105"/>
        <v>75.062814845371406</v>
      </c>
      <c r="GX85" s="20">
        <f t="shared" si="82"/>
        <v>685.63636918902193</v>
      </c>
      <c r="GY85" s="59">
        <f t="shared" si="83"/>
        <v>978.96970252235519</v>
      </c>
      <c r="GZ85" s="59">
        <f ca="1">AVERAGE(OFFSET($GY$3,0,0,'Données projet'!$E$18+1,1))-AVERAGE(OFFSET($H$3,0,0,'Données projet'!$E$18+1,1))</f>
        <v>362.57172983134313</v>
      </c>
      <c r="HA85" s="59">
        <f t="shared" si="106"/>
        <v>232.03250917542471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88.469936082709509</v>
      </c>
      <c r="HH85" s="21">
        <f>EXP(-LN(2)/25)*HH84+(1-EXP(-LN(2)/25))/(LN(2)/25)*Calculateur!HC85*Calculateur!HE85*VLOOKUP('Données projet'!$B$18,Paramètres!$A$1:$I$89,3,0)*0.475*44/12</f>
        <v>7.3730415633905828</v>
      </c>
      <c r="HI85" s="21">
        <f>EXP(-LN(2)/2)*HI84+(1-EXP(-LN(2)/2))/(LN(2)/2)*HC85*HF85*VLOOKUP('Données projet'!$B$18,Paramètres!$A$1:$I$89,3,0)*0.475*44/12</f>
        <v>1.1158438560017441E-8</v>
      </c>
      <c r="HJ85" s="22">
        <f t="shared" si="84"/>
        <v>95.84297765725853</v>
      </c>
    </row>
    <row r="86" spans="1:218" x14ac:dyDescent="0.3">
      <c r="A86" s="10">
        <f t="shared" si="85"/>
        <v>83</v>
      </c>
      <c r="B86" s="71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5">
        <f t="shared" si="56"/>
        <v>383.7279856154509</v>
      </c>
      <c r="I86" s="6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266.99999999999983</v>
      </c>
      <c r="O86" s="13">
        <f>N86*VLOOKUP('Données projet'!$B$9,Paramètres!$A$1:$I$89,3,0)*VLOOKUP('Données projet'!$B$9,Paramètres!$A$1:$I$89,5,0)</f>
        <v>212.42519999999985</v>
      </c>
      <c r="P86" s="13">
        <f t="shared" si="87"/>
        <v>52.465198231787184</v>
      </c>
      <c r="Q86" s="20">
        <f t="shared" si="54"/>
        <v>461.35077692036231</v>
      </c>
      <c r="R86" s="59">
        <f t="shared" si="55"/>
        <v>754.68411025369562</v>
      </c>
      <c r="S86" s="59">
        <f ca="1">AVERAGE(OFFSET($R$3,0,0,'Données projet'!$E$9+1,1))-AVERAGE(OFFSET($H$3,0,0,'Données projet'!$E$9+1,1))</f>
        <v>225.2323446080772</v>
      </c>
      <c r="T86" s="59">
        <f t="shared" si="88"/>
        <v>222.29030402759292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40.884135369547714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40.884135369547714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732.99999999999966</v>
      </c>
      <c r="AJ86" s="13">
        <f>AI86*VLOOKUP('Données projet'!$B$10,Paramètres!$A$1:$I$89,3,0)*VLOOKUP('Données projet'!$B$10,Paramètres!$A$1:$I$89,5,0)</f>
        <v>362.1019999999998</v>
      </c>
      <c r="AK86" s="13">
        <f t="shared" si="89"/>
        <v>84.049487364732272</v>
      </c>
      <c r="AL86" s="20">
        <f t="shared" si="58"/>
        <v>777.04717382690842</v>
      </c>
      <c r="AM86" s="59">
        <f t="shared" si="59"/>
        <v>1070.3805071602417</v>
      </c>
      <c r="AN86" s="59">
        <f ca="1">AVERAGE(OFFSET($AM$3,0,0,'Données projet'!$E$10+1,1))-AVERAGE(OFFSET($H$3,0,0,'Données projet'!$E$10+1,1))</f>
        <v>360.05819346986135</v>
      </c>
      <c r="AO86" s="59">
        <f t="shared" si="90"/>
        <v>300.47468388351081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122.4334447087884</v>
      </c>
      <c r="AV86" s="21">
        <f>EXP(-LN(2)/25)*AV85+(1-EXP(-LN(2)/25))/(LN(2)/25)*Calculateur!AQ86*Calculateur!AS86*VLOOKUP('Données projet'!$B$10,Paramètres!$A$1:$I$89,3,0)*0.475*44/12</f>
        <v>9.7326486948612043</v>
      </c>
      <c r="AW86" s="21">
        <f>EXP(-LN(2)/2)*AW85+(1-EXP(-LN(2)/2))/(LN(2)/2)*AQ86*AT86*VLOOKUP('Données projet'!$B$10,Paramètres!$A$1:$I$89,3,0)*0.475*44/12</f>
        <v>5.525083927208623E-10</v>
      </c>
      <c r="AX86" s="21">
        <f t="shared" si="60"/>
        <v>132.16609340420212</v>
      </c>
      <c r="AY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7.8</v>
      </c>
      <c r="BD86" s="12">
        <f>IF('Données projet'!$A$88&gt;35,BD85+BC86-BL85,IF(A86&lt;'Données projet'!$A$88,$BA$205^A86,IF(A86='Données projet'!$A$88,'Données projet'!$B$88,BD85+BC86-BL85)))</f>
        <v>425.4</v>
      </c>
      <c r="BE86" s="13">
        <f>BD86*VLOOKUP('Données projet'!$B$11,Paramètres!$A$1:$I$89,3,0)*VLOOKUP('Données projet'!$B$11,Paramètres!$A$1:$I$89,5,0)</f>
        <v>243.3288</v>
      </c>
      <c r="BF86" s="13">
        <f t="shared" si="91"/>
        <v>59.155162833418565</v>
      </c>
      <c r="BG86" s="20">
        <f t="shared" si="61"/>
        <v>526.82623526820396</v>
      </c>
      <c r="BH86" s="59">
        <f t="shared" si="62"/>
        <v>820.15956860153733</v>
      </c>
      <c r="BI86" s="59">
        <f ca="1">AVERAGE(OFFSET($BH$3,0,0,'Données projet'!$E$11+1,1))-AVERAGE(OFFSET($H$3,0,0,'Données projet'!$E$11+1,1))</f>
        <v>250.90038883668348</v>
      </c>
      <c r="BJ86" s="59">
        <f t="shared" si="92"/>
        <v>141.96132114475608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67.408139008270297</v>
      </c>
      <c r="BQ86" s="21">
        <f>EXP(-LN(2)/25)*BQ85+(1-EXP(-LN(2)/25))/(LN(2)/25)*Calculateur!BL86*Calculateur!BN86*VLOOKUP('Données projet'!$B$11,Paramètres!$A$1:$I$89,3,0)*0.475*44/12</f>
        <v>2.738470043001437</v>
      </c>
      <c r="BR86" s="21">
        <f>EXP(-LN(2)/2)*BR85+(1-EXP(-LN(2)/2))/(LN(2)/2)*BL86*BO86*VLOOKUP('Données projet'!$B$11,Paramètres!$A$1:$I$89,3,0)*0.475*44/12</f>
        <v>3.9808483511413751E-8</v>
      </c>
      <c r="BS86" s="22">
        <f t="shared" si="63"/>
        <v>70.146609091080222</v>
      </c>
      <c r="BT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319</v>
      </c>
      <c r="BZ86" s="13">
        <f>BY86*VLOOKUP('Données projet'!$B$12,Paramètres!$A$1:$I$89,3,0)*VLOOKUP('Données projet'!$B$12,Paramètres!$A$1:$I$89,5,0)</f>
        <v>253.79640000000001</v>
      </c>
      <c r="CA86" s="13">
        <f t="shared" si="93"/>
        <v>61.39816832228076</v>
      </c>
      <c r="CB86" s="20">
        <f t="shared" si="64"/>
        <v>548.96387316130563</v>
      </c>
      <c r="CC86" s="59">
        <f t="shared" si="65"/>
        <v>842.29720649463889</v>
      </c>
      <c r="CD86" s="59">
        <f ca="1">AVERAGE(OFFSET($CC$3,0,0,'Données projet'!$E$12+1,1))-AVERAGE(OFFSET($H$3,0,0,'Données projet'!$E$12+1,1))</f>
        <v>279.49721661620544</v>
      </c>
      <c r="CE86" s="59">
        <f t="shared" si="94"/>
        <v>275.18739333988754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50.101380661358704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50.101380661358704</v>
      </c>
      <c r="CO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789</v>
      </c>
      <c r="CU86" s="17">
        <f>CT86*VLOOKUP('Données projet'!$B$13,Paramètres!$A$1:$I$89,3,0)*VLOOKUP('Données projet'!$B$13,Paramètres!$A$1:$I$89,5,0)</f>
        <v>389.76600000000002</v>
      </c>
      <c r="CV86" s="13">
        <f t="shared" si="95"/>
        <v>89.698759503620408</v>
      </c>
      <c r="CW86" s="20">
        <f t="shared" si="67"/>
        <v>835.06778946880547</v>
      </c>
      <c r="CX86" s="59">
        <f t="shared" si="68"/>
        <v>1128.4011228021388</v>
      </c>
      <c r="CY86" s="59">
        <f ca="1">AVERAGE(OFFSET($CX$3,0,0,'Données projet'!$E$13+1,1))-AVERAGE(OFFSET($H$3,0,0,'Données projet'!$E$13+1,1))</f>
        <v>396.27049617044378</v>
      </c>
      <c r="CZ86" s="59">
        <f t="shared" si="96"/>
        <v>335.2680289568774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135.81494100426721</v>
      </c>
      <c r="DG86" s="21">
        <f>EXP(-LN(2)/25)*DG85+(1-EXP(-LN(2)/25))/(LN(2)/25)*Calculateur!DB86*Calculateur!DD86*VLOOKUP('Données projet'!$B$13,Paramètres!$A$1:$I$89,3,0)*0.475*44/12</f>
        <v>10.814054105401341</v>
      </c>
      <c r="DH86" s="21">
        <f>EXP(-LN(2)/2)*DH85+(1-EXP(-LN(2)/2))/(LN(2)/2)*DB86*DE86*VLOOKUP('Données projet'!$B$13,Paramètres!$A$1:$I$89,3,0)*0.475*44/12</f>
        <v>4.0517282132863262E-9</v>
      </c>
      <c r="DI86" s="22">
        <f t="shared" si="69"/>
        <v>146.62899511372029</v>
      </c>
      <c r="DJ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9.1999999999999993</v>
      </c>
      <c r="DO86" s="12">
        <f>IF('Données projet'!$A$166&gt;35,DO85+DN86-DW85,IF(A86&lt;'Données projet'!$A$166,$DL$205^A86,IF(A86='Données projet'!$A$166,'Données projet'!$B$166,DO85+DN86-DW85)))</f>
        <v>497.59999999999951</v>
      </c>
      <c r="DP86" s="17">
        <f>DO86*VLOOKUP('Données projet'!$B$14,Paramètres!$A$1:$I$89,3,0)*VLOOKUP('Données projet'!$B$14,Paramètres!$A$1:$I$89,5,0)</f>
        <v>284.62719999999973</v>
      </c>
      <c r="DQ86" s="13">
        <f t="shared" si="97"/>
        <v>67.943934488424603</v>
      </c>
      <c r="DR86" s="20">
        <f t="shared" si="70"/>
        <v>614.061392567339</v>
      </c>
      <c r="DS86" s="59">
        <f t="shared" si="71"/>
        <v>907.39472590067226</v>
      </c>
      <c r="DT86" s="59">
        <f ca="1">AVERAGE(OFFSET($DS$3,0,0,'Données projet'!$E$14+1,1))-AVERAGE(OFFSET($H$3,0,0,'Données projet'!$E$14+1,1))</f>
        <v>307.43900954374504</v>
      </c>
      <c r="DU86" s="59">
        <f t="shared" si="98"/>
        <v>185.25270859048999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77.442915467902111</v>
      </c>
      <c r="EB86" s="21">
        <f>EXP(-LN(2)/25)*EB85+(1-EXP(-LN(2)/25))/(LN(2)/25)*Calculateur!DW86*Calculateur!DY86*VLOOKUP('Données projet'!$B$14,Paramètres!$A$1:$I$89,3,0)*0.475*44/12</f>
        <v>6.1469360178070769</v>
      </c>
      <c r="EC86" s="21">
        <f>EXP(-LN(2)/2)*EC85+(1-EXP(-LN(2)/2))/(LN(2)/2)*DW86*DZ86*VLOOKUP('Données projet'!$B$14,Paramètres!$A$1:$I$89,3,0)*0.475*44/12</f>
        <v>3.8384793599554652E-9</v>
      </c>
      <c r="ED86" s="22">
        <f t="shared" si="72"/>
        <v>83.589851489547669</v>
      </c>
      <c r="EE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401</v>
      </c>
      <c r="EK86" s="17">
        <f>EJ86*VLOOKUP('Données projet'!$B$15,Paramètres!$A$1:$I$89,3,0)*VLOOKUP('Données projet'!$B$15,Paramètres!$A$1:$I$89,5,0)</f>
        <v>250.22399999999999</v>
      </c>
      <c r="EL86" s="13">
        <f t="shared" si="99"/>
        <v>60.633904580527918</v>
      </c>
      <c r="EM86" s="20">
        <f t="shared" si="73"/>
        <v>541.41085047775289</v>
      </c>
      <c r="EN86" s="59">
        <f t="shared" si="74"/>
        <v>834.74418381108626</v>
      </c>
      <c r="EO86" s="59">
        <f ca="1">AVERAGE(OFFSET($EN$3,0,0,'Données projet'!$E$15+1,1))-AVERAGE(OFFSET($H$3,0,0,'Données projet'!$E$15+1,1))</f>
        <v>269.77739619445515</v>
      </c>
      <c r="EP86" s="59">
        <f t="shared" si="100"/>
        <v>347.56964743629885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48.56085263397005</v>
      </c>
      <c r="EW86" s="21">
        <f>EXP(-LN(2)/25)*EW85+(1-EXP(-LN(2)/25))/(LN(2)/25)*Calculateur!ER86*Calculateur!ET86*VLOOKUP('Données projet'!$B$15,Paramètres!$A$1:$I$89,3,0)*0.475*44/12</f>
        <v>21.105008021019607</v>
      </c>
      <c r="EX86" s="21">
        <f>EXP(-LN(2)/2)*EX85+(1-EXP(-LN(2)/2))/(LN(2)/2)*ER86*EU86*VLOOKUP('Données projet'!$B$15,Paramètres!$A$1:$I$89,3,0)*0.475*44/12</f>
        <v>2.6171450181514539E-10</v>
      </c>
      <c r="EY86" s="22">
        <f t="shared" si="75"/>
        <v>69.665860655251379</v>
      </c>
      <c r="EZ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367.99999999999972</v>
      </c>
      <c r="FF86" s="17">
        <f>FE86*VLOOKUP('Données projet'!$B$16,Paramètres!$A$1:$I$89,3,0)*VLOOKUP('Données projet'!$B$16,Paramètres!$A$1:$I$89,5,0)</f>
        <v>292.78079999999977</v>
      </c>
      <c r="FG86" s="13">
        <f t="shared" si="101"/>
        <v>69.660903052386217</v>
      </c>
      <c r="FH86" s="20">
        <f t="shared" si="76"/>
        <v>631.25263281623893</v>
      </c>
      <c r="FI86" s="59">
        <f t="shared" si="77"/>
        <v>924.58596614957219</v>
      </c>
      <c r="FJ86" s="59">
        <f ca="1">AVERAGE(OFFSET($FI$3,0,0,'Données projet'!$E$16+1,1))-AVERAGE(OFFSET($H$3,0,0,'Données projet'!$E$16+1,1))</f>
        <v>331.52724290297675</v>
      </c>
      <c r="FK86" s="59">
        <f t="shared" si="102"/>
        <v>322.79102610158054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58.077584607153078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58.077584607153078</v>
      </c>
      <c r="FU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852.00000000000011</v>
      </c>
      <c r="GA86" s="17">
        <f>FZ86*VLOOKUP('Données projet'!$B$17,Paramètres!$A$1:$I$89,3,0)*VLOOKUP('Données projet'!$B$17,Paramètres!$A$1:$I$89,5,0)</f>
        <v>420.88800000000009</v>
      </c>
      <c r="GB86" s="13">
        <f t="shared" si="103"/>
        <v>95.998759891259041</v>
      </c>
      <c r="GC86" s="20">
        <f t="shared" si="79"/>
        <v>900.24444014394294</v>
      </c>
      <c r="GD86" s="59">
        <f t="shared" si="80"/>
        <v>1193.5777734772762</v>
      </c>
      <c r="GE86" s="59">
        <f ca="1">AVERAGE(OFFSET($GD$3,0,0,'Données projet'!$E$17+1,1))-AVERAGE(OFFSET($H$3,0,0,'Données projet'!$E$17+1,1))</f>
        <v>434.08297999735811</v>
      </c>
      <c r="GF86" s="59">
        <f t="shared" si="104"/>
        <v>371.04090283546122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149.84369220530067</v>
      </c>
      <c r="GM86" s="21">
        <f>EXP(-LN(2)/25)*GM85+(1-EXP(-LN(2)/25))/(LN(2)/25)*Calculateur!GH86*Calculateur!GJ86*VLOOKUP('Données projet'!$B$17,Paramètres!$A$1:$I$89,3,0)*0.475*44/12</f>
        <v>11.895459515941482</v>
      </c>
      <c r="GN86" s="21">
        <f>EXP(-LN(2)/2)*GN85+(1-EXP(-LN(2)/2))/(LN(2)/2)*GH86*GK86*VLOOKUP('Données projet'!$B$17,Paramètres!$A$1:$I$89,3,0)*0.475*44/12</f>
        <v>7.9192869623323606E-9</v>
      </c>
      <c r="GO86" s="21">
        <f t="shared" si="81"/>
        <v>161.73915172916142</v>
      </c>
      <c r="GP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10</v>
      </c>
      <c r="GU86" s="12">
        <f>IF('Données projet'!$A$270&gt;35,GU85+GT86-HC85,IF(A86&lt;'Données projet'!$A$270,$GR$205^A86,IF(A86='Données projet'!$A$270,'Données projet'!$B$270,GU85+GT86-HC85)))</f>
        <v>567.00000000000011</v>
      </c>
      <c r="GV86" s="17">
        <f>GU86*VLOOKUP('Données projet'!$B$18,Paramètres!$A$1:$I$89,3,0)*VLOOKUP('Données projet'!$B$18,Paramètres!$A$1:$I$89,5,0)</f>
        <v>324.32400000000007</v>
      </c>
      <c r="GW86" s="13">
        <f t="shared" si="105"/>
        <v>76.25234194498276</v>
      </c>
      <c r="GX86" s="20">
        <f t="shared" si="82"/>
        <v>697.67046222084502</v>
      </c>
      <c r="GY86" s="59">
        <f t="shared" si="83"/>
        <v>991.0037955541784</v>
      </c>
      <c r="GZ86" s="59">
        <f ca="1">AVERAGE(OFFSET($GY$3,0,0,'Données projet'!$E$18+1,1))-AVERAGE(OFFSET($H$3,0,0,'Données projet'!$E$18+1,1))</f>
        <v>362.57172983134313</v>
      </c>
      <c r="HA86" s="59">
        <f t="shared" si="106"/>
        <v>232.03250917542471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86.735094597460346</v>
      </c>
      <c r="HH86" s="21">
        <f>EXP(-LN(2)/25)*HH85+(1-EXP(-LN(2)/25))/(LN(2)/25)*Calculateur!HC86*Calculateur!HE86*VLOOKUP('Données projet'!$B$18,Paramètres!$A$1:$I$89,3,0)*0.475*44/12</f>
        <v>7.1714253541082629</v>
      </c>
      <c r="HI86" s="21">
        <f>EXP(-LN(2)/2)*HI85+(1-EXP(-LN(2)/2))/(LN(2)/2)*HC86*HF86*VLOOKUP('Données projet'!$B$18,Paramètres!$A$1:$I$89,3,0)*0.475*44/12</f>
        <v>7.8902075732417873E-9</v>
      </c>
      <c r="HJ86" s="22">
        <f t="shared" si="84"/>
        <v>93.906519959458819</v>
      </c>
    </row>
    <row r="87" spans="1:218" x14ac:dyDescent="0.3">
      <c r="A87" s="10">
        <f t="shared" si="85"/>
        <v>84</v>
      </c>
      <c r="B87" s="71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5">
        <f t="shared" si="56"/>
        <v>384.78766557089091</v>
      </c>
      <c r="I87" s="6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266.99999999999983</v>
      </c>
      <c r="O87" s="13">
        <f>N87*VLOOKUP('Données projet'!$B$9,Paramètres!$A$1:$I$89,3,0)*VLOOKUP('Données projet'!$B$9,Paramètres!$A$1:$I$89,5,0)</f>
        <v>212.42519999999985</v>
      </c>
      <c r="P87" s="13">
        <f t="shared" si="87"/>
        <v>52.465198231787184</v>
      </c>
      <c r="Q87" s="20">
        <f t="shared" si="54"/>
        <v>461.35077692036231</v>
      </c>
      <c r="R87" s="59">
        <f t="shared" si="55"/>
        <v>754.68411025369562</v>
      </c>
      <c r="S87" s="59">
        <f ca="1">AVERAGE(OFFSET($R$3,0,0,'Données projet'!$E$9+1,1))-AVERAGE(OFFSET($H$3,0,0,'Données projet'!$E$9+1,1))</f>
        <v>225.2323446080772</v>
      </c>
      <c r="T87" s="59">
        <f t="shared" si="88"/>
        <v>222.29030402759292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40.082422411811152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40.082422411811152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732.99999999999966</v>
      </c>
      <c r="AJ87" s="13">
        <f>AI87*VLOOKUP('Données projet'!$B$10,Paramètres!$A$1:$I$89,3,0)*VLOOKUP('Données projet'!$B$10,Paramètres!$A$1:$I$89,5,0)</f>
        <v>362.1019999999998</v>
      </c>
      <c r="AK87" s="13">
        <f t="shared" si="89"/>
        <v>84.049487364732272</v>
      </c>
      <c r="AL87" s="20">
        <f t="shared" si="58"/>
        <v>777.04717382690842</v>
      </c>
      <c r="AM87" s="59">
        <f t="shared" si="59"/>
        <v>1070.3805071602417</v>
      </c>
      <c r="AN87" s="59">
        <f ca="1">AVERAGE(OFFSET($AM$3,0,0,'Données projet'!$E$10+1,1))-AVERAGE(OFFSET($H$3,0,0,'Données projet'!$E$10+1,1))</f>
        <v>360.05819346986135</v>
      </c>
      <c r="AO87" s="59">
        <f t="shared" si="90"/>
        <v>300.47468388351081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120.03259953507659</v>
      </c>
      <c r="AV87" s="21">
        <f>EXP(-LN(2)/25)*AV86+(1-EXP(-LN(2)/25))/(LN(2)/25)*Calculateur!AQ87*Calculateur!AS87*VLOOKUP('Données projet'!$B$10,Paramètres!$A$1:$I$89,3,0)*0.475*44/12</f>
        <v>9.466508904482474</v>
      </c>
      <c r="AW87" s="21">
        <f>EXP(-LN(2)/2)*AW86+(1-EXP(-LN(2)/2))/(LN(2)/2)*AQ87*AT87*VLOOKUP('Données projet'!$B$10,Paramètres!$A$1:$I$89,3,0)*0.475*44/12</f>
        <v>3.9068243115540186E-10</v>
      </c>
      <c r="AX87" s="21">
        <f t="shared" si="60"/>
        <v>129.49910843994974</v>
      </c>
      <c r="AY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7.8</v>
      </c>
      <c r="BD87" s="12">
        <f>IF('Données projet'!$A$88&gt;35,BD86+BC87-BL86,IF(A87&lt;'Données projet'!$A$88,$BA$205^A87,IF(A87='Données projet'!$A$88,'Données projet'!$B$88,BD86+BC87-BL86)))</f>
        <v>433.2</v>
      </c>
      <c r="BE87" s="13">
        <f>BD87*VLOOKUP('Données projet'!$B$11,Paramètres!$A$1:$I$89,3,0)*VLOOKUP('Données projet'!$B$11,Paramètres!$A$1:$I$89,5,0)</f>
        <v>247.79040000000001</v>
      </c>
      <c r="BF87" s="13">
        <f t="shared" si="91"/>
        <v>60.112544076717171</v>
      </c>
      <c r="BG87" s="20">
        <f t="shared" si="61"/>
        <v>536.26429426694915</v>
      </c>
      <c r="BH87" s="59">
        <f t="shared" si="62"/>
        <v>829.59762760028252</v>
      </c>
      <c r="BI87" s="59">
        <f ca="1">AVERAGE(OFFSET($BH$3,0,0,'Données projet'!$E$11+1,1))-AVERAGE(OFFSET($H$3,0,0,'Données projet'!$E$11+1,1))</f>
        <v>250.90038883668348</v>
      </c>
      <c r="BJ87" s="59">
        <f t="shared" si="92"/>
        <v>141.96132114475608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66.08630651722315</v>
      </c>
      <c r="BQ87" s="21">
        <f>EXP(-LN(2)/25)*BQ86+(1-EXP(-LN(2)/25))/(LN(2)/25)*Calculateur!BL87*Calculateur!BN87*VLOOKUP('Données projet'!$B$11,Paramètres!$A$1:$I$89,3,0)*0.475*44/12</f>
        <v>2.6635864356656822</v>
      </c>
      <c r="BR87" s="21">
        <f>EXP(-LN(2)/2)*BR86+(1-EXP(-LN(2)/2))/(LN(2)/2)*BL87*BO87*VLOOKUP('Données projet'!$B$11,Paramètres!$A$1:$I$89,3,0)*0.475*44/12</f>
        <v>2.8148848639673529E-8</v>
      </c>
      <c r="BS87" s="22">
        <f t="shared" si="63"/>
        <v>68.749892981037675</v>
      </c>
      <c r="BT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319</v>
      </c>
      <c r="BZ87" s="13">
        <f>BY87*VLOOKUP('Données projet'!$B$12,Paramètres!$A$1:$I$89,3,0)*VLOOKUP('Données projet'!$B$12,Paramètres!$A$1:$I$89,5,0)</f>
        <v>253.79640000000001</v>
      </c>
      <c r="CA87" s="13">
        <f t="shared" si="93"/>
        <v>61.39816832228076</v>
      </c>
      <c r="CB87" s="20">
        <f t="shared" si="64"/>
        <v>548.96387316130563</v>
      </c>
      <c r="CC87" s="59">
        <f t="shared" si="65"/>
        <v>842.29720649463889</v>
      </c>
      <c r="CD87" s="59">
        <f ca="1">AVERAGE(OFFSET($CC$3,0,0,'Données projet'!$E$12+1,1))-AVERAGE(OFFSET($H$3,0,0,'Données projet'!$E$12+1,1))</f>
        <v>279.49721661620544</v>
      </c>
      <c r="CE87" s="59">
        <f t="shared" si="94"/>
        <v>275.18739333988754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49.118923145414229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49.118923145414229</v>
      </c>
      <c r="CO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789</v>
      </c>
      <c r="CU87" s="17">
        <f>CT87*VLOOKUP('Données projet'!$B$13,Paramètres!$A$1:$I$89,3,0)*VLOOKUP('Données projet'!$B$13,Paramètres!$A$1:$I$89,5,0)</f>
        <v>389.76600000000002</v>
      </c>
      <c r="CV87" s="13">
        <f t="shared" si="95"/>
        <v>89.698759503620408</v>
      </c>
      <c r="CW87" s="20">
        <f t="shared" si="67"/>
        <v>835.06778946880547</v>
      </c>
      <c r="CX87" s="59">
        <f t="shared" si="68"/>
        <v>1128.4011228021388</v>
      </c>
      <c r="CY87" s="59">
        <f ca="1">AVERAGE(OFFSET($CX$3,0,0,'Données projet'!$E$13+1,1))-AVERAGE(OFFSET($H$3,0,0,'Données projet'!$E$13+1,1))</f>
        <v>396.27049617044378</v>
      </c>
      <c r="CZ87" s="59">
        <f t="shared" si="96"/>
        <v>335.2680289568774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133.15169285010788</v>
      </c>
      <c r="DG87" s="21">
        <f>EXP(-LN(2)/25)*DG86+(1-EXP(-LN(2)/25))/(LN(2)/25)*Calculateur!DB87*Calculateur!DD87*VLOOKUP('Données projet'!$B$13,Paramètres!$A$1:$I$89,3,0)*0.475*44/12</f>
        <v>10.518343227202752</v>
      </c>
      <c r="DH87" s="21">
        <f>EXP(-LN(2)/2)*DH86+(1-EXP(-LN(2)/2))/(LN(2)/2)*DB87*DE87*VLOOKUP('Données projet'!$B$13,Paramètres!$A$1:$I$89,3,0)*0.475*44/12</f>
        <v>2.8650044951396155E-9</v>
      </c>
      <c r="DI87" s="22">
        <f t="shared" si="69"/>
        <v>143.67003608017563</v>
      </c>
      <c r="DJ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9.1999999999999993</v>
      </c>
      <c r="DO87" s="12">
        <f>IF('Données projet'!$A$166&gt;35,DO86+DN87-DW86,IF(A87&lt;'Données projet'!$A$166,$DL$205^A87,IF(A87='Données projet'!$A$166,'Données projet'!$B$166,DO86+DN87-DW86)))</f>
        <v>506.7999999999995</v>
      </c>
      <c r="DP87" s="17">
        <f>DO87*VLOOKUP('Données projet'!$B$14,Paramètres!$A$1:$I$89,3,0)*VLOOKUP('Données projet'!$B$14,Paramètres!$A$1:$I$89,5,0)</f>
        <v>289.88959999999975</v>
      </c>
      <c r="DQ87" s="13">
        <f t="shared" si="97"/>
        <v>69.0527249233036</v>
      </c>
      <c r="DR87" s="20">
        <f t="shared" si="70"/>
        <v>625.15788257475322</v>
      </c>
      <c r="DS87" s="59">
        <f t="shared" si="71"/>
        <v>918.49121590808659</v>
      </c>
      <c r="DT87" s="59">
        <f ca="1">AVERAGE(OFFSET($DS$3,0,0,'Données projet'!$E$14+1,1))-AVERAGE(OFFSET($H$3,0,0,'Données projet'!$E$14+1,1))</f>
        <v>307.43900954374504</v>
      </c>
      <c r="DU87" s="59">
        <f t="shared" si="98"/>
        <v>185.25270859048999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75.92430713109087</v>
      </c>
      <c r="EB87" s="21">
        <f>EXP(-LN(2)/25)*EB86+(1-EXP(-LN(2)/25))/(LN(2)/25)*Calculateur!DW87*Calculateur!DY87*VLOOKUP('Données projet'!$B$14,Paramètres!$A$1:$I$89,3,0)*0.475*44/12</f>
        <v>5.9788477291468265</v>
      </c>
      <c r="EC87" s="21">
        <f>EXP(-LN(2)/2)*EC86+(1-EXP(-LN(2)/2))/(LN(2)/2)*DW87*DZ87*VLOOKUP('Données projet'!$B$14,Paramètres!$A$1:$I$89,3,0)*0.475*44/12</f>
        <v>2.7142147848691082E-9</v>
      </c>
      <c r="ED87" s="22">
        <f t="shared" si="72"/>
        <v>81.903154862951908</v>
      </c>
      <c r="EE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401</v>
      </c>
      <c r="EK87" s="17">
        <f>EJ87*VLOOKUP('Données projet'!$B$15,Paramètres!$A$1:$I$89,3,0)*VLOOKUP('Données projet'!$B$15,Paramètres!$A$1:$I$89,5,0)</f>
        <v>250.22399999999999</v>
      </c>
      <c r="EL87" s="13">
        <f t="shared" si="99"/>
        <v>60.633904580527918</v>
      </c>
      <c r="EM87" s="20">
        <f t="shared" si="73"/>
        <v>541.41085047775289</v>
      </c>
      <c r="EN87" s="59">
        <f t="shared" si="74"/>
        <v>834.74418381108626</v>
      </c>
      <c r="EO87" s="59">
        <f ca="1">AVERAGE(OFFSET($EN$3,0,0,'Données projet'!$E$15+1,1))-AVERAGE(OFFSET($H$3,0,0,'Données projet'!$E$15+1,1))</f>
        <v>269.77739619445515</v>
      </c>
      <c r="EP87" s="59">
        <f t="shared" si="100"/>
        <v>347.56964743629885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47.608603933013349</v>
      </c>
      <c r="EW87" s="21">
        <f>EXP(-LN(2)/25)*EW86+(1-EXP(-LN(2)/25))/(LN(2)/25)*Calculateur!ER87*Calculateur!ET87*VLOOKUP('Données projet'!$B$15,Paramètres!$A$1:$I$89,3,0)*0.475*44/12</f>
        <v>20.52789046682069</v>
      </c>
      <c r="EX87" s="21">
        <f>EXP(-LN(2)/2)*EX86+(1-EXP(-LN(2)/2))/(LN(2)/2)*ER87*EU87*VLOOKUP('Données projet'!$B$15,Paramètres!$A$1:$I$89,3,0)*0.475*44/12</f>
        <v>1.8506009896834831E-10</v>
      </c>
      <c r="EY87" s="22">
        <f t="shared" si="75"/>
        <v>68.136494400019089</v>
      </c>
      <c r="EZ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367.99999999999972</v>
      </c>
      <c r="FF87" s="17">
        <f>FE87*VLOOKUP('Données projet'!$B$16,Paramètres!$A$1:$I$89,3,0)*VLOOKUP('Données projet'!$B$16,Paramètres!$A$1:$I$89,5,0)</f>
        <v>292.78079999999977</v>
      </c>
      <c r="FG87" s="13">
        <f t="shared" si="101"/>
        <v>69.660903052386217</v>
      </c>
      <c r="FH87" s="20">
        <f t="shared" si="76"/>
        <v>631.25263281623893</v>
      </c>
      <c r="FI87" s="59">
        <f t="shared" si="77"/>
        <v>924.58596614957219</v>
      </c>
      <c r="FJ87" s="59">
        <f ca="1">AVERAGE(OFFSET($FI$3,0,0,'Données projet'!$E$16+1,1))-AVERAGE(OFFSET($H$3,0,0,'Données projet'!$E$16+1,1))</f>
        <v>331.52724290297675</v>
      </c>
      <c r="FK87" s="59">
        <f t="shared" si="102"/>
        <v>322.79102610158054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56.938718596835606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56.938718596835606</v>
      </c>
      <c r="FU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852.00000000000011</v>
      </c>
      <c r="GA87" s="17">
        <f>FZ87*VLOOKUP('Données projet'!$B$17,Paramètres!$A$1:$I$89,3,0)*VLOOKUP('Données projet'!$B$17,Paramètres!$A$1:$I$89,5,0)</f>
        <v>420.88800000000009</v>
      </c>
      <c r="GB87" s="13">
        <f t="shared" si="103"/>
        <v>95.998759891259041</v>
      </c>
      <c r="GC87" s="20">
        <f t="shared" si="79"/>
        <v>900.24444014394294</v>
      </c>
      <c r="GD87" s="59">
        <f t="shared" si="80"/>
        <v>1193.5777734772762</v>
      </c>
      <c r="GE87" s="59">
        <f ca="1">AVERAGE(OFFSET($GD$3,0,0,'Données projet'!$E$17+1,1))-AVERAGE(OFFSET($H$3,0,0,'Données projet'!$E$17+1,1))</f>
        <v>434.08297999735811</v>
      </c>
      <c r="GF87" s="59">
        <f t="shared" si="104"/>
        <v>371.04090283546122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146.90534879678239</v>
      </c>
      <c r="GM87" s="21">
        <f>EXP(-LN(2)/25)*GM86+(1-EXP(-LN(2)/25))/(LN(2)/25)*Calculateur!GH87*Calculateur!GJ87*VLOOKUP('Données projet'!$B$17,Paramètres!$A$1:$I$89,3,0)*0.475*44/12</f>
        <v>11.570177549923034</v>
      </c>
      <c r="GN87" s="21">
        <f>EXP(-LN(2)/2)*GN86+(1-EXP(-LN(2)/2))/(LN(2)/2)*GH87*GK87*VLOOKUP('Données projet'!$B$17,Paramètres!$A$1:$I$89,3,0)*0.475*44/12</f>
        <v>5.5997815132274273E-9</v>
      </c>
      <c r="GO87" s="21">
        <f t="shared" si="81"/>
        <v>158.47552635230522</v>
      </c>
      <c r="GP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10</v>
      </c>
      <c r="GU87" s="12">
        <f>IF('Données projet'!$A$270&gt;35,GU86+GT87-HC86,IF(A87&lt;'Données projet'!$A$270,$GR$205^A87,IF(A87='Données projet'!$A$270,'Données projet'!$B$270,GU86+GT87-HC86)))</f>
        <v>577.00000000000011</v>
      </c>
      <c r="GV87" s="17">
        <f>GU87*VLOOKUP('Données projet'!$B$18,Paramètres!$A$1:$I$89,3,0)*VLOOKUP('Données projet'!$B$18,Paramètres!$A$1:$I$89,5,0)</f>
        <v>330.0440000000001</v>
      </c>
      <c r="GW87" s="13">
        <f t="shared" si="105"/>
        <v>77.439429423625086</v>
      </c>
      <c r="GX87" s="20">
        <f t="shared" si="82"/>
        <v>709.70030624614719</v>
      </c>
      <c r="GY87" s="59">
        <f t="shared" si="83"/>
        <v>1003.0336395794805</v>
      </c>
      <c r="GZ87" s="59">
        <f ca="1">AVERAGE(OFFSET($GY$3,0,0,'Données projet'!$E$18+1,1))-AVERAGE(OFFSET($H$3,0,0,'Données projet'!$E$18+1,1))</f>
        <v>362.57172983134313</v>
      </c>
      <c r="HA87" s="59">
        <f t="shared" si="106"/>
        <v>232.03250917542471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85.034272295588096</v>
      </c>
      <c r="HH87" s="21">
        <f>EXP(-LN(2)/25)*HH86+(1-EXP(-LN(2)/25))/(LN(2)/25)*Calculateur!HC87*Calculateur!HE87*VLOOKUP('Données projet'!$B$18,Paramètres!$A$1:$I$89,3,0)*0.475*44/12</f>
        <v>6.9753223506713038</v>
      </c>
      <c r="HI87" s="21">
        <f>EXP(-LN(2)/2)*HI86+(1-EXP(-LN(2)/2))/(LN(2)/2)*HC87*HF87*VLOOKUP('Données projet'!$B$18,Paramètres!$A$1:$I$89,3,0)*0.475*44/12</f>
        <v>5.5792192800087207E-9</v>
      </c>
      <c r="HJ87" s="22">
        <f t="shared" si="84"/>
        <v>92.009594651838626</v>
      </c>
    </row>
    <row r="88" spans="1:218" x14ac:dyDescent="0.3">
      <c r="A88" s="10">
        <f t="shared" si="85"/>
        <v>85</v>
      </c>
      <c r="B88" s="71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5">
        <f t="shared" si="56"/>
        <v>385.84703818858173</v>
      </c>
      <c r="I88" s="6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266.99999999999983</v>
      </c>
      <c r="O88" s="13">
        <f>N88*VLOOKUP('Données projet'!$B$9,Paramètres!$A$1:$I$89,3,0)*VLOOKUP('Données projet'!$B$9,Paramètres!$A$1:$I$89,5,0)</f>
        <v>212.42519999999985</v>
      </c>
      <c r="P88" s="13">
        <f t="shared" si="87"/>
        <v>52.465198231787184</v>
      </c>
      <c r="Q88" s="20">
        <f t="shared" si="54"/>
        <v>461.35077692036231</v>
      </c>
      <c r="R88" s="59">
        <f t="shared" si="55"/>
        <v>754.68411025369562</v>
      </c>
      <c r="S88" s="59">
        <f ca="1">AVERAGE(OFFSET($R$3,0,0,'Données projet'!$E$9+1,1))-AVERAGE(OFFSET($H$3,0,0,'Données projet'!$E$9+1,1))</f>
        <v>225.2323446080772</v>
      </c>
      <c r="T88" s="59">
        <f t="shared" si="88"/>
        <v>222.29030402759292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39.296430556179182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39.296430556179182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732.99999999999966</v>
      </c>
      <c r="AJ88" s="13">
        <f>AI88*VLOOKUP('Données projet'!$B$10,Paramètres!$A$1:$I$89,3,0)*VLOOKUP('Données projet'!$B$10,Paramètres!$A$1:$I$89,5,0)</f>
        <v>362.1019999999998</v>
      </c>
      <c r="AK88" s="13">
        <f t="shared" si="89"/>
        <v>84.049487364732272</v>
      </c>
      <c r="AL88" s="20">
        <f t="shared" si="58"/>
        <v>777.04717382690842</v>
      </c>
      <c r="AM88" s="59">
        <f t="shared" si="59"/>
        <v>1070.3805071602417</v>
      </c>
      <c r="AN88" s="59">
        <f ca="1">AVERAGE(OFFSET($AM$3,0,0,'Données projet'!$E$10+1,1))-AVERAGE(OFFSET($H$3,0,0,'Données projet'!$E$10+1,1))</f>
        <v>360.05819346986135</v>
      </c>
      <c r="AO88" s="59">
        <f t="shared" si="90"/>
        <v>300.47468388351081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117.67883347085031</v>
      </c>
      <c r="AV88" s="21">
        <f>EXP(-LN(2)/25)*AV87+(1-EXP(-LN(2)/25))/(LN(2)/25)*Calculateur!AQ88*Calculateur!AS88*VLOOKUP('Données projet'!$B$10,Paramètres!$A$1:$I$89,3,0)*0.475*44/12</f>
        <v>9.2076467206673343</v>
      </c>
      <c r="AW88" s="21">
        <f>EXP(-LN(2)/2)*AW87+(1-EXP(-LN(2)/2))/(LN(2)/2)*AQ88*AT88*VLOOKUP('Données projet'!$B$10,Paramètres!$A$1:$I$89,3,0)*0.475*44/12</f>
        <v>2.7625419636043115E-10</v>
      </c>
      <c r="AX88" s="21">
        <f t="shared" si="60"/>
        <v>126.88648019179391</v>
      </c>
      <c r="AY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441</v>
      </c>
      <c r="BB88" s="12">
        <f>VLOOKUP(A88,'Données projet'!$A$87:$I$107,9,0)</f>
        <v>7.8</v>
      </c>
      <c r="BC88" s="12">
        <f t="array" ref="BC88">INDEX(BB:BB,MIN(IF(ISNUMBER(BB88:BB284),ROW(BB88:BB284),"")))</f>
        <v>7.8</v>
      </c>
      <c r="BD88" s="12">
        <f>IF('Données projet'!$A$88&gt;35,BD87+BC88-BL87,IF(A88&lt;'Données projet'!$A$88,$BA$205^A88,IF(A88='Données projet'!$A$88,'Données projet'!$B$88,BD87+BC88-BL87)))</f>
        <v>441</v>
      </c>
      <c r="BE88" s="13">
        <f>BD88*VLOOKUP('Données projet'!$B$11,Paramètres!$A$1:$I$89,3,0)*VLOOKUP('Données projet'!$B$11,Paramètres!$A$1:$I$89,5,0)</f>
        <v>252.25200000000001</v>
      </c>
      <c r="BF88" s="13">
        <f t="shared" si="91"/>
        <v>61.067920784150822</v>
      </c>
      <c r="BG88" s="20">
        <f t="shared" si="61"/>
        <v>545.69886203239605</v>
      </c>
      <c r="BH88" s="59">
        <f t="shared" si="62"/>
        <v>839.03219536572942</v>
      </c>
      <c r="BI88" s="59">
        <f ca="1">AVERAGE(OFFSET($BH$3,0,0,'Données projet'!$E$11+1,1))-AVERAGE(OFFSET($H$3,0,0,'Données projet'!$E$11+1,1))</f>
        <v>250.90038883668348</v>
      </c>
      <c r="BJ88" s="59">
        <f t="shared" si="92"/>
        <v>141.96132114475608</v>
      </c>
      <c r="BK88" s="15">
        <f>IF(ISNA(VLOOKUP(A88,'Données projet'!$A$87:$I$107,3,0)),0,VLOOKUP(A88,'Données projet'!$A$87:$I$107,3,0))</f>
        <v>13</v>
      </c>
      <c r="BL88" s="15">
        <f>IF(ISNA(VLOOKUP(A88,'Données projet'!$A$87:$I$107,4,0)),0,VLOOKUP(A88,'Données projet'!$A$87:$I$107,4,0))</f>
        <v>21</v>
      </c>
      <c r="BM88" s="16">
        <f>IF(ISNA(VLOOKUP(A88,'Données projet'!$A$87:$I$107,5,0)),0%,VLOOKUP(A88,'Données projet'!$A$87:$I$107,5,0)*VLOOKUP('Données projet'!$B$11,Paramètres!$A$1:$I$89,7,0))</f>
        <v>0.45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71.961005862520125</v>
      </c>
      <c r="BQ88" s="21">
        <f>EXP(-LN(2)/25)*BQ87+(1-EXP(-LN(2)/25))/(LN(2)/25)*Calculateur!BL88*Calculateur!BN88*VLOOKUP('Données projet'!$B$11,Paramètres!$A$1:$I$89,3,0)*0.475*44/12</f>
        <v>2.5907505245104812</v>
      </c>
      <c r="BR88" s="21">
        <f>EXP(-LN(2)/2)*BR87+(1-EXP(-LN(2)/2))/(LN(2)/2)*BL88*BO88*VLOOKUP('Données projet'!$B$11,Paramètres!$A$1:$I$89,3,0)*0.475*44/12</f>
        <v>1.9904241755706875E-8</v>
      </c>
      <c r="BS88" s="22">
        <f t="shared" si="63"/>
        <v>74.551756406934842</v>
      </c>
      <c r="BT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319</v>
      </c>
      <c r="BZ88" s="13">
        <f>BY88*VLOOKUP('Données projet'!$B$12,Paramètres!$A$1:$I$89,3,0)*VLOOKUP('Données projet'!$B$12,Paramètres!$A$1:$I$89,5,0)</f>
        <v>253.79640000000001</v>
      </c>
      <c r="CA88" s="13">
        <f t="shared" si="93"/>
        <v>61.39816832228076</v>
      </c>
      <c r="CB88" s="20">
        <f t="shared" si="64"/>
        <v>548.96387316130563</v>
      </c>
      <c r="CC88" s="59">
        <f t="shared" si="65"/>
        <v>842.29720649463889</v>
      </c>
      <c r="CD88" s="59">
        <f ca="1">AVERAGE(OFFSET($CC$3,0,0,'Données projet'!$E$12+1,1))-AVERAGE(OFFSET($H$3,0,0,'Données projet'!$E$12+1,1))</f>
        <v>279.49721661620544</v>
      </c>
      <c r="CE88" s="59">
        <f t="shared" si="94"/>
        <v>275.18739333988754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48.155731022117514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48.155731022117514</v>
      </c>
      <c r="CO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789</v>
      </c>
      <c r="CU88" s="17">
        <f>CT88*VLOOKUP('Données projet'!$B$13,Paramètres!$A$1:$I$89,3,0)*VLOOKUP('Données projet'!$B$13,Paramètres!$A$1:$I$89,5,0)</f>
        <v>389.76600000000002</v>
      </c>
      <c r="CV88" s="13">
        <f t="shared" si="95"/>
        <v>89.698759503620408</v>
      </c>
      <c r="CW88" s="20">
        <f t="shared" si="67"/>
        <v>835.06778946880547</v>
      </c>
      <c r="CX88" s="59">
        <f t="shared" si="68"/>
        <v>1128.4011228021388</v>
      </c>
      <c r="CY88" s="59">
        <f ca="1">AVERAGE(OFFSET($CX$3,0,0,'Données projet'!$E$13+1,1))-AVERAGE(OFFSET($H$3,0,0,'Données projet'!$E$13+1,1))</f>
        <v>396.27049617044378</v>
      </c>
      <c r="CZ88" s="59">
        <f t="shared" si="96"/>
        <v>335.2680289568774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130.54066936783065</v>
      </c>
      <c r="DG88" s="21">
        <f>EXP(-LN(2)/25)*DG87+(1-EXP(-LN(2)/25))/(LN(2)/25)*Calculateur!DB88*Calculateur!DD88*VLOOKUP('Données projet'!$B$13,Paramètres!$A$1:$I$89,3,0)*0.475*44/12</f>
        <v>10.230718578519262</v>
      </c>
      <c r="DH88" s="21">
        <f>EXP(-LN(2)/2)*DH87+(1-EXP(-LN(2)/2))/(LN(2)/2)*DB88*DE88*VLOOKUP('Données projet'!$B$13,Paramètres!$A$1:$I$89,3,0)*0.475*44/12</f>
        <v>2.0258641066431631E-9</v>
      </c>
      <c r="DI88" s="22">
        <f t="shared" si="69"/>
        <v>140.77138794837578</v>
      </c>
      <c r="DJ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516</v>
      </c>
      <c r="DM88" s="12">
        <f>VLOOKUP(A88,'Données projet'!$A$165:$I$185,9,0)</f>
        <v>9.1999999999999993</v>
      </c>
      <c r="DN88" s="12">
        <f t="array" ref="DN88">INDEX(DM:DM,MIN(IF(ISNUMBER(DM88:DM284),ROW(DM88:DM284),"")))</f>
        <v>9.1999999999999993</v>
      </c>
      <c r="DO88" s="12">
        <f>IF('Données projet'!$A$166&gt;35,DO87+DN88-DW87,IF(A88&lt;'Données projet'!$A$166,$DL$205^A88,IF(A88='Données projet'!$A$166,'Données projet'!$B$166,DO87+DN88-DW87)))</f>
        <v>515.99999999999955</v>
      </c>
      <c r="DP88" s="17">
        <f>DO88*VLOOKUP('Données projet'!$B$14,Paramètres!$A$1:$I$89,3,0)*VLOOKUP('Données projet'!$B$14,Paramètres!$A$1:$I$89,5,0)</f>
        <v>295.15199999999976</v>
      </c>
      <c r="DQ88" s="13">
        <f t="shared" si="97"/>
        <v>70.159174796274144</v>
      </c>
      <c r="DR88" s="20">
        <f t="shared" si="70"/>
        <v>636.25029610351044</v>
      </c>
      <c r="DS88" s="59">
        <f t="shared" si="71"/>
        <v>929.58362943684369</v>
      </c>
      <c r="DT88" s="59">
        <f ca="1">AVERAGE(OFFSET($DS$3,0,0,'Données projet'!$E$14+1,1))-AVERAGE(OFFSET($H$3,0,0,'Données projet'!$E$14+1,1))</f>
        <v>307.43900954374504</v>
      </c>
      <c r="DU88" s="59">
        <f t="shared" si="98"/>
        <v>185.25270859048999</v>
      </c>
      <c r="DV88" s="15">
        <f>IF(ISNA(VLOOKUP(A88,'Données projet'!$A$165:$I$185,3,0)),0,VLOOKUP(A88,'Données projet'!$A$165:$I$185,3,0))</f>
        <v>14</v>
      </c>
      <c r="DW88" s="15">
        <f>IF(ISNA(VLOOKUP(A88,'Données projet'!$A$165:$I$185,4,0)),0,VLOOKUP(A88,'Données projet'!$A$165:$I$185,4,0))</f>
        <v>23</v>
      </c>
      <c r="DX88" s="16">
        <f>IF(ISNA(VLOOKUP(A88,'Données projet'!$A$165:$I$185,5,0)),0%,VLOOKUP(A88,'Données projet'!$A$165:$I$185,5,0)*VLOOKUP('Données projet'!$B$14,Paramètres!$A$1:$I$89,7,0))</f>
        <v>0.45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82.289004666598032</v>
      </c>
      <c r="EB88" s="21">
        <f>EXP(-LN(2)/25)*EB87+(1-EXP(-LN(2)/25))/(LN(2)/25)*Calculateur!DW88*Calculateur!DY88*VLOOKUP('Données projet'!$B$14,Paramètres!$A$1:$I$89,3,0)*0.475*44/12</f>
        <v>5.8153558235793694</v>
      </c>
      <c r="EC88" s="21">
        <f>EXP(-LN(2)/2)*EC87+(1-EXP(-LN(2)/2))/(LN(2)/2)*DW88*DZ88*VLOOKUP('Données projet'!$B$14,Paramètres!$A$1:$I$89,3,0)*0.475*44/12</f>
        <v>1.9192396799777326E-9</v>
      </c>
      <c r="ED88" s="22">
        <f t="shared" si="72"/>
        <v>88.104360492096632</v>
      </c>
      <c r="EE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401</v>
      </c>
      <c r="EK88" s="17">
        <f>EJ88*VLOOKUP('Données projet'!$B$15,Paramètres!$A$1:$I$89,3,0)*VLOOKUP('Données projet'!$B$15,Paramètres!$A$1:$I$89,5,0)</f>
        <v>250.22399999999999</v>
      </c>
      <c r="EL88" s="13">
        <f t="shared" si="99"/>
        <v>60.633904580527918</v>
      </c>
      <c r="EM88" s="20">
        <f t="shared" si="73"/>
        <v>541.41085047775289</v>
      </c>
      <c r="EN88" s="59">
        <f t="shared" si="74"/>
        <v>834.74418381108626</v>
      </c>
      <c r="EO88" s="59">
        <f ca="1">AVERAGE(OFFSET($EN$3,0,0,'Données projet'!$E$15+1,1))-AVERAGE(OFFSET($H$3,0,0,'Données projet'!$E$15+1,1))</f>
        <v>269.77739619445515</v>
      </c>
      <c r="EP88" s="59">
        <f t="shared" si="100"/>
        <v>347.56964743629885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46.675028248268056</v>
      </c>
      <c r="EW88" s="21">
        <f>EXP(-LN(2)/25)*EW87+(1-EXP(-LN(2)/25))/(LN(2)/25)*Calculateur!ER88*Calculateur!ET88*VLOOKUP('Données projet'!$B$15,Paramètres!$A$1:$I$89,3,0)*0.475*44/12</f>
        <v>19.966554222490636</v>
      </c>
      <c r="EX88" s="21">
        <f>EXP(-LN(2)/2)*EX87+(1-EXP(-LN(2)/2))/(LN(2)/2)*ER88*EU88*VLOOKUP('Données projet'!$B$15,Paramètres!$A$1:$I$89,3,0)*0.475*44/12</f>
        <v>1.308572509075727E-10</v>
      </c>
      <c r="EY88" s="22">
        <f t="shared" si="75"/>
        <v>66.641582470889546</v>
      </c>
      <c r="EZ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367.99999999999972</v>
      </c>
      <c r="FF88" s="17">
        <f>FE88*VLOOKUP('Données projet'!$B$16,Paramètres!$A$1:$I$89,3,0)*VLOOKUP('Données projet'!$B$16,Paramètres!$A$1:$I$89,5,0)</f>
        <v>292.78079999999977</v>
      </c>
      <c r="FG88" s="13">
        <f t="shared" si="101"/>
        <v>69.660903052386217</v>
      </c>
      <c r="FH88" s="20">
        <f t="shared" si="76"/>
        <v>631.25263281623893</v>
      </c>
      <c r="FI88" s="59">
        <f t="shared" si="77"/>
        <v>924.58596614957219</v>
      </c>
      <c r="FJ88" s="59">
        <f ca="1">AVERAGE(OFFSET($FI$3,0,0,'Données projet'!$E$16+1,1))-AVERAGE(OFFSET($H$3,0,0,'Données projet'!$E$16+1,1))</f>
        <v>331.52724290297675</v>
      </c>
      <c r="FK88" s="59">
        <f t="shared" si="102"/>
        <v>322.79102610158054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55.822185054340778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55.822185054340778</v>
      </c>
      <c r="FU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852.00000000000011</v>
      </c>
      <c r="GA88" s="17">
        <f>FZ88*VLOOKUP('Données projet'!$B$17,Paramètres!$A$1:$I$89,3,0)*VLOOKUP('Données projet'!$B$17,Paramètres!$A$1:$I$89,5,0)</f>
        <v>420.88800000000009</v>
      </c>
      <c r="GB88" s="13">
        <f t="shared" si="103"/>
        <v>95.998759891259041</v>
      </c>
      <c r="GC88" s="20">
        <f t="shared" si="79"/>
        <v>900.24444014394294</v>
      </c>
      <c r="GD88" s="59">
        <f t="shared" si="80"/>
        <v>1193.5777734772762</v>
      </c>
      <c r="GE88" s="59">
        <f ca="1">AVERAGE(OFFSET($GD$3,0,0,'Données projet'!$E$17+1,1))-AVERAGE(OFFSET($H$3,0,0,'Données projet'!$E$17+1,1))</f>
        <v>434.08297999735811</v>
      </c>
      <c r="GF88" s="59">
        <f t="shared" si="104"/>
        <v>371.04090283546122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144.02462451029265</v>
      </c>
      <c r="GM88" s="21">
        <f>EXP(-LN(2)/25)*GM87+(1-EXP(-LN(2)/25))/(LN(2)/25)*Calculateur!GH88*Calculateur!GJ88*VLOOKUP('Données projet'!$B$17,Paramètres!$A$1:$I$89,3,0)*0.475*44/12</f>
        <v>11.253790436371196</v>
      </c>
      <c r="GN88" s="21">
        <f>EXP(-LN(2)/2)*GN87+(1-EXP(-LN(2)/2))/(LN(2)/2)*GH88*GK88*VLOOKUP('Données projet'!$B$17,Paramètres!$A$1:$I$89,3,0)*0.475*44/12</f>
        <v>3.9596434811661803E-9</v>
      </c>
      <c r="GO88" s="21">
        <f t="shared" si="81"/>
        <v>155.2784149506235</v>
      </c>
      <c r="GP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>
        <f>VLOOKUP(A88,'Données projet'!$A$269:$I$289,2,0)</f>
        <v>587</v>
      </c>
      <c r="GS88" s="12">
        <f>VLOOKUP(A88,'Données projet'!$A$269:$I$289,9,0)</f>
        <v>10</v>
      </c>
      <c r="GT88" s="12">
        <f t="array" ref="GT88">INDEX(GS:GS,MIN(IF(ISNUMBER(GS88:GS284),ROW(GS88:GS284),"")))</f>
        <v>10</v>
      </c>
      <c r="GU88" s="12">
        <f>IF('Données projet'!$A$270&gt;35,GU87+GT88-HC87,IF(A88&lt;'Données projet'!$A$270,$GR$205^A88,IF(A88='Données projet'!$A$270,'Données projet'!$B$270,GU87+GT88-HC87)))</f>
        <v>587.00000000000011</v>
      </c>
      <c r="GV88" s="17">
        <f>GU88*VLOOKUP('Données projet'!$B$18,Paramètres!$A$1:$I$89,3,0)*VLOOKUP('Données projet'!$B$18,Paramètres!$A$1:$I$89,5,0)</f>
        <v>335.76400000000007</v>
      </c>
      <c r="GW88" s="13">
        <f t="shared" si="105"/>
        <v>78.624124441126725</v>
      </c>
      <c r="GX88" s="20">
        <f t="shared" si="82"/>
        <v>721.72598340162915</v>
      </c>
      <c r="GY88" s="59">
        <f t="shared" si="83"/>
        <v>1015.0593167349625</v>
      </c>
      <c r="GZ88" s="59">
        <f ca="1">AVERAGE(OFFSET($GY$3,0,0,'Données projet'!$E$18+1,1))-AVERAGE(OFFSET($H$3,0,0,'Données projet'!$E$18+1,1))</f>
        <v>362.57172983134313</v>
      </c>
      <c r="HA88" s="59">
        <f t="shared" si="106"/>
        <v>232.03250917542471</v>
      </c>
      <c r="HB88" s="15">
        <f>IF(ISNA(VLOOKUP(A88,'Données projet'!$A$269:$I$289,3,0)),0,VLOOKUP(A88,'Données projet'!$A$269:$I$289,3,0))</f>
        <v>14</v>
      </c>
      <c r="HC88" s="15">
        <f>IF(ISNA(VLOOKUP(A88,'Données projet'!$A$269:$I$289,4,0)),0,VLOOKUP(A88,'Données projet'!$A$269:$I$289,4,0))</f>
        <v>26</v>
      </c>
      <c r="HD88" s="16">
        <f>IF(ISNA(VLOOKUP(A88,'Données projet'!$A$269:$I$289,5,0)),0%,VLOOKUP(A88,'Données projet'!$A$269:$I$289,5,0)*VLOOKUP('Données projet'!$B$18,Paramètres!$A$1:$I$89,7,0))</f>
        <v>0.45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92.244702043239968</v>
      </c>
      <c r="HH88" s="21">
        <f>EXP(-LN(2)/25)*HH87+(1-EXP(-LN(2)/25))/(LN(2)/25)*Calculateur!HC88*Calculateur!HE88*VLOOKUP('Données projet'!$B$18,Paramètres!$A$1:$I$89,3,0)*0.475*44/12</f>
        <v>6.7845817941759368</v>
      </c>
      <c r="HI88" s="21">
        <f>EXP(-LN(2)/2)*HI87+(1-EXP(-LN(2)/2))/(LN(2)/2)*HC88*HF88*VLOOKUP('Données projet'!$B$18,Paramètres!$A$1:$I$89,3,0)*0.475*44/12</f>
        <v>3.9451037866208937E-9</v>
      </c>
      <c r="HJ88" s="22">
        <f t="shared" si="84"/>
        <v>99.029283841361007</v>
      </c>
    </row>
    <row r="89" spans="1:218" x14ac:dyDescent="0.3">
      <c r="A89" s="10">
        <f t="shared" si="85"/>
        <v>86</v>
      </c>
      <c r="B89" s="71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5">
        <f t="shared" si="56"/>
        <v>386.90610750255792</v>
      </c>
      <c r="I89" s="6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266.99999999999983</v>
      </c>
      <c r="O89" s="13">
        <f>N89*VLOOKUP('Données projet'!$B$9,Paramètres!$A$1:$I$89,3,0)*VLOOKUP('Données projet'!$B$9,Paramètres!$A$1:$I$89,5,0)</f>
        <v>212.42519999999985</v>
      </c>
      <c r="P89" s="13">
        <f t="shared" si="87"/>
        <v>52.465198231787184</v>
      </c>
      <c r="Q89" s="20">
        <f t="shared" si="54"/>
        <v>461.35077692036231</v>
      </c>
      <c r="R89" s="59">
        <f t="shared" si="55"/>
        <v>754.68411025369562</v>
      </c>
      <c r="S89" s="59">
        <f ca="1">AVERAGE(OFFSET($R$3,0,0,'Données projet'!$E$9+1,1))-AVERAGE(OFFSET($H$3,0,0,'Données projet'!$E$9+1,1))</f>
        <v>225.2323446080772</v>
      </c>
      <c r="T89" s="59">
        <f t="shared" si="88"/>
        <v>222.29030402759292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38.525851521428457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38.525851521428457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732.99999999999966</v>
      </c>
      <c r="AJ89" s="13">
        <f>AI89*VLOOKUP('Données projet'!$B$10,Paramètres!$A$1:$I$89,3,0)*VLOOKUP('Données projet'!$B$10,Paramètres!$A$1:$I$89,5,0)</f>
        <v>362.1019999999998</v>
      </c>
      <c r="AK89" s="13">
        <f t="shared" si="89"/>
        <v>84.049487364732272</v>
      </c>
      <c r="AL89" s="20">
        <f t="shared" si="58"/>
        <v>777.04717382690842</v>
      </c>
      <c r="AM89" s="59">
        <f t="shared" si="59"/>
        <v>1070.3805071602417</v>
      </c>
      <c r="AN89" s="59">
        <f ca="1">AVERAGE(OFFSET($AM$3,0,0,'Données projet'!$E$10+1,1))-AVERAGE(OFFSET($H$3,0,0,'Données projet'!$E$10+1,1))</f>
        <v>360.05819346986135</v>
      </c>
      <c r="AO89" s="59">
        <f t="shared" si="90"/>
        <v>300.47468388351081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115.37122332348795</v>
      </c>
      <c r="AV89" s="21">
        <f>EXP(-LN(2)/25)*AV88+(1-EXP(-LN(2)/25))/(LN(2)/25)*Calculateur!AQ89*Calculateur!AS89*VLOOKUP('Données projet'!$B$10,Paramètres!$A$1:$I$89,3,0)*0.475*44/12</f>
        <v>8.9558631368815895</v>
      </c>
      <c r="AW89" s="21">
        <f>EXP(-LN(2)/2)*AW88+(1-EXP(-LN(2)/2))/(LN(2)/2)*AQ89*AT89*VLOOKUP('Données projet'!$B$10,Paramètres!$A$1:$I$89,3,0)*0.475*44/12</f>
        <v>1.9534121557770093E-10</v>
      </c>
      <c r="AX89" s="21">
        <f t="shared" si="60"/>
        <v>124.32708646056489</v>
      </c>
      <c r="AY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6.8</v>
      </c>
      <c r="BD89" s="12">
        <f>IF('Données projet'!$A$88&gt;35,BD88+BC89-BL88,IF(A89&lt;'Données projet'!$A$88,$BA$205^A89,IF(A89='Données projet'!$A$88,'Données projet'!$B$88,BD88+BC89-BL88)))</f>
        <v>426.8</v>
      </c>
      <c r="BE89" s="13">
        <f>BD89*VLOOKUP('Données projet'!$B$11,Paramètres!$A$1:$I$89,3,0)*VLOOKUP('Données projet'!$B$11,Paramètres!$A$1:$I$89,5,0)</f>
        <v>244.12960000000001</v>
      </c>
      <c r="BF89" s="13">
        <f t="shared" si="91"/>
        <v>59.327149912823025</v>
      </c>
      <c r="BG89" s="20">
        <f t="shared" si="61"/>
        <v>528.52050609816683</v>
      </c>
      <c r="BH89" s="59">
        <f t="shared" si="62"/>
        <v>821.85383943150009</v>
      </c>
      <c r="BI89" s="59">
        <f ca="1">AVERAGE(OFFSET($BH$3,0,0,'Données projet'!$E$11+1,1))-AVERAGE(OFFSET($H$3,0,0,'Données projet'!$E$11+1,1))</f>
        <v>250.90038883668348</v>
      </c>
      <c r="BJ89" s="59">
        <f t="shared" si="92"/>
        <v>141.96132114475608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70.549894429435724</v>
      </c>
      <c r="BQ89" s="21">
        <f>EXP(-LN(2)/25)*BQ88+(1-EXP(-LN(2)/25))/(LN(2)/25)*Calculateur!BL89*Calculateur!BN89*VLOOKUP('Données projet'!$B$11,Paramètres!$A$1:$I$89,3,0)*0.475*44/12</f>
        <v>2.5199063151760934</v>
      </c>
      <c r="BR89" s="21">
        <f>EXP(-LN(2)/2)*BR88+(1-EXP(-LN(2)/2))/(LN(2)/2)*BL89*BO89*VLOOKUP('Données projet'!$B$11,Paramètres!$A$1:$I$89,3,0)*0.475*44/12</f>
        <v>1.4074424319836764E-8</v>
      </c>
      <c r="BS89" s="22">
        <f t="shared" si="63"/>
        <v>73.069800758686242</v>
      </c>
      <c r="BT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319</v>
      </c>
      <c r="BZ89" s="13">
        <f>BY89*VLOOKUP('Données projet'!$B$12,Paramètres!$A$1:$I$89,3,0)*VLOOKUP('Données projet'!$B$12,Paramètres!$A$1:$I$89,5,0)</f>
        <v>253.79640000000001</v>
      </c>
      <c r="CA89" s="13">
        <f t="shared" si="93"/>
        <v>61.39816832228076</v>
      </c>
      <c r="CB89" s="20">
        <f t="shared" si="64"/>
        <v>548.96387316130563</v>
      </c>
      <c r="CC89" s="59">
        <f t="shared" si="65"/>
        <v>842.29720649463889</v>
      </c>
      <c r="CD89" s="59">
        <f ca="1">AVERAGE(OFFSET($CC$3,0,0,'Données projet'!$E$12+1,1))-AVERAGE(OFFSET($H$3,0,0,'Données projet'!$E$12+1,1))</f>
        <v>279.49721661620544</v>
      </c>
      <c r="CE89" s="59">
        <f t="shared" si="94"/>
        <v>275.18739333988754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47.211426508869458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47.211426508869458</v>
      </c>
      <c r="CO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789</v>
      </c>
      <c r="CU89" s="17">
        <f>CT89*VLOOKUP('Données projet'!$B$13,Paramètres!$A$1:$I$89,3,0)*VLOOKUP('Données projet'!$B$13,Paramètres!$A$1:$I$89,5,0)</f>
        <v>389.76600000000002</v>
      </c>
      <c r="CV89" s="13">
        <f t="shared" si="95"/>
        <v>89.698759503620408</v>
      </c>
      <c r="CW89" s="20">
        <f t="shared" si="67"/>
        <v>835.06778946880547</v>
      </c>
      <c r="CX89" s="59">
        <f t="shared" si="68"/>
        <v>1128.4011228021388</v>
      </c>
      <c r="CY89" s="59">
        <f ca="1">AVERAGE(OFFSET($CX$3,0,0,'Données projet'!$E$13+1,1))-AVERAGE(OFFSET($H$3,0,0,'Données projet'!$E$13+1,1))</f>
        <v>396.27049617044378</v>
      </c>
      <c r="CZ89" s="59">
        <f t="shared" si="96"/>
        <v>335.2680289568774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127.98084646347378</v>
      </c>
      <c r="DG89" s="21">
        <f>EXP(-LN(2)/25)*DG88+(1-EXP(-LN(2)/25))/(LN(2)/25)*Calculateur!DB89*Calculateur!DD89*VLOOKUP('Données projet'!$B$13,Paramètres!$A$1:$I$89,3,0)*0.475*44/12</f>
        <v>9.9509590409795461</v>
      </c>
      <c r="DH89" s="21">
        <f>EXP(-LN(2)/2)*DH88+(1-EXP(-LN(2)/2))/(LN(2)/2)*DB89*DE89*VLOOKUP('Données projet'!$B$13,Paramètres!$A$1:$I$89,3,0)*0.475*44/12</f>
        <v>1.4325022475698077E-9</v>
      </c>
      <c r="DI89" s="22">
        <f t="shared" si="69"/>
        <v>137.93180550588585</v>
      </c>
      <c r="DJ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7.8</v>
      </c>
      <c r="DO89" s="12">
        <f>IF('Données projet'!$A$166&gt;35,DO88+DN89-DW88,IF(A89&lt;'Données projet'!$A$166,$DL$205^A89,IF(A89='Données projet'!$A$166,'Données projet'!$B$166,DO88+DN89-DW88)))</f>
        <v>500.7999999999995</v>
      </c>
      <c r="DP89" s="17">
        <f>DO89*VLOOKUP('Données projet'!$B$14,Paramètres!$A$1:$I$89,3,0)*VLOOKUP('Données projet'!$B$14,Paramètres!$A$1:$I$89,5,0)</f>
        <v>286.45759999999973</v>
      </c>
      <c r="DQ89" s="13">
        <f t="shared" si="97"/>
        <v>68.329869178561367</v>
      </c>
      <c r="DR89" s="20">
        <f t="shared" si="70"/>
        <v>617.92150881932719</v>
      </c>
      <c r="DS89" s="59">
        <f t="shared" si="71"/>
        <v>911.25484215266056</v>
      </c>
      <c r="DT89" s="59">
        <f ca="1">AVERAGE(OFFSET($DS$3,0,0,'Données projet'!$E$14+1,1))-AVERAGE(OFFSET($H$3,0,0,'Données projet'!$E$14+1,1))</f>
        <v>307.43900954374504</v>
      </c>
      <c r="DU89" s="59">
        <f t="shared" si="98"/>
        <v>185.25270859048999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80.675367476422906</v>
      </c>
      <c r="EB89" s="21">
        <f>EXP(-LN(2)/25)*EB88+(1-EXP(-LN(2)/25))/(LN(2)/25)*Calculateur!DW89*Calculateur!DY89*VLOOKUP('Données projet'!$B$14,Paramètres!$A$1:$I$89,3,0)*0.475*44/12</f>
        <v>5.6563346127673197</v>
      </c>
      <c r="EC89" s="21">
        <f>EXP(-LN(2)/2)*EC88+(1-EXP(-LN(2)/2))/(LN(2)/2)*DW89*DZ89*VLOOKUP('Données projet'!$B$14,Paramètres!$A$1:$I$89,3,0)*0.475*44/12</f>
        <v>1.3571073924345541E-9</v>
      </c>
      <c r="ED89" s="22">
        <f t="shared" si="72"/>
        <v>86.331702090547338</v>
      </c>
      <c r="EE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401</v>
      </c>
      <c r="EK89" s="17">
        <f>EJ89*VLOOKUP('Données projet'!$B$15,Paramètres!$A$1:$I$89,3,0)*VLOOKUP('Données projet'!$B$15,Paramètres!$A$1:$I$89,5,0)</f>
        <v>250.22399999999999</v>
      </c>
      <c r="EL89" s="13">
        <f t="shared" si="99"/>
        <v>60.633904580527918</v>
      </c>
      <c r="EM89" s="20">
        <f t="shared" si="73"/>
        <v>541.41085047775289</v>
      </c>
      <c r="EN89" s="59">
        <f t="shared" si="74"/>
        <v>834.74418381108626</v>
      </c>
      <c r="EO89" s="59">
        <f ca="1">AVERAGE(OFFSET($EN$3,0,0,'Données projet'!$E$15+1,1))-AVERAGE(OFFSET($H$3,0,0,'Données projet'!$E$15+1,1))</f>
        <v>269.77739619445515</v>
      </c>
      <c r="EP89" s="59">
        <f t="shared" si="100"/>
        <v>347.56964743629885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45.759759413275674</v>
      </c>
      <c r="EW89" s="21">
        <f>EXP(-LN(2)/25)*EW88+(1-EXP(-LN(2)/25))/(LN(2)/25)*Calculateur!ER89*Calculateur!ET89*VLOOKUP('Données projet'!$B$15,Paramètres!$A$1:$I$89,3,0)*0.475*44/12</f>
        <v>19.420567747281176</v>
      </c>
      <c r="EX89" s="21">
        <f>EXP(-LN(2)/2)*EX88+(1-EXP(-LN(2)/2))/(LN(2)/2)*ER89*EU89*VLOOKUP('Données projet'!$B$15,Paramètres!$A$1:$I$89,3,0)*0.475*44/12</f>
        <v>9.2530049484174156E-11</v>
      </c>
      <c r="EY89" s="22">
        <f t="shared" si="75"/>
        <v>65.180327160649384</v>
      </c>
      <c r="EZ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367.99999999999972</v>
      </c>
      <c r="FF89" s="17">
        <f>FE89*VLOOKUP('Données projet'!$B$16,Paramètres!$A$1:$I$89,3,0)*VLOOKUP('Données projet'!$B$16,Paramètres!$A$1:$I$89,5,0)</f>
        <v>292.78079999999977</v>
      </c>
      <c r="FG89" s="13">
        <f t="shared" si="101"/>
        <v>69.660903052386217</v>
      </c>
      <c r="FH89" s="20">
        <f t="shared" si="76"/>
        <v>631.25263281623893</v>
      </c>
      <c r="FI89" s="59">
        <f t="shared" si="77"/>
        <v>924.58596614957219</v>
      </c>
      <c r="FJ89" s="59">
        <f ca="1">AVERAGE(OFFSET($FI$3,0,0,'Données projet'!$E$16+1,1))-AVERAGE(OFFSET($H$3,0,0,'Données projet'!$E$16+1,1))</f>
        <v>331.52724290297675</v>
      </c>
      <c r="FK89" s="59">
        <f t="shared" si="102"/>
        <v>322.79102610158054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54.727546053596058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54.727546053596058</v>
      </c>
      <c r="FU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852.00000000000011</v>
      </c>
      <c r="GA89" s="17">
        <f>FZ89*VLOOKUP('Données projet'!$B$17,Paramètres!$A$1:$I$89,3,0)*VLOOKUP('Données projet'!$B$17,Paramètres!$A$1:$I$89,5,0)</f>
        <v>420.88800000000009</v>
      </c>
      <c r="GB89" s="13">
        <f t="shared" si="103"/>
        <v>95.998759891259041</v>
      </c>
      <c r="GC89" s="20">
        <f t="shared" si="79"/>
        <v>900.24444014394294</v>
      </c>
      <c r="GD89" s="59">
        <f t="shared" si="80"/>
        <v>1193.5777734772762</v>
      </c>
      <c r="GE89" s="59">
        <f ca="1">AVERAGE(OFFSET($GD$3,0,0,'Données projet'!$E$17+1,1))-AVERAGE(OFFSET($H$3,0,0,'Données projet'!$E$17+1,1))</f>
        <v>434.08297999735811</v>
      </c>
      <c r="GF89" s="59">
        <f t="shared" si="104"/>
        <v>371.04090283546122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141.20038946999267</v>
      </c>
      <c r="GM89" s="21">
        <f>EXP(-LN(2)/25)*GM88+(1-EXP(-LN(2)/25))/(LN(2)/25)*Calculateur!GH89*Calculateur!GJ89*VLOOKUP('Données projet'!$B$17,Paramètres!$A$1:$I$89,3,0)*0.475*44/12</f>
        <v>10.946054945077506</v>
      </c>
      <c r="GN89" s="21">
        <f>EXP(-LN(2)/2)*GN88+(1-EXP(-LN(2)/2))/(LN(2)/2)*GH89*GK89*VLOOKUP('Données projet'!$B$17,Paramètres!$A$1:$I$89,3,0)*0.475*44/12</f>
        <v>2.7998907566137137E-9</v>
      </c>
      <c r="GO89" s="21">
        <f t="shared" si="81"/>
        <v>152.14644441787004</v>
      </c>
      <c r="GP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8.8000000000000007</v>
      </c>
      <c r="GU89" s="12">
        <f>IF('Données projet'!$A$270&gt;35,GU88+GT89-HC88,IF(A89&lt;'Données projet'!$A$270,$GR$205^A89,IF(A89='Données projet'!$A$270,'Données projet'!$B$270,GU88+GT89-HC88)))</f>
        <v>569.80000000000007</v>
      </c>
      <c r="GV89" s="17">
        <f>GU89*VLOOKUP('Données projet'!$B$18,Paramètres!$A$1:$I$89,3,0)*VLOOKUP('Données projet'!$B$18,Paramètres!$A$1:$I$89,5,0)</f>
        <v>325.92560000000003</v>
      </c>
      <c r="GW89" s="13">
        <f t="shared" si="105"/>
        <v>76.5849702921969</v>
      </c>
      <c r="GX89" s="20">
        <f t="shared" si="82"/>
        <v>701.03924325890966</v>
      </c>
      <c r="GY89" s="59">
        <f t="shared" si="83"/>
        <v>994.37257659224292</v>
      </c>
      <c r="GZ89" s="59">
        <f ca="1">AVERAGE(OFFSET($GY$3,0,0,'Données projet'!$E$18+1,1))-AVERAGE(OFFSET($H$3,0,0,'Données projet'!$E$18+1,1))</f>
        <v>362.57172983134313</v>
      </c>
      <c r="HA89" s="59">
        <f t="shared" si="106"/>
        <v>232.03250917542471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90.435839699884696</v>
      </c>
      <c r="HH89" s="21">
        <f>EXP(-LN(2)/25)*HH88+(1-EXP(-LN(2)/25))/(LN(2)/25)*Calculateur!HC89*Calculateur!HE89*VLOOKUP('Données projet'!$B$18,Paramètres!$A$1:$I$89,3,0)*0.475*44/12</f>
        <v>6.5990570482285458</v>
      </c>
      <c r="HI89" s="21">
        <f>EXP(-LN(2)/2)*HI88+(1-EXP(-LN(2)/2))/(LN(2)/2)*HC89*HF89*VLOOKUP('Données projet'!$B$18,Paramètres!$A$1:$I$89,3,0)*0.475*44/12</f>
        <v>2.7896096400043604E-9</v>
      </c>
      <c r="HJ89" s="22">
        <f t="shared" si="84"/>
        <v>97.034896750902845</v>
      </c>
    </row>
    <row r="90" spans="1:218" x14ac:dyDescent="0.3">
      <c r="A90" s="10">
        <f t="shared" si="85"/>
        <v>87</v>
      </c>
      <c r="B90" s="71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5">
        <f t="shared" si="56"/>
        <v>387.96487744763988</v>
      </c>
      <c r="I90" s="6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266.99999999999983</v>
      </c>
      <c r="O90" s="13">
        <f>N90*VLOOKUP('Données projet'!$B$9,Paramètres!$A$1:$I$89,3,0)*VLOOKUP('Données projet'!$B$9,Paramètres!$A$1:$I$89,5,0)</f>
        <v>212.42519999999985</v>
      </c>
      <c r="P90" s="13">
        <f t="shared" si="87"/>
        <v>52.465198231787184</v>
      </c>
      <c r="Q90" s="20">
        <f t="shared" si="54"/>
        <v>461.35077692036231</v>
      </c>
      <c r="R90" s="59">
        <f t="shared" si="55"/>
        <v>754.68411025369562</v>
      </c>
      <c r="S90" s="59">
        <f ca="1">AVERAGE(OFFSET($R$3,0,0,'Données projet'!$E$9+1,1))-AVERAGE(OFFSET($H$3,0,0,'Données projet'!$E$9+1,1))</f>
        <v>225.2323446080772</v>
      </c>
      <c r="T90" s="59">
        <f t="shared" si="88"/>
        <v>222.29030402759292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37.77038307154239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37.77038307154239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732.99999999999966</v>
      </c>
      <c r="AJ90" s="13">
        <f>AI90*VLOOKUP('Données projet'!$B$10,Paramètres!$A$1:$I$89,3,0)*VLOOKUP('Données projet'!$B$10,Paramètres!$A$1:$I$89,5,0)</f>
        <v>362.1019999999998</v>
      </c>
      <c r="AK90" s="13">
        <f t="shared" si="89"/>
        <v>84.049487364732272</v>
      </c>
      <c r="AL90" s="20">
        <f t="shared" si="58"/>
        <v>777.04717382690842</v>
      </c>
      <c r="AM90" s="59">
        <f t="shared" si="59"/>
        <v>1070.3805071602417</v>
      </c>
      <c r="AN90" s="59">
        <f ca="1">AVERAGE(OFFSET($AM$3,0,0,'Données projet'!$E$10+1,1))-AVERAGE(OFFSET($H$3,0,0,'Données projet'!$E$10+1,1))</f>
        <v>360.05819346986135</v>
      </c>
      <c r="AO90" s="59">
        <f t="shared" si="90"/>
        <v>300.47468388351081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113.10886400361217</v>
      </c>
      <c r="AV90" s="21">
        <f>EXP(-LN(2)/25)*AV89+(1-EXP(-LN(2)/25))/(LN(2)/25)*Calculateur!AQ90*Calculateur!AS90*VLOOKUP('Données projet'!$B$10,Paramètres!$A$1:$I$89,3,0)*0.475*44/12</f>
        <v>8.7109645884351892</v>
      </c>
      <c r="AW90" s="21">
        <f>EXP(-LN(2)/2)*AW89+(1-EXP(-LN(2)/2))/(LN(2)/2)*AQ90*AT90*VLOOKUP('Données projet'!$B$10,Paramètres!$A$1:$I$89,3,0)*0.475*44/12</f>
        <v>1.3812709818021558E-10</v>
      </c>
      <c r="AX90" s="21">
        <f t="shared" si="60"/>
        <v>121.81982859218549</v>
      </c>
      <c r="AY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6.8</v>
      </c>
      <c r="BD90" s="12">
        <f>IF('Données projet'!$A$88&gt;35,BD89+BC90-BL89,IF(A90&lt;'Données projet'!$A$88,$BA$205^A90,IF(A90='Données projet'!$A$88,'Données projet'!$B$88,BD89+BC90-BL89)))</f>
        <v>433.6</v>
      </c>
      <c r="BE90" s="13">
        <f>BD90*VLOOKUP('Données projet'!$B$11,Paramètres!$A$1:$I$89,3,0)*VLOOKUP('Données projet'!$B$11,Paramètres!$A$1:$I$89,5,0)</f>
        <v>248.01920000000004</v>
      </c>
      <c r="BF90" s="13">
        <f t="shared" si="91"/>
        <v>60.161586173229772</v>
      </c>
      <c r="BG90" s="20">
        <f t="shared" si="61"/>
        <v>536.74820258504189</v>
      </c>
      <c r="BH90" s="59">
        <f t="shared" si="62"/>
        <v>830.08153591837527</v>
      </c>
      <c r="BI90" s="59">
        <f ca="1">AVERAGE(OFFSET($BH$3,0,0,'Données projet'!$E$11+1,1))-AVERAGE(OFFSET($H$3,0,0,'Données projet'!$E$11+1,1))</f>
        <v>250.90038883668348</v>
      </c>
      <c r="BJ90" s="59">
        <f t="shared" si="92"/>
        <v>141.96132114475608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69.166454030861118</v>
      </c>
      <c r="BQ90" s="21">
        <f>EXP(-LN(2)/25)*BQ89+(1-EXP(-LN(2)/25))/(LN(2)/25)*Calculateur!BL90*Calculateur!BN90*VLOOKUP('Données projet'!$B$11,Paramètres!$A$1:$I$89,3,0)*0.475*44/12</f>
        <v>2.4509993444714895</v>
      </c>
      <c r="BR90" s="21">
        <f>EXP(-LN(2)/2)*BR89+(1-EXP(-LN(2)/2))/(LN(2)/2)*BL90*BO90*VLOOKUP('Données projet'!$B$11,Paramètres!$A$1:$I$89,3,0)*0.475*44/12</f>
        <v>9.9521208778534377E-9</v>
      </c>
      <c r="BS90" s="22">
        <f t="shared" si="63"/>
        <v>71.617453385284719</v>
      </c>
      <c r="BT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319</v>
      </c>
      <c r="BZ90" s="13">
        <f>BY90*VLOOKUP('Données projet'!$B$12,Paramètres!$A$1:$I$89,3,0)*VLOOKUP('Données projet'!$B$12,Paramètres!$A$1:$I$89,5,0)</f>
        <v>253.79640000000001</v>
      </c>
      <c r="CA90" s="13">
        <f t="shared" si="93"/>
        <v>61.39816832228076</v>
      </c>
      <c r="CB90" s="20">
        <f t="shared" si="64"/>
        <v>548.96387316130563</v>
      </c>
      <c r="CC90" s="59">
        <f t="shared" si="65"/>
        <v>842.29720649463889</v>
      </c>
      <c r="CD90" s="59">
        <f ca="1">AVERAGE(OFFSET($CC$3,0,0,'Données projet'!$E$12+1,1))-AVERAGE(OFFSET($H$3,0,0,'Données projet'!$E$12+1,1))</f>
        <v>279.49721661620544</v>
      </c>
      <c r="CE90" s="59">
        <f t="shared" si="94"/>
        <v>275.18739333988754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46.285639231157319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46.285639231157319</v>
      </c>
      <c r="CO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789</v>
      </c>
      <c r="CU90" s="17">
        <f>CT90*VLOOKUP('Données projet'!$B$13,Paramètres!$A$1:$I$89,3,0)*VLOOKUP('Données projet'!$B$13,Paramètres!$A$1:$I$89,5,0)</f>
        <v>389.76600000000002</v>
      </c>
      <c r="CV90" s="13">
        <f t="shared" si="95"/>
        <v>89.698759503620408</v>
      </c>
      <c r="CW90" s="20">
        <f t="shared" si="67"/>
        <v>835.06778946880547</v>
      </c>
      <c r="CX90" s="59">
        <f t="shared" si="68"/>
        <v>1128.4011228021388</v>
      </c>
      <c r="CY90" s="59">
        <f ca="1">AVERAGE(OFFSET($CX$3,0,0,'Données projet'!$E$13+1,1))-AVERAGE(OFFSET($H$3,0,0,'Données projet'!$E$13+1,1))</f>
        <v>396.27049617044378</v>
      </c>
      <c r="CZ90" s="59">
        <f t="shared" si="96"/>
        <v>335.2680289568774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125.47122012493355</v>
      </c>
      <c r="DG90" s="21">
        <f>EXP(-LN(2)/25)*DG89+(1-EXP(-LN(2)/25))/(LN(2)/25)*Calculateur!DB90*Calculateur!DD90*VLOOKUP('Données projet'!$B$13,Paramètres!$A$1:$I$89,3,0)*0.475*44/12</f>
        <v>9.6788495427057679</v>
      </c>
      <c r="DH90" s="21">
        <f>EXP(-LN(2)/2)*DH89+(1-EXP(-LN(2)/2))/(LN(2)/2)*DB90*DE90*VLOOKUP('Données projet'!$B$13,Paramètres!$A$1:$I$89,3,0)*0.475*44/12</f>
        <v>1.0129320533215816E-9</v>
      </c>
      <c r="DI90" s="22">
        <f t="shared" si="69"/>
        <v>135.15006966865224</v>
      </c>
      <c r="DJ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7.8</v>
      </c>
      <c r="DO90" s="12">
        <f>IF('Données projet'!$A$166&gt;35,DO89+DN90-DW89,IF(A90&lt;'Données projet'!$A$166,$DL$205^A90,IF(A90='Données projet'!$A$166,'Données projet'!$B$166,DO89+DN90-DW89)))</f>
        <v>508.59999999999951</v>
      </c>
      <c r="DP90" s="17">
        <f>DO90*VLOOKUP('Données projet'!$B$14,Paramètres!$A$1:$I$89,3,0)*VLOOKUP('Données projet'!$B$14,Paramètres!$A$1:$I$89,5,0)</f>
        <v>290.91919999999976</v>
      </c>
      <c r="DQ90" s="13">
        <f t="shared" si="97"/>
        <v>69.269386931367706</v>
      </c>
      <c r="DR90" s="20">
        <f t="shared" si="70"/>
        <v>627.3284555721317</v>
      </c>
      <c r="DS90" s="59">
        <f t="shared" si="71"/>
        <v>920.66178890546507</v>
      </c>
      <c r="DT90" s="59">
        <f ca="1">AVERAGE(OFFSET($DS$3,0,0,'Données projet'!$E$14+1,1))-AVERAGE(OFFSET($H$3,0,0,'Données projet'!$E$14+1,1))</f>
        <v>307.43900954374504</v>
      </c>
      <c r="DU90" s="59">
        <f t="shared" si="98"/>
        <v>185.25270859048999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79.093372727325615</v>
      </c>
      <c r="EB90" s="21">
        <f>EXP(-LN(2)/25)*EB89+(1-EXP(-LN(2)/25))/(LN(2)/25)*Calculateur!DW90*Calculateur!DY90*VLOOKUP('Données projet'!$B$14,Paramètres!$A$1:$I$89,3,0)*0.475*44/12</f>
        <v>5.5016618453274875</v>
      </c>
      <c r="EC90" s="21">
        <f>EXP(-LN(2)/2)*EC89+(1-EXP(-LN(2)/2))/(LN(2)/2)*DW90*DZ90*VLOOKUP('Données projet'!$B$14,Paramètres!$A$1:$I$89,3,0)*0.475*44/12</f>
        <v>9.5961983998886631E-10</v>
      </c>
      <c r="ED90" s="22">
        <f t="shared" si="72"/>
        <v>84.595034573612722</v>
      </c>
      <c r="EE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401</v>
      </c>
      <c r="EK90" s="17">
        <f>EJ90*VLOOKUP('Données projet'!$B$15,Paramètres!$A$1:$I$89,3,0)*VLOOKUP('Données projet'!$B$15,Paramètres!$A$1:$I$89,5,0)</f>
        <v>250.22399999999999</v>
      </c>
      <c r="EL90" s="13">
        <f t="shared" si="99"/>
        <v>60.633904580527918</v>
      </c>
      <c r="EM90" s="20">
        <f t="shared" si="73"/>
        <v>541.41085047775289</v>
      </c>
      <c r="EN90" s="59">
        <f t="shared" si="74"/>
        <v>834.74418381108626</v>
      </c>
      <c r="EO90" s="59">
        <f ca="1">AVERAGE(OFFSET($EN$3,0,0,'Données projet'!$E$15+1,1))-AVERAGE(OFFSET($H$3,0,0,'Données projet'!$E$15+1,1))</f>
        <v>269.77739619445515</v>
      </c>
      <c r="EP90" s="59">
        <f t="shared" si="100"/>
        <v>347.56964743629885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44.862438441878631</v>
      </c>
      <c r="EW90" s="21">
        <f>EXP(-LN(2)/25)*EW89+(1-EXP(-LN(2)/25))/(LN(2)/25)*Calculateur!ER90*Calculateur!ET90*VLOOKUP('Données projet'!$B$15,Paramètres!$A$1:$I$89,3,0)*0.475*44/12</f>
        <v>18.889511300948499</v>
      </c>
      <c r="EX90" s="21">
        <f>EXP(-LN(2)/2)*EX89+(1-EXP(-LN(2)/2))/(LN(2)/2)*ER90*EU90*VLOOKUP('Données projet'!$B$15,Paramètres!$A$1:$I$89,3,0)*0.475*44/12</f>
        <v>6.5428625453786348E-11</v>
      </c>
      <c r="EY90" s="22">
        <f t="shared" si="75"/>
        <v>63.751949742892556</v>
      </c>
      <c r="EZ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367.99999999999972</v>
      </c>
      <c r="FF90" s="17">
        <f>FE90*VLOOKUP('Données projet'!$B$16,Paramètres!$A$1:$I$89,3,0)*VLOOKUP('Données projet'!$B$16,Paramètres!$A$1:$I$89,5,0)</f>
        <v>292.78079999999977</v>
      </c>
      <c r="FG90" s="13">
        <f t="shared" si="101"/>
        <v>69.660903052386217</v>
      </c>
      <c r="FH90" s="20">
        <f t="shared" si="76"/>
        <v>631.25263281623893</v>
      </c>
      <c r="FI90" s="59">
        <f t="shared" si="77"/>
        <v>924.58596614957219</v>
      </c>
      <c r="FJ90" s="59">
        <f ca="1">AVERAGE(OFFSET($FI$3,0,0,'Données projet'!$E$16+1,1))-AVERAGE(OFFSET($H$3,0,0,'Données projet'!$E$16+1,1))</f>
        <v>331.52724290297675</v>
      </c>
      <c r="FK90" s="59">
        <f t="shared" si="102"/>
        <v>322.79102610158054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53.654372255992079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53.654372255992079</v>
      </c>
      <c r="FU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852.00000000000011</v>
      </c>
      <c r="GA90" s="17">
        <f>FZ90*VLOOKUP('Données projet'!$B$17,Paramètres!$A$1:$I$89,3,0)*VLOOKUP('Données projet'!$B$17,Paramètres!$A$1:$I$89,5,0)</f>
        <v>420.88800000000009</v>
      </c>
      <c r="GB90" s="13">
        <f t="shared" si="103"/>
        <v>95.998759891259041</v>
      </c>
      <c r="GC90" s="20">
        <f t="shared" si="79"/>
        <v>900.24444014394294</v>
      </c>
      <c r="GD90" s="59">
        <f t="shared" si="80"/>
        <v>1193.5777734772762</v>
      </c>
      <c r="GE90" s="59">
        <f ca="1">AVERAGE(OFFSET($GD$3,0,0,'Données projet'!$E$17+1,1))-AVERAGE(OFFSET($H$3,0,0,'Données projet'!$E$17+1,1))</f>
        <v>434.08297999735811</v>
      </c>
      <c r="GF90" s="59">
        <f t="shared" si="104"/>
        <v>371.04090283546122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138.43153595621968</v>
      </c>
      <c r="GM90" s="21">
        <f>EXP(-LN(2)/25)*GM89+(1-EXP(-LN(2)/25))/(LN(2)/25)*Calculateur!GH90*Calculateur!GJ90*VLOOKUP('Données projet'!$B$17,Paramètres!$A$1:$I$89,3,0)*0.475*44/12</f>
        <v>10.64673449697635</v>
      </c>
      <c r="GN90" s="21">
        <f>EXP(-LN(2)/2)*GN89+(1-EXP(-LN(2)/2))/(LN(2)/2)*GH90*GK90*VLOOKUP('Données projet'!$B$17,Paramètres!$A$1:$I$89,3,0)*0.475*44/12</f>
        <v>1.9798217405830902E-9</v>
      </c>
      <c r="GO90" s="21">
        <f t="shared" si="81"/>
        <v>149.07827045517584</v>
      </c>
      <c r="GP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8.8000000000000007</v>
      </c>
      <c r="GU90" s="12">
        <f>IF('Données projet'!$A$270&gt;35,GU89+GT90-HC89,IF(A90&lt;'Données projet'!$A$270,$GR$205^A90,IF(A90='Données projet'!$A$270,'Données projet'!$B$270,GU89+GT90-HC89)))</f>
        <v>578.6</v>
      </c>
      <c r="GV90" s="17">
        <f>GU90*VLOOKUP('Données projet'!$B$18,Paramètres!$A$1:$I$89,3,0)*VLOOKUP('Données projet'!$B$18,Paramètres!$A$1:$I$89,5,0)</f>
        <v>330.95920000000001</v>
      </c>
      <c r="GW90" s="13">
        <f t="shared" si="105"/>
        <v>77.629140198723661</v>
      </c>
      <c r="GX90" s="20">
        <f t="shared" si="82"/>
        <v>711.62469251277707</v>
      </c>
      <c r="GY90" s="59">
        <f t="shared" si="83"/>
        <v>1004.9580258461103</v>
      </c>
      <c r="GZ90" s="59">
        <f ca="1">AVERAGE(OFFSET($GY$3,0,0,'Données projet'!$E$18+1,1))-AVERAGE(OFFSET($H$3,0,0,'Données projet'!$E$18+1,1))</f>
        <v>362.57172983134313</v>
      </c>
      <c r="HA90" s="59">
        <f t="shared" si="106"/>
        <v>232.03250917542471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88.662448043785531</v>
      </c>
      <c r="HH90" s="21">
        <f>EXP(-LN(2)/25)*HH89+(1-EXP(-LN(2)/25))/(LN(2)/25)*Calculateur!HC90*Calculateur!HE90*VLOOKUP('Données projet'!$B$18,Paramètres!$A$1:$I$89,3,0)*0.475*44/12</f>
        <v>6.4186054862154087</v>
      </c>
      <c r="HI90" s="21">
        <f>EXP(-LN(2)/2)*HI89+(1-EXP(-LN(2)/2))/(LN(2)/2)*HC90*HF90*VLOOKUP('Données projet'!$B$18,Paramètres!$A$1:$I$89,3,0)*0.475*44/12</f>
        <v>1.9725518933104468E-9</v>
      </c>
      <c r="HJ90" s="22">
        <f t="shared" si="84"/>
        <v>95.081053531973495</v>
      </c>
    </row>
    <row r="91" spans="1:218" x14ac:dyDescent="0.3">
      <c r="A91" s="10">
        <f t="shared" si="85"/>
        <v>88</v>
      </c>
      <c r="B91" s="71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5">
        <f t="shared" si="56"/>
        <v>389.02335186298552</v>
      </c>
      <c r="I91" s="6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266.99999999999983</v>
      </c>
      <c r="O91" s="13">
        <f>N91*VLOOKUP('Données projet'!$B$9,Paramètres!$A$1:$I$89,3,0)*VLOOKUP('Données projet'!$B$9,Paramètres!$A$1:$I$89,5,0)</f>
        <v>212.42519999999985</v>
      </c>
      <c r="P91" s="13">
        <f t="shared" si="87"/>
        <v>52.465198231787184</v>
      </c>
      <c r="Q91" s="20">
        <f t="shared" si="54"/>
        <v>461.35077692036231</v>
      </c>
      <c r="R91" s="59">
        <f t="shared" si="55"/>
        <v>754.68411025369562</v>
      </c>
      <c r="S91" s="59">
        <f ca="1">AVERAGE(OFFSET($R$3,0,0,'Données projet'!$E$9+1,1))-AVERAGE(OFFSET($H$3,0,0,'Données projet'!$E$9+1,1))</f>
        <v>225.2323446080772</v>
      </c>
      <c r="T91" s="59">
        <f t="shared" si="88"/>
        <v>222.29030402759292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37.02972889716834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37.02972889716834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732.99999999999966</v>
      </c>
      <c r="AJ91" s="13">
        <f>AI91*VLOOKUP('Données projet'!$B$10,Paramètres!$A$1:$I$89,3,0)*VLOOKUP('Données projet'!$B$10,Paramètres!$A$1:$I$89,5,0)</f>
        <v>362.1019999999998</v>
      </c>
      <c r="AK91" s="13">
        <f t="shared" si="89"/>
        <v>84.049487364732272</v>
      </c>
      <c r="AL91" s="20">
        <f t="shared" si="58"/>
        <v>777.04717382690842</v>
      </c>
      <c r="AM91" s="59">
        <f t="shared" si="59"/>
        <v>1070.3805071602417</v>
      </c>
      <c r="AN91" s="59">
        <f ca="1">AVERAGE(OFFSET($AM$3,0,0,'Données projet'!$E$10+1,1))-AVERAGE(OFFSET($H$3,0,0,'Données projet'!$E$10+1,1))</f>
        <v>360.05819346986135</v>
      </c>
      <c r="AO91" s="59">
        <f t="shared" si="90"/>
        <v>300.47468388351081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110.89086817009623</v>
      </c>
      <c r="AV91" s="21">
        <f>EXP(-LN(2)/25)*AV90+(1-EXP(-LN(2)/25))/(LN(2)/25)*Calculateur!AQ91*Calculateur!AS91*VLOOKUP('Données projet'!$B$10,Paramètres!$A$1:$I$89,3,0)*0.475*44/12</f>
        <v>8.4727628036747102</v>
      </c>
      <c r="AW91" s="21">
        <f>EXP(-LN(2)/2)*AW90+(1-EXP(-LN(2)/2))/(LN(2)/2)*AQ91*AT91*VLOOKUP('Données projet'!$B$10,Paramètres!$A$1:$I$89,3,0)*0.475*44/12</f>
        <v>9.7670607788850464E-11</v>
      </c>
      <c r="AX91" s="21">
        <f t="shared" si="60"/>
        <v>119.36363097386861</v>
      </c>
      <c r="AY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6.8</v>
      </c>
      <c r="BD91" s="12">
        <f>IF('Données projet'!$A$88&gt;35,BD90+BC91-BL90,IF(A91&lt;'Données projet'!$A$88,$BA$205^A91,IF(A91='Données projet'!$A$88,'Données projet'!$B$88,BD90+BC91-BL90)))</f>
        <v>440.40000000000003</v>
      </c>
      <c r="BE91" s="13">
        <f>BD91*VLOOKUP('Données projet'!$B$11,Paramètres!$A$1:$I$89,3,0)*VLOOKUP('Données projet'!$B$11,Paramètres!$A$1:$I$89,5,0)</f>
        <v>251.90880000000001</v>
      </c>
      <c r="BF91" s="13">
        <f t="shared" si="91"/>
        <v>60.99450052606884</v>
      </c>
      <c r="BG91" s="20">
        <f t="shared" si="61"/>
        <v>544.97324841623652</v>
      </c>
      <c r="BH91" s="59">
        <f t="shared" si="62"/>
        <v>838.30658174956989</v>
      </c>
      <c r="BI91" s="59">
        <f ca="1">AVERAGE(OFFSET($BH$3,0,0,'Données projet'!$E$11+1,1))-AVERAGE(OFFSET($H$3,0,0,'Données projet'!$E$11+1,1))</f>
        <v>250.90038883668348</v>
      </c>
      <c r="BJ91" s="59">
        <f t="shared" si="92"/>
        <v>141.96132114475608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67.810142054687233</v>
      </c>
      <c r="BQ91" s="21">
        <f>EXP(-LN(2)/25)*BQ90+(1-EXP(-LN(2)/25))/(LN(2)/25)*Calculateur!BL91*Calculateur!BN91*VLOOKUP('Données projet'!$B$11,Paramètres!$A$1:$I$89,3,0)*0.475*44/12</f>
        <v>2.3839766385044627</v>
      </c>
      <c r="BR91" s="21">
        <f>EXP(-LN(2)/2)*BR90+(1-EXP(-LN(2)/2))/(LN(2)/2)*BL91*BO91*VLOOKUP('Données projet'!$B$11,Paramètres!$A$1:$I$89,3,0)*0.475*44/12</f>
        <v>7.0372121599183821E-9</v>
      </c>
      <c r="BS91" s="22">
        <f t="shared" si="63"/>
        <v>70.194118700228913</v>
      </c>
      <c r="BT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319</v>
      </c>
      <c r="BZ91" s="13">
        <f>BY91*VLOOKUP('Données projet'!$B$12,Paramètres!$A$1:$I$89,3,0)*VLOOKUP('Données projet'!$B$12,Paramètres!$A$1:$I$89,5,0)</f>
        <v>253.79640000000001</v>
      </c>
      <c r="CA91" s="13">
        <f t="shared" si="93"/>
        <v>61.39816832228076</v>
      </c>
      <c r="CB91" s="20">
        <f t="shared" si="64"/>
        <v>548.96387316130563</v>
      </c>
      <c r="CC91" s="59">
        <f t="shared" si="65"/>
        <v>842.29720649463889</v>
      </c>
      <c r="CD91" s="59">
        <f ca="1">AVERAGE(OFFSET($CC$3,0,0,'Données projet'!$E$12+1,1))-AVERAGE(OFFSET($H$3,0,0,'Données projet'!$E$12+1,1))</f>
        <v>279.49721661620544</v>
      </c>
      <c r="CE91" s="59">
        <f t="shared" si="94"/>
        <v>275.18739333988754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45.378006077286628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45.378006077286628</v>
      </c>
      <c r="CO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789</v>
      </c>
      <c r="CU91" s="17">
        <f>CT91*VLOOKUP('Données projet'!$B$13,Paramètres!$A$1:$I$89,3,0)*VLOOKUP('Données projet'!$B$13,Paramètres!$A$1:$I$89,5,0)</f>
        <v>389.76600000000002</v>
      </c>
      <c r="CV91" s="13">
        <f t="shared" si="95"/>
        <v>89.698759503620408</v>
      </c>
      <c r="CW91" s="20">
        <f t="shared" si="67"/>
        <v>835.06778946880547</v>
      </c>
      <c r="CX91" s="59">
        <f t="shared" si="68"/>
        <v>1128.4011228021388</v>
      </c>
      <c r="CY91" s="59">
        <f ca="1">AVERAGE(OFFSET($CX$3,0,0,'Données projet'!$E$13+1,1))-AVERAGE(OFFSET($H$3,0,0,'Données projet'!$E$13+1,1))</f>
        <v>396.27049617044378</v>
      </c>
      <c r="CZ91" s="59">
        <f t="shared" si="96"/>
        <v>335.2680289568774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123.01080602817119</v>
      </c>
      <c r="DG91" s="21">
        <f>EXP(-LN(2)/25)*DG90+(1-EXP(-LN(2)/25))/(LN(2)/25)*Calculateur!DB91*Calculateur!DD91*VLOOKUP('Données projet'!$B$13,Paramètres!$A$1:$I$89,3,0)*0.475*44/12</f>
        <v>9.4141808929719026</v>
      </c>
      <c r="DH91" s="21">
        <f>EXP(-LN(2)/2)*DH90+(1-EXP(-LN(2)/2))/(LN(2)/2)*DB91*DE91*VLOOKUP('Données projet'!$B$13,Paramètres!$A$1:$I$89,3,0)*0.475*44/12</f>
        <v>7.1625112378490387E-10</v>
      </c>
      <c r="DI91" s="22">
        <f t="shared" si="69"/>
        <v>132.42498692185936</v>
      </c>
      <c r="DJ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7.8</v>
      </c>
      <c r="DO91" s="12">
        <f>IF('Données projet'!$A$166&gt;35,DO90+DN91-DW90,IF(A91&lt;'Données projet'!$A$166,$DL$205^A91,IF(A91='Données projet'!$A$166,'Données projet'!$B$166,DO90+DN91-DW90)))</f>
        <v>516.39999999999952</v>
      </c>
      <c r="DP91" s="17">
        <f>DO91*VLOOKUP('Données projet'!$B$14,Paramètres!$A$1:$I$89,3,0)*VLOOKUP('Données projet'!$B$14,Paramètres!$A$1:$I$89,5,0)</f>
        <v>295.38079999999974</v>
      </c>
      <c r="DQ91" s="13">
        <f t="shared" si="97"/>
        <v>70.207228944164783</v>
      </c>
      <c r="DR91" s="20">
        <f t="shared" si="70"/>
        <v>636.73248374441994</v>
      </c>
      <c r="DS91" s="59">
        <f t="shared" si="71"/>
        <v>930.06581707775331</v>
      </c>
      <c r="DT91" s="59">
        <f ca="1">AVERAGE(OFFSET($DS$3,0,0,'Données projet'!$E$14+1,1))-AVERAGE(OFFSET($H$3,0,0,'Données projet'!$E$14+1,1))</f>
        <v>307.43900954374504</v>
      </c>
      <c r="DU91" s="59">
        <f t="shared" si="98"/>
        <v>185.25270859048999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77.5423999303366</v>
      </c>
      <c r="EB91" s="21">
        <f>EXP(-LN(2)/25)*EB90+(1-EXP(-LN(2)/25))/(LN(2)/25)*Calculateur!DW91*Calculateur!DY91*VLOOKUP('Données projet'!$B$14,Paramètres!$A$1:$I$89,3,0)*0.475*44/12</f>
        <v>5.3512186128471848</v>
      </c>
      <c r="EC91" s="21">
        <f>EXP(-LN(2)/2)*EC90+(1-EXP(-LN(2)/2))/(LN(2)/2)*DW91*DZ91*VLOOKUP('Données projet'!$B$14,Paramètres!$A$1:$I$89,3,0)*0.475*44/12</f>
        <v>6.7855369621727704E-10</v>
      </c>
      <c r="ED91" s="22">
        <f t="shared" si="72"/>
        <v>82.893618543862345</v>
      </c>
      <c r="EE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401</v>
      </c>
      <c r="EK91" s="17">
        <f>EJ91*VLOOKUP('Données projet'!$B$15,Paramètres!$A$1:$I$89,3,0)*VLOOKUP('Données projet'!$B$15,Paramètres!$A$1:$I$89,5,0)</f>
        <v>250.22399999999999</v>
      </c>
      <c r="EL91" s="13">
        <f t="shared" si="99"/>
        <v>60.633904580527918</v>
      </c>
      <c r="EM91" s="20">
        <f t="shared" si="73"/>
        <v>541.41085047775289</v>
      </c>
      <c r="EN91" s="59">
        <f t="shared" si="74"/>
        <v>834.74418381108626</v>
      </c>
      <c r="EO91" s="59">
        <f ca="1">AVERAGE(OFFSET($EN$3,0,0,'Données projet'!$E$15+1,1))-AVERAGE(OFFSET($H$3,0,0,'Données projet'!$E$15+1,1))</f>
        <v>269.77739619445515</v>
      </c>
      <c r="EP91" s="59">
        <f t="shared" si="100"/>
        <v>347.56964743629885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43.982713387418933</v>
      </c>
      <c r="EW91" s="21">
        <f>EXP(-LN(2)/25)*EW90+(1-EXP(-LN(2)/25))/(LN(2)/25)*Calculateur!ER91*Calculateur!ET91*VLOOKUP('Données projet'!$B$15,Paramètres!$A$1:$I$89,3,0)*0.475*44/12</f>
        <v>18.372976621067835</v>
      </c>
      <c r="EX91" s="21">
        <f>EXP(-LN(2)/2)*EX90+(1-EXP(-LN(2)/2))/(LN(2)/2)*ER91*EU91*VLOOKUP('Données projet'!$B$15,Paramètres!$A$1:$I$89,3,0)*0.475*44/12</f>
        <v>4.6265024742087078E-11</v>
      </c>
      <c r="EY91" s="22">
        <f t="shared" si="75"/>
        <v>62.355690008533031</v>
      </c>
      <c r="EZ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367.99999999999972</v>
      </c>
      <c r="FF91" s="17">
        <f>FE91*VLOOKUP('Données projet'!$B$16,Paramètres!$A$1:$I$89,3,0)*VLOOKUP('Données projet'!$B$16,Paramètres!$A$1:$I$89,5,0)</f>
        <v>292.78079999999977</v>
      </c>
      <c r="FG91" s="13">
        <f t="shared" si="101"/>
        <v>69.660903052386217</v>
      </c>
      <c r="FH91" s="20">
        <f t="shared" si="76"/>
        <v>631.25263281623893</v>
      </c>
      <c r="FI91" s="59">
        <f t="shared" si="77"/>
        <v>924.58596614957219</v>
      </c>
      <c r="FJ91" s="59">
        <f ca="1">AVERAGE(OFFSET($FI$3,0,0,'Données projet'!$E$16+1,1))-AVERAGE(OFFSET($H$3,0,0,'Données projet'!$E$16+1,1))</f>
        <v>331.52724290297675</v>
      </c>
      <c r="FK91" s="59">
        <f t="shared" si="102"/>
        <v>322.79102610158054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52.60224274198773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52.60224274198773</v>
      </c>
      <c r="FU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852.00000000000011</v>
      </c>
      <c r="GA91" s="17">
        <f>FZ91*VLOOKUP('Données projet'!$B$17,Paramètres!$A$1:$I$89,3,0)*VLOOKUP('Données projet'!$B$17,Paramètres!$A$1:$I$89,5,0)</f>
        <v>420.88800000000009</v>
      </c>
      <c r="GB91" s="13">
        <f t="shared" si="103"/>
        <v>95.998759891259041</v>
      </c>
      <c r="GC91" s="20">
        <f t="shared" si="79"/>
        <v>900.24444014394294</v>
      </c>
      <c r="GD91" s="59">
        <f t="shared" si="80"/>
        <v>1193.5777734772762</v>
      </c>
      <c r="GE91" s="59">
        <f ca="1">AVERAGE(OFFSET($GD$3,0,0,'Données projet'!$E$17+1,1))-AVERAGE(OFFSET($H$3,0,0,'Données projet'!$E$17+1,1))</f>
        <v>434.08297999735811</v>
      </c>
      <c r="GF91" s="59">
        <f t="shared" si="104"/>
        <v>371.04090283546122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135.71697797101788</v>
      </c>
      <c r="GM91" s="21">
        <f>EXP(-LN(2)/25)*GM90+(1-EXP(-LN(2)/25))/(LN(2)/25)*Calculateur!GH91*Calculateur!GJ91*VLOOKUP('Données projet'!$B$17,Paramètres!$A$1:$I$89,3,0)*0.475*44/12</f>
        <v>10.355598982269099</v>
      </c>
      <c r="GN91" s="21">
        <f>EXP(-LN(2)/2)*GN90+(1-EXP(-LN(2)/2))/(LN(2)/2)*GH91*GK91*VLOOKUP('Données projet'!$B$17,Paramètres!$A$1:$I$89,3,0)*0.475*44/12</f>
        <v>1.3999453783068568E-9</v>
      </c>
      <c r="GO91" s="21">
        <f t="shared" si="81"/>
        <v>146.07257695468692</v>
      </c>
      <c r="GP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8.8000000000000007</v>
      </c>
      <c r="GU91" s="12">
        <f>IF('Données projet'!$A$270&gt;35,GU90+GT91-HC90,IF(A91&lt;'Données projet'!$A$270,$GR$205^A91,IF(A91='Données projet'!$A$270,'Données projet'!$B$270,GU90+GT91-HC90)))</f>
        <v>587.4</v>
      </c>
      <c r="GV91" s="17">
        <f>GU91*VLOOKUP('Données projet'!$B$18,Paramètres!$A$1:$I$89,3,0)*VLOOKUP('Données projet'!$B$18,Paramètres!$A$1:$I$89,5,0)</f>
        <v>335.99280000000005</v>
      </c>
      <c r="GW91" s="13">
        <f t="shared" si="105"/>
        <v>78.671463127214537</v>
      </c>
      <c r="GX91" s="20">
        <f t="shared" si="82"/>
        <v>722.20692494656532</v>
      </c>
      <c r="GY91" s="59">
        <f t="shared" si="83"/>
        <v>1015.5402582798986</v>
      </c>
      <c r="GZ91" s="59">
        <f ca="1">AVERAGE(OFFSET($GY$3,0,0,'Données projet'!$E$18+1,1))-AVERAGE(OFFSET($H$3,0,0,'Données projet'!$E$18+1,1))</f>
        <v>362.57172983134313</v>
      </c>
      <c r="HA91" s="59">
        <f t="shared" si="106"/>
        <v>232.03250917542471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86.923831516400369</v>
      </c>
      <c r="HH91" s="21">
        <f>EXP(-LN(2)/25)*HH90+(1-EXP(-LN(2)/25))/(LN(2)/25)*Calculateur!HC91*Calculateur!HE91*VLOOKUP('Données projet'!$B$18,Paramètres!$A$1:$I$89,3,0)*0.475*44/12</f>
        <v>6.2430883816550562</v>
      </c>
      <c r="HI91" s="21">
        <f>EXP(-LN(2)/2)*HI90+(1-EXP(-LN(2)/2))/(LN(2)/2)*HC91*HF91*VLOOKUP('Données projet'!$B$18,Paramètres!$A$1:$I$89,3,0)*0.475*44/12</f>
        <v>1.3948048200021802E-9</v>
      </c>
      <c r="HJ91" s="22">
        <f t="shared" si="84"/>
        <v>93.166919899450235</v>
      </c>
    </row>
    <row r="92" spans="1:218" x14ac:dyDescent="0.3">
      <c r="A92" s="10">
        <f t="shared" si="85"/>
        <v>89</v>
      </c>
      <c r="B92" s="71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5">
        <f t="shared" si="56"/>
        <v>390.08153449547615</v>
      </c>
      <c r="I92" s="6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266.99999999999983</v>
      </c>
      <c r="O92" s="13">
        <f>N92*VLOOKUP('Données projet'!$B$9,Paramètres!$A$1:$I$89,3,0)*VLOOKUP('Données projet'!$B$9,Paramètres!$A$1:$I$89,5,0)</f>
        <v>212.42519999999985</v>
      </c>
      <c r="P92" s="13">
        <f t="shared" si="87"/>
        <v>52.465198231787184</v>
      </c>
      <c r="Q92" s="20">
        <f t="shared" si="54"/>
        <v>461.35077692036231</v>
      </c>
      <c r="R92" s="59">
        <f t="shared" si="55"/>
        <v>754.68411025369562</v>
      </c>
      <c r="S92" s="59">
        <f ca="1">AVERAGE(OFFSET($R$3,0,0,'Données projet'!$E$9+1,1))-AVERAGE(OFFSET($H$3,0,0,'Données projet'!$E$9+1,1))</f>
        <v>225.2323446080772</v>
      </c>
      <c r="T92" s="59">
        <f t="shared" si="88"/>
        <v>222.29030402759292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36.303598499399321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36.303598499399321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732.99999999999966</v>
      </c>
      <c r="AJ92" s="13">
        <f>AI92*VLOOKUP('Données projet'!$B$10,Paramètres!$A$1:$I$89,3,0)*VLOOKUP('Données projet'!$B$10,Paramètres!$A$1:$I$89,5,0)</f>
        <v>362.1019999999998</v>
      </c>
      <c r="AK92" s="13">
        <f t="shared" si="89"/>
        <v>84.049487364732272</v>
      </c>
      <c r="AL92" s="20">
        <f t="shared" si="58"/>
        <v>777.04717382690842</v>
      </c>
      <c r="AM92" s="59">
        <f t="shared" si="59"/>
        <v>1070.3805071602417</v>
      </c>
      <c r="AN92" s="59">
        <f ca="1">AVERAGE(OFFSET($AM$3,0,0,'Données projet'!$E$10+1,1))-AVERAGE(OFFSET($H$3,0,0,'Données projet'!$E$10+1,1))</f>
        <v>360.05819346986135</v>
      </c>
      <c r="AO92" s="59">
        <f t="shared" si="90"/>
        <v>300.47468388351081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108.71636588203165</v>
      </c>
      <c r="AV92" s="21">
        <f>EXP(-LN(2)/25)*AV91+(1-EXP(-LN(2)/25))/(LN(2)/25)*Calculateur!AQ92*Calculateur!AS92*VLOOKUP('Données projet'!$B$10,Paramètres!$A$1:$I$89,3,0)*0.475*44/12</f>
        <v>8.2410746592449939</v>
      </c>
      <c r="AW92" s="21">
        <f>EXP(-LN(2)/2)*AW91+(1-EXP(-LN(2)/2))/(LN(2)/2)*AQ92*AT92*VLOOKUP('Données projet'!$B$10,Paramètres!$A$1:$I$89,3,0)*0.475*44/12</f>
        <v>6.9063549090107788E-11</v>
      </c>
      <c r="AX92" s="21">
        <f t="shared" si="60"/>
        <v>116.9574405413457</v>
      </c>
      <c r="AY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6.8</v>
      </c>
      <c r="BD92" s="12">
        <f>IF('Données projet'!$A$88&gt;35,BD91+BC92-BL91,IF(A92&lt;'Données projet'!$A$88,$BA$205^A92,IF(A92='Données projet'!$A$88,'Données projet'!$B$88,BD91+BC92-BL91)))</f>
        <v>447.20000000000005</v>
      </c>
      <c r="BE92" s="13">
        <f>BD92*VLOOKUP('Données projet'!$B$11,Paramètres!$A$1:$I$89,3,0)*VLOOKUP('Données projet'!$B$11,Paramètres!$A$1:$I$89,5,0)</f>
        <v>255.79840000000004</v>
      </c>
      <c r="BF92" s="13">
        <f t="shared" si="91"/>
        <v>61.825919184190518</v>
      </c>
      <c r="BG92" s="20">
        <f t="shared" si="61"/>
        <v>553.19568924579846</v>
      </c>
      <c r="BH92" s="59">
        <f t="shared" si="62"/>
        <v>846.52902257913183</v>
      </c>
      <c r="BI92" s="59">
        <f ca="1">AVERAGE(OFFSET($BH$3,0,0,'Données projet'!$E$11+1,1))-AVERAGE(OFFSET($H$3,0,0,'Données projet'!$E$11+1,1))</f>
        <v>250.90038883668348</v>
      </c>
      <c r="BJ92" s="59">
        <f t="shared" si="92"/>
        <v>141.96132114475608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66.4804265290975</v>
      </c>
      <c r="BQ92" s="21">
        <f>EXP(-LN(2)/25)*BQ91+(1-EXP(-LN(2)/25))/(LN(2)/25)*Calculateur!BL92*Calculateur!BN92*VLOOKUP('Données projet'!$B$11,Paramètres!$A$1:$I$89,3,0)*0.475*44/12</f>
        <v>2.3187866719566754</v>
      </c>
      <c r="BR92" s="21">
        <f>EXP(-LN(2)/2)*BR91+(1-EXP(-LN(2)/2))/(LN(2)/2)*BL92*BO92*VLOOKUP('Données projet'!$B$11,Paramètres!$A$1:$I$89,3,0)*0.475*44/12</f>
        <v>4.9760604389267189E-9</v>
      </c>
      <c r="BS92" s="22">
        <f t="shared" si="63"/>
        <v>68.799213206030231</v>
      </c>
      <c r="BT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319</v>
      </c>
      <c r="BZ92" s="13">
        <f>BY92*VLOOKUP('Données projet'!$B$12,Paramètres!$A$1:$I$89,3,0)*VLOOKUP('Données projet'!$B$12,Paramètres!$A$1:$I$89,5,0)</f>
        <v>253.79640000000001</v>
      </c>
      <c r="CA92" s="13">
        <f t="shared" si="93"/>
        <v>61.39816832228076</v>
      </c>
      <c r="CB92" s="20">
        <f t="shared" si="64"/>
        <v>548.96387316130563</v>
      </c>
      <c r="CC92" s="59">
        <f t="shared" si="65"/>
        <v>842.29720649463889</v>
      </c>
      <c r="CD92" s="59">
        <f ca="1">AVERAGE(OFFSET($CC$3,0,0,'Données projet'!$E$12+1,1))-AVERAGE(OFFSET($H$3,0,0,'Données projet'!$E$12+1,1))</f>
        <v>279.49721661620544</v>
      </c>
      <c r="CE92" s="59">
        <f t="shared" si="94"/>
        <v>275.18739333988754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44.488171055961786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44.488171055961786</v>
      </c>
      <c r="CO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789</v>
      </c>
      <c r="CU92" s="17">
        <f>CT92*VLOOKUP('Données projet'!$B$13,Paramètres!$A$1:$I$89,3,0)*VLOOKUP('Données projet'!$B$13,Paramètres!$A$1:$I$89,5,0)</f>
        <v>389.76600000000002</v>
      </c>
      <c r="CV92" s="13">
        <f t="shared" si="95"/>
        <v>89.698759503620408</v>
      </c>
      <c r="CW92" s="20">
        <f t="shared" si="67"/>
        <v>835.06778946880547</v>
      </c>
      <c r="CX92" s="59">
        <f t="shared" si="68"/>
        <v>1128.4011228021388</v>
      </c>
      <c r="CY92" s="59">
        <f ca="1">AVERAGE(OFFSET($CX$3,0,0,'Données projet'!$E$13+1,1))-AVERAGE(OFFSET($H$3,0,0,'Données projet'!$E$13+1,1))</f>
        <v>396.27049617044378</v>
      </c>
      <c r="CZ92" s="59">
        <f t="shared" si="96"/>
        <v>335.2680289568774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120.59863915114191</v>
      </c>
      <c r="DG92" s="21">
        <f>EXP(-LN(2)/25)*DG91+(1-EXP(-LN(2)/25))/(LN(2)/25)*Calculateur!DB92*Calculateur!DD92*VLOOKUP('Données projet'!$B$13,Paramètres!$A$1:$I$89,3,0)*0.475*44/12</f>
        <v>9.1567496213833284</v>
      </c>
      <c r="DH92" s="21">
        <f>EXP(-LN(2)/2)*DH91+(1-EXP(-LN(2)/2))/(LN(2)/2)*DB92*DE92*VLOOKUP('Données projet'!$B$13,Paramètres!$A$1:$I$89,3,0)*0.475*44/12</f>
        <v>5.0646602666079078E-10</v>
      </c>
      <c r="DI92" s="22">
        <f t="shared" si="69"/>
        <v>129.75538877303171</v>
      </c>
      <c r="DJ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7.8</v>
      </c>
      <c r="DO92" s="12">
        <f>IF('Données projet'!$A$166&gt;35,DO91+DN92-DW91,IF(A92&lt;'Données projet'!$A$166,$DL$205^A92,IF(A92='Données projet'!$A$166,'Données projet'!$B$166,DO91+DN92-DW91)))</f>
        <v>524.19999999999948</v>
      </c>
      <c r="DP92" s="17">
        <f>DO92*VLOOKUP('Données projet'!$B$14,Paramètres!$A$1:$I$89,3,0)*VLOOKUP('Données projet'!$B$14,Paramètres!$A$1:$I$89,5,0)</f>
        <v>299.84239999999971</v>
      </c>
      <c r="DQ92" s="13">
        <f t="shared" si="97"/>
        <v>71.143423451859917</v>
      </c>
      <c r="DR92" s="20">
        <f t="shared" si="70"/>
        <v>646.13364251198891</v>
      </c>
      <c r="DS92" s="59">
        <f t="shared" si="71"/>
        <v>939.46697584532217</v>
      </c>
      <c r="DT92" s="59">
        <f ca="1">AVERAGE(OFFSET($DS$3,0,0,'Données projet'!$E$14+1,1))-AVERAGE(OFFSET($H$3,0,0,'Données projet'!$E$14+1,1))</f>
        <v>307.43900954374504</v>
      </c>
      <c r="DU92" s="59">
        <f t="shared" si="98"/>
        <v>185.25270859048999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76.021840763896549</v>
      </c>
      <c r="EB92" s="21">
        <f>EXP(-LN(2)/25)*EB91+(1-EXP(-LN(2)/25))/(LN(2)/25)*Calculateur!DW92*Calculateur!DY92*VLOOKUP('Données projet'!$B$14,Paramètres!$A$1:$I$89,3,0)*0.475*44/12</f>
        <v>5.204889258470522</v>
      </c>
      <c r="EC92" s="21">
        <f>EXP(-LN(2)/2)*EC91+(1-EXP(-LN(2)/2))/(LN(2)/2)*DW92*DZ92*VLOOKUP('Données projet'!$B$14,Paramètres!$A$1:$I$89,3,0)*0.475*44/12</f>
        <v>4.7980991999443315E-10</v>
      </c>
      <c r="ED92" s="22">
        <f t="shared" si="72"/>
        <v>81.22673002284688</v>
      </c>
      <c r="EE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401</v>
      </c>
      <c r="EK92" s="17">
        <f>EJ92*VLOOKUP('Données projet'!$B$15,Paramètres!$A$1:$I$89,3,0)*VLOOKUP('Données projet'!$B$15,Paramètres!$A$1:$I$89,5,0)</f>
        <v>250.22399999999999</v>
      </c>
      <c r="EL92" s="13">
        <f t="shared" si="99"/>
        <v>60.633904580527918</v>
      </c>
      <c r="EM92" s="20">
        <f t="shared" si="73"/>
        <v>541.41085047775289</v>
      </c>
      <c r="EN92" s="59">
        <f t="shared" si="74"/>
        <v>834.74418381108626</v>
      </c>
      <c r="EO92" s="59">
        <f ca="1">AVERAGE(OFFSET($EN$3,0,0,'Données projet'!$E$15+1,1))-AVERAGE(OFFSET($H$3,0,0,'Données projet'!$E$15+1,1))</f>
        <v>269.77739619445515</v>
      </c>
      <c r="EP92" s="59">
        <f t="shared" si="100"/>
        <v>347.56964743629885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43.120239204697889</v>
      </c>
      <c r="EW92" s="21">
        <f>EXP(-LN(2)/25)*EW91+(1-EXP(-LN(2)/25))/(LN(2)/25)*Calculateur!ER92*Calculateur!ET92*VLOOKUP('Données projet'!$B$15,Paramètres!$A$1:$I$89,3,0)*0.475*44/12</f>
        <v>17.870566609171888</v>
      </c>
      <c r="EX92" s="21">
        <f>EXP(-LN(2)/2)*EX91+(1-EXP(-LN(2)/2))/(LN(2)/2)*ER92*EU92*VLOOKUP('Données projet'!$B$15,Paramètres!$A$1:$I$89,3,0)*0.475*44/12</f>
        <v>3.2714312726893174E-11</v>
      </c>
      <c r="EY92" s="22">
        <f t="shared" si="75"/>
        <v>60.99080581390249</v>
      </c>
      <c r="EZ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367.99999999999972</v>
      </c>
      <c r="FF92" s="17">
        <f>FE92*VLOOKUP('Données projet'!$B$16,Paramètres!$A$1:$I$89,3,0)*VLOOKUP('Données projet'!$B$16,Paramètres!$A$1:$I$89,5,0)</f>
        <v>292.78079999999977</v>
      </c>
      <c r="FG92" s="13">
        <f t="shared" si="101"/>
        <v>69.660903052386217</v>
      </c>
      <c r="FH92" s="20">
        <f t="shared" si="76"/>
        <v>631.25263281623893</v>
      </c>
      <c r="FI92" s="59">
        <f t="shared" si="77"/>
        <v>924.58596614957219</v>
      </c>
      <c r="FJ92" s="59">
        <f ca="1">AVERAGE(OFFSET($FI$3,0,0,'Données projet'!$E$16+1,1))-AVERAGE(OFFSET($H$3,0,0,'Données projet'!$E$16+1,1))</f>
        <v>331.52724290297675</v>
      </c>
      <c r="FK92" s="59">
        <f t="shared" si="102"/>
        <v>322.79102610158054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51.570744846017369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51.570744846017369</v>
      </c>
      <c r="FU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852.00000000000011</v>
      </c>
      <c r="GA92" s="17">
        <f>FZ92*VLOOKUP('Données projet'!$B$17,Paramètres!$A$1:$I$89,3,0)*VLOOKUP('Données projet'!$B$17,Paramètres!$A$1:$I$89,5,0)</f>
        <v>420.88800000000009</v>
      </c>
      <c r="GB92" s="13">
        <f t="shared" si="103"/>
        <v>95.998759891259041</v>
      </c>
      <c r="GC92" s="20">
        <f t="shared" si="79"/>
        <v>900.24444014394294</v>
      </c>
      <c r="GD92" s="59">
        <f t="shared" si="80"/>
        <v>1193.5777734772762</v>
      </c>
      <c r="GE92" s="59">
        <f ca="1">AVERAGE(OFFSET($GD$3,0,0,'Données projet'!$E$17+1,1))-AVERAGE(OFFSET($H$3,0,0,'Données projet'!$E$17+1,1))</f>
        <v>434.08297999735811</v>
      </c>
      <c r="GF92" s="59">
        <f t="shared" si="104"/>
        <v>371.04090283546122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133.05565081218901</v>
      </c>
      <c r="GM92" s="21">
        <f>EXP(-LN(2)/25)*GM91+(1-EXP(-LN(2)/25))/(LN(2)/25)*Calculateur!GH92*Calculateur!GJ92*VLOOKUP('Données projet'!$B$17,Paramètres!$A$1:$I$89,3,0)*0.475*44/12</f>
        <v>10.072424583521668</v>
      </c>
      <c r="GN92" s="21">
        <f>EXP(-LN(2)/2)*GN91+(1-EXP(-LN(2)/2))/(LN(2)/2)*GH92*GK92*VLOOKUP('Données projet'!$B$17,Paramètres!$A$1:$I$89,3,0)*0.475*44/12</f>
        <v>9.8991087029154508E-10</v>
      </c>
      <c r="GO92" s="21">
        <f t="shared" si="81"/>
        <v>143.12807539670058</v>
      </c>
      <c r="GP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8.8000000000000007</v>
      </c>
      <c r="GU92" s="12">
        <f>IF('Données projet'!$A$270&gt;35,GU91+GT92-HC91,IF(A92&lt;'Données projet'!$A$270,$GR$205^A92,IF(A92='Données projet'!$A$270,'Données projet'!$B$270,GU91+GT92-HC91)))</f>
        <v>596.19999999999993</v>
      </c>
      <c r="GV92" s="17">
        <f>GU92*VLOOKUP('Données projet'!$B$18,Paramètres!$A$1:$I$89,3,0)*VLOOKUP('Données projet'!$B$18,Paramètres!$A$1:$I$89,5,0)</f>
        <v>341.02639999999997</v>
      </c>
      <c r="GW92" s="13">
        <f t="shared" si="105"/>
        <v>79.711969943956476</v>
      </c>
      <c r="GX92" s="20">
        <f t="shared" si="82"/>
        <v>732.78599431905741</v>
      </c>
      <c r="GY92" s="59">
        <f t="shared" si="83"/>
        <v>1026.1193276523907</v>
      </c>
      <c r="GZ92" s="59">
        <f ca="1">AVERAGE(OFFSET($GY$3,0,0,'Données projet'!$E$18+1,1))-AVERAGE(OFFSET($H$3,0,0,'Données projet'!$E$18+1,1))</f>
        <v>362.57172983134313</v>
      </c>
      <c r="HA92" s="59">
        <f t="shared" si="106"/>
        <v>232.03250917542471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85.219308198665857</v>
      </c>
      <c r="HH92" s="21">
        <f>EXP(-LN(2)/25)*HH91+(1-EXP(-LN(2)/25))/(LN(2)/25)*Calculateur!HC92*Calculateur!HE92*VLOOKUP('Données projet'!$B$18,Paramètres!$A$1:$I$89,3,0)*0.475*44/12</f>
        <v>6.0723708015489493</v>
      </c>
      <c r="HI92" s="21">
        <f>EXP(-LN(2)/2)*HI91+(1-EXP(-LN(2)/2))/(LN(2)/2)*HC92*HF92*VLOOKUP('Données projet'!$B$18,Paramètres!$A$1:$I$89,3,0)*0.475*44/12</f>
        <v>9.8627594665522342E-10</v>
      </c>
      <c r="HJ92" s="22">
        <f t="shared" si="84"/>
        <v>91.291679001201075</v>
      </c>
    </row>
    <row r="93" spans="1:218" x14ac:dyDescent="0.3">
      <c r="A93" s="10">
        <f t="shared" si="85"/>
        <v>90</v>
      </c>
      <c r="B93" s="71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5">
        <f t="shared" si="56"/>
        <v>391.13942900294575</v>
      </c>
      <c r="I93" s="6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266.99999999999983</v>
      </c>
      <c r="O93" s="13">
        <f>N93*VLOOKUP('Données projet'!$B$9,Paramètres!$A$1:$I$89,3,0)*VLOOKUP('Données projet'!$B$9,Paramètres!$A$1:$I$89,5,0)</f>
        <v>212.42519999999985</v>
      </c>
      <c r="P93" s="13">
        <f t="shared" si="87"/>
        <v>52.465198231787184</v>
      </c>
      <c r="Q93" s="20">
        <f t="shared" si="54"/>
        <v>461.35077692036231</v>
      </c>
      <c r="R93" s="59">
        <f t="shared" si="55"/>
        <v>754.68411025369562</v>
      </c>
      <c r="S93" s="59">
        <f ca="1">AVERAGE(OFFSET($R$3,0,0,'Données projet'!$E$9+1,1))-AVERAGE(OFFSET($H$3,0,0,'Données projet'!$E$9+1,1))</f>
        <v>225.2323446080772</v>
      </c>
      <c r="T93" s="59">
        <f t="shared" si="88"/>
        <v>222.29030402759292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35.591707075834748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35.591707075834748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732.99999999999966</v>
      </c>
      <c r="AJ93" s="13">
        <f>AI93*VLOOKUP('Données projet'!$B$10,Paramètres!$A$1:$I$89,3,0)*VLOOKUP('Données projet'!$B$10,Paramètres!$A$1:$I$89,5,0)</f>
        <v>362.1019999999998</v>
      </c>
      <c r="AK93" s="13">
        <f t="shared" si="89"/>
        <v>84.049487364732272</v>
      </c>
      <c r="AL93" s="20">
        <f t="shared" si="58"/>
        <v>777.04717382690842</v>
      </c>
      <c r="AM93" s="59">
        <f t="shared" si="59"/>
        <v>1070.3805071602417</v>
      </c>
      <c r="AN93" s="59">
        <f ca="1">AVERAGE(OFFSET($AM$3,0,0,'Données projet'!$E$10+1,1))-AVERAGE(OFFSET($H$3,0,0,'Données projet'!$E$10+1,1))</f>
        <v>360.05819346986135</v>
      </c>
      <c r="AO93" s="59">
        <f t="shared" si="90"/>
        <v>300.47468388351081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106.58450425752059</v>
      </c>
      <c r="AV93" s="21">
        <f>EXP(-LN(2)/25)*AV92+(1-EXP(-LN(2)/25))/(LN(2)/25)*Calculateur!AQ93*Calculateur!AS93*VLOOKUP('Données projet'!$B$10,Paramètres!$A$1:$I$89,3,0)*0.475*44/12</f>
        <v>8.0157220393086579</v>
      </c>
      <c r="AW93" s="21">
        <f>EXP(-LN(2)/2)*AW92+(1-EXP(-LN(2)/2))/(LN(2)/2)*AQ93*AT93*VLOOKUP('Données projet'!$B$10,Paramètres!$A$1:$I$89,3,0)*0.475*44/12</f>
        <v>4.8835303894425232E-11</v>
      </c>
      <c r="AX93" s="21">
        <f t="shared" si="60"/>
        <v>114.60022629687808</v>
      </c>
      <c r="AY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454</v>
      </c>
      <c r="BB93" s="12">
        <f>VLOOKUP(A93,'Données projet'!$A$87:$I$107,9,0)</f>
        <v>6.8</v>
      </c>
      <c r="BC93" s="12">
        <f t="array" ref="BC93">INDEX(BB:BB,MIN(IF(ISNUMBER(BB93:BB289),ROW(BB93:BB289),"")))</f>
        <v>6.8</v>
      </c>
      <c r="BD93" s="12">
        <f>IF('Données projet'!$A$88&gt;35,BD92+BC93-BL92,IF(A93&lt;'Données projet'!$A$88,$BA$205^A93,IF(A93='Données projet'!$A$88,'Données projet'!$B$88,BD92+BC93-BL92)))</f>
        <v>454.00000000000006</v>
      </c>
      <c r="BE93" s="13">
        <f>BD93*VLOOKUP('Données projet'!$B$11,Paramètres!$A$1:$I$89,3,0)*VLOOKUP('Données projet'!$B$11,Paramètres!$A$1:$I$89,5,0)</f>
        <v>259.68800000000005</v>
      </c>
      <c r="BF93" s="13">
        <f t="shared" si="91"/>
        <v>62.65586751752825</v>
      </c>
      <c r="BG93" s="20">
        <f t="shared" si="61"/>
        <v>561.41556925969508</v>
      </c>
      <c r="BH93" s="59">
        <f t="shared" si="62"/>
        <v>854.74890259302833</v>
      </c>
      <c r="BI93" s="59">
        <f ca="1">AVERAGE(OFFSET($BH$3,0,0,'Données projet'!$E$11+1,1))-AVERAGE(OFFSET($H$3,0,0,'Données projet'!$E$11+1,1))</f>
        <v>250.90038883668348</v>
      </c>
      <c r="BJ93" s="59">
        <f t="shared" si="92"/>
        <v>141.96132114475608</v>
      </c>
      <c r="BK93" s="15">
        <f>IF(ISNA(VLOOKUP(A93,'Données projet'!$A$87:$I$107,3,0)),0,VLOOKUP(A93,'Données projet'!$A$87:$I$107,3,0))</f>
        <v>14</v>
      </c>
      <c r="BL93" s="15">
        <f>IF(ISNA(VLOOKUP(A93,'Données projet'!$A$87:$I$107,4,0)),0,VLOOKUP(A93,'Données projet'!$A$87:$I$107,4,0))</f>
        <v>17</v>
      </c>
      <c r="BM93" s="16">
        <f>IF(ISNA(VLOOKUP(A93,'Données projet'!$A$87:$I$107,5,0)),0%,VLOOKUP(A93,'Données projet'!$A$87:$I$107,5,0)*VLOOKUP('Données projet'!$B$11,Paramètres!$A$1:$I$89,7,0))</f>
        <v>0.45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70.98156665803053</v>
      </c>
      <c r="BQ93" s="21">
        <f>EXP(-LN(2)/25)*BQ92+(1-EXP(-LN(2)/25))/(LN(2)/25)*Calculateur!BL93*Calculateur!BN93*VLOOKUP('Données projet'!$B$11,Paramètres!$A$1:$I$89,3,0)*0.475*44/12</f>
        <v>2.2553793284723289</v>
      </c>
      <c r="BR93" s="21">
        <f>EXP(-LN(2)/2)*BR92+(1-EXP(-LN(2)/2))/(LN(2)/2)*BL93*BO93*VLOOKUP('Données projet'!$B$11,Paramètres!$A$1:$I$89,3,0)*0.475*44/12</f>
        <v>3.5186060799591911E-9</v>
      </c>
      <c r="BS93" s="22">
        <f t="shared" si="63"/>
        <v>73.236945990021468</v>
      </c>
      <c r="BT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319</v>
      </c>
      <c r="BZ93" s="13">
        <f>BY93*VLOOKUP('Données projet'!$B$12,Paramètres!$A$1:$I$89,3,0)*VLOOKUP('Données projet'!$B$12,Paramètres!$A$1:$I$89,5,0)</f>
        <v>253.79640000000001</v>
      </c>
      <c r="CA93" s="13">
        <f t="shared" si="93"/>
        <v>61.39816832228076</v>
      </c>
      <c r="CB93" s="20">
        <f t="shared" si="64"/>
        <v>548.96387316130563</v>
      </c>
      <c r="CC93" s="59">
        <f t="shared" si="65"/>
        <v>842.29720649463889</v>
      </c>
      <c r="CD93" s="59">
        <f ca="1">AVERAGE(OFFSET($CC$3,0,0,'Données projet'!$E$12+1,1))-AVERAGE(OFFSET($H$3,0,0,'Données projet'!$E$12+1,1))</f>
        <v>279.49721661620544</v>
      </c>
      <c r="CE93" s="59">
        <f t="shared" si="94"/>
        <v>275.18739333988754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43.615785156659349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43.615785156659349</v>
      </c>
      <c r="CO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789</v>
      </c>
      <c r="CU93" s="17">
        <f>CT93*VLOOKUP('Données projet'!$B$13,Paramètres!$A$1:$I$89,3,0)*VLOOKUP('Données projet'!$B$13,Paramètres!$A$1:$I$89,5,0)</f>
        <v>389.76600000000002</v>
      </c>
      <c r="CV93" s="13">
        <f t="shared" si="95"/>
        <v>89.698759503620408</v>
      </c>
      <c r="CW93" s="20">
        <f t="shared" si="67"/>
        <v>835.06778946880547</v>
      </c>
      <c r="CX93" s="59">
        <f t="shared" si="68"/>
        <v>1128.4011228021388</v>
      </c>
      <c r="CY93" s="59">
        <f ca="1">AVERAGE(OFFSET($CX$3,0,0,'Données projet'!$E$13+1,1))-AVERAGE(OFFSET($H$3,0,0,'Données projet'!$E$13+1,1))</f>
        <v>396.27049617044378</v>
      </c>
      <c r="CZ93" s="59">
        <f t="shared" si="96"/>
        <v>335.2680289568774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118.23377339529466</v>
      </c>
      <c r="DG93" s="21">
        <f>EXP(-LN(2)/25)*DG92+(1-EXP(-LN(2)/25))/(LN(2)/25)*Calculateur!DB93*Calculateur!DD93*VLOOKUP('Données projet'!$B$13,Paramètres!$A$1:$I$89,3,0)*0.475*44/12</f>
        <v>8.9063578214540673</v>
      </c>
      <c r="DH93" s="21">
        <f>EXP(-LN(2)/2)*DH92+(1-EXP(-LN(2)/2))/(LN(2)/2)*DB93*DE93*VLOOKUP('Données projet'!$B$13,Paramètres!$A$1:$I$89,3,0)*0.475*44/12</f>
        <v>3.5812556189245193E-10</v>
      </c>
      <c r="DI93" s="22">
        <f t="shared" si="69"/>
        <v>127.14013121710686</v>
      </c>
      <c r="DJ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532</v>
      </c>
      <c r="DM93" s="12">
        <f>VLOOKUP(A93,'Données projet'!$A$165:$I$185,9,0)</f>
        <v>7.8</v>
      </c>
      <c r="DN93" s="12">
        <f t="array" ref="DN93">INDEX(DM:DM,MIN(IF(ISNUMBER(DM93:DM289),ROW(DM93:DM289),"")))</f>
        <v>7.8</v>
      </c>
      <c r="DO93" s="12">
        <f>IF('Données projet'!$A$166&gt;35,DO92+DN93-DW92,IF(A93&lt;'Données projet'!$A$166,$DL$205^A93,IF(A93='Données projet'!$A$166,'Données projet'!$B$166,DO92+DN93-DW92)))</f>
        <v>531.99999999999943</v>
      </c>
      <c r="DP93" s="17">
        <f>DO93*VLOOKUP('Données projet'!$B$14,Paramètres!$A$1:$I$89,3,0)*VLOOKUP('Données projet'!$B$14,Paramètres!$A$1:$I$89,5,0)</f>
        <v>304.30399999999969</v>
      </c>
      <c r="DQ93" s="13">
        <f t="shared" si="97"/>
        <v>72.077997800868275</v>
      </c>
      <c r="DR93" s="20">
        <f t="shared" si="70"/>
        <v>655.53197950317838</v>
      </c>
      <c r="DS93" s="59">
        <f t="shared" si="71"/>
        <v>948.86531283651175</v>
      </c>
      <c r="DT93" s="59">
        <f ca="1">AVERAGE(OFFSET($DS$3,0,0,'Données projet'!$E$14+1,1))-AVERAGE(OFFSET($H$3,0,0,'Données projet'!$E$14+1,1))</f>
        <v>307.43900954374504</v>
      </c>
      <c r="DU93" s="59">
        <f t="shared" si="98"/>
        <v>185.25270859048999</v>
      </c>
      <c r="DV93" s="15">
        <f>IF(ISNA(VLOOKUP(A93,'Données projet'!$A$165:$I$185,3,0)),0,VLOOKUP(A93,'Données projet'!$A$165:$I$185,3,0))</f>
        <v>15</v>
      </c>
      <c r="DW93" s="15">
        <f>IF(ISNA(VLOOKUP(A93,'Données projet'!$A$165:$I$185,4,0)),0,VLOOKUP(A93,'Données projet'!$A$165:$I$185,4,0))</f>
        <v>20</v>
      </c>
      <c r="DX93" s="16">
        <f>IF(ISNA(VLOOKUP(A93,'Données projet'!$A$165:$I$185,5,0)),0%,VLOOKUP(A93,'Données projet'!$A$165:$I$185,5,0)*VLOOKUP('Données projet'!$B$14,Paramètres!$A$1:$I$89,7,0))</f>
        <v>0.45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81.360252651863618</v>
      </c>
      <c r="EB93" s="21">
        <f>EXP(-LN(2)/25)*EB92+(1-EXP(-LN(2)/25))/(LN(2)/25)*Calculateur!DW93*Calculateur!DY93*VLOOKUP('Données projet'!$B$14,Paramètres!$A$1:$I$89,3,0)*0.475*44/12</f>
        <v>5.0625612879844155</v>
      </c>
      <c r="EC93" s="21">
        <f>EXP(-LN(2)/2)*EC92+(1-EXP(-LN(2)/2))/(LN(2)/2)*DW93*DZ93*VLOOKUP('Données projet'!$B$14,Paramètres!$A$1:$I$89,3,0)*0.475*44/12</f>
        <v>3.3927684810863852E-10</v>
      </c>
      <c r="ED93" s="22">
        <f t="shared" si="72"/>
        <v>86.422813940187297</v>
      </c>
      <c r="EE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401</v>
      </c>
      <c r="EK93" s="17">
        <f>EJ93*VLOOKUP('Données projet'!$B$15,Paramètres!$A$1:$I$89,3,0)*VLOOKUP('Données projet'!$B$15,Paramètres!$A$1:$I$89,5,0)</f>
        <v>250.22399999999999</v>
      </c>
      <c r="EL93" s="13">
        <f t="shared" si="99"/>
        <v>60.633904580527918</v>
      </c>
      <c r="EM93" s="20">
        <f t="shared" si="73"/>
        <v>541.41085047775289</v>
      </c>
      <c r="EN93" s="59">
        <f t="shared" si="74"/>
        <v>834.74418381108626</v>
      </c>
      <c r="EO93" s="59">
        <f ca="1">AVERAGE(OFFSET($EN$3,0,0,'Données projet'!$E$15+1,1))-AVERAGE(OFFSET($H$3,0,0,'Données projet'!$E$15+1,1))</f>
        <v>269.77739619445515</v>
      </c>
      <c r="EP93" s="59">
        <f t="shared" si="100"/>
        <v>347.56964743629885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42.274677614642698</v>
      </c>
      <c r="EW93" s="21">
        <f>EXP(-LN(2)/25)*EW92+(1-EXP(-LN(2)/25))/(LN(2)/25)*Calculateur!ER93*Calculateur!ET93*VLOOKUP('Données projet'!$B$15,Paramètres!$A$1:$I$89,3,0)*0.475*44/12</f>
        <v>17.381895025471827</v>
      </c>
      <c r="EX93" s="21">
        <f>EXP(-LN(2)/2)*EX92+(1-EXP(-LN(2)/2))/(LN(2)/2)*ER93*EU93*VLOOKUP('Données projet'!$B$15,Paramètres!$A$1:$I$89,3,0)*0.475*44/12</f>
        <v>2.3132512371043539E-11</v>
      </c>
      <c r="EY93" s="22">
        <f t="shared" si="75"/>
        <v>59.656572640137661</v>
      </c>
      <c r="EZ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367.99999999999972</v>
      </c>
      <c r="FF93" s="17">
        <f>FE93*VLOOKUP('Données projet'!$B$16,Paramètres!$A$1:$I$89,3,0)*VLOOKUP('Données projet'!$B$16,Paramètres!$A$1:$I$89,5,0)</f>
        <v>292.78079999999977</v>
      </c>
      <c r="FG93" s="13">
        <f t="shared" si="101"/>
        <v>69.660903052386217</v>
      </c>
      <c r="FH93" s="20">
        <f t="shared" si="76"/>
        <v>631.25263281623893</v>
      </c>
      <c r="FI93" s="59">
        <f t="shared" si="77"/>
        <v>924.58596614957219</v>
      </c>
      <c r="FJ93" s="59">
        <f ca="1">AVERAGE(OFFSET($FI$3,0,0,'Données projet'!$E$16+1,1))-AVERAGE(OFFSET($H$3,0,0,'Données projet'!$E$16+1,1))</f>
        <v>331.52724290297675</v>
      </c>
      <c r="FK93" s="59">
        <f t="shared" si="102"/>
        <v>322.79102610158054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50.559473994635397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50.559473994635397</v>
      </c>
      <c r="FU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852.00000000000011</v>
      </c>
      <c r="GA93" s="17">
        <f>FZ93*VLOOKUP('Données projet'!$B$17,Paramètres!$A$1:$I$89,3,0)*VLOOKUP('Données projet'!$B$17,Paramètres!$A$1:$I$89,5,0)</f>
        <v>420.88800000000009</v>
      </c>
      <c r="GB93" s="13">
        <f t="shared" si="103"/>
        <v>95.998759891259041</v>
      </c>
      <c r="GC93" s="20">
        <f t="shared" si="79"/>
        <v>900.24444014394294</v>
      </c>
      <c r="GD93" s="59">
        <f t="shared" si="80"/>
        <v>1193.5777734772762</v>
      </c>
      <c r="GE93" s="59">
        <f ca="1">AVERAGE(OFFSET($GD$3,0,0,'Données projet'!$E$17+1,1))-AVERAGE(OFFSET($H$3,0,0,'Données projet'!$E$17+1,1))</f>
        <v>434.08297999735811</v>
      </c>
      <c r="GF93" s="59">
        <f t="shared" si="104"/>
        <v>371.04090283546122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130.4465106556955</v>
      </c>
      <c r="GM93" s="21">
        <f>EXP(-LN(2)/25)*GM92+(1-EXP(-LN(2)/25))/(LN(2)/25)*Calculateur!GH93*Calculateur!GJ93*VLOOKUP('Données projet'!$B$17,Paramètres!$A$1:$I$89,3,0)*0.475*44/12</f>
        <v>9.7969936035994802</v>
      </c>
      <c r="GN93" s="21">
        <f>EXP(-LN(2)/2)*GN92+(1-EXP(-LN(2)/2))/(LN(2)/2)*GH93*GK93*VLOOKUP('Données projet'!$B$17,Paramètres!$A$1:$I$89,3,0)*0.475*44/12</f>
        <v>6.9997268915342842E-10</v>
      </c>
      <c r="GO93" s="21">
        <f t="shared" si="81"/>
        <v>140.24350425999495</v>
      </c>
      <c r="GP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>
        <f>VLOOKUP(A93,'Données projet'!$A$269:$I$289,2,0)</f>
        <v>605</v>
      </c>
      <c r="GS93" s="12">
        <f>VLOOKUP(A93,'Données projet'!$A$269:$I$289,9,0)</f>
        <v>8.8000000000000007</v>
      </c>
      <c r="GT93" s="12">
        <f t="array" ref="GT93">INDEX(GS:GS,MIN(IF(ISNUMBER(GS93:GS289),ROW(GS93:GS289),"")))</f>
        <v>8.8000000000000007</v>
      </c>
      <c r="GU93" s="12">
        <f>IF('Données projet'!$A$270&gt;35,GU92+GT93-HC92,IF(A93&lt;'Données projet'!$A$270,$GR$205^A93,IF(A93='Données projet'!$A$270,'Données projet'!$B$270,GU92+GT93-HC92)))</f>
        <v>604.99999999999989</v>
      </c>
      <c r="GV93" s="17">
        <f>GU93*VLOOKUP('Données projet'!$B$18,Paramètres!$A$1:$I$89,3,0)*VLOOKUP('Données projet'!$B$18,Paramètres!$A$1:$I$89,5,0)</f>
        <v>346.05999999999995</v>
      </c>
      <c r="GW93" s="13">
        <f t="shared" si="105"/>
        <v>80.750690551747297</v>
      </c>
      <c r="GX93" s="20">
        <f t="shared" si="82"/>
        <v>743.36195271095983</v>
      </c>
      <c r="GY93" s="59">
        <f t="shared" si="83"/>
        <v>1036.6952860442932</v>
      </c>
      <c r="GZ93" s="59">
        <f ca="1">AVERAGE(OFFSET($GY$3,0,0,'Données projet'!$E$18+1,1))-AVERAGE(OFFSET($H$3,0,0,'Données projet'!$E$18+1,1))</f>
        <v>362.57172983134313</v>
      </c>
      <c r="HA93" s="59">
        <f t="shared" si="106"/>
        <v>232.03250917542471</v>
      </c>
      <c r="HB93" s="15">
        <f>IF(ISNA(VLOOKUP(A93,'Données projet'!$A$269:$I$289,3,0)),0,VLOOKUP(A93,'Données projet'!$A$269:$I$289,3,0))</f>
        <v>15</v>
      </c>
      <c r="HC93" s="15">
        <f>IF(ISNA(VLOOKUP(A93,'Données projet'!$A$269:$I$289,4,0)),0,VLOOKUP(A93,'Données projet'!$A$269:$I$289,4,0))</f>
        <v>23</v>
      </c>
      <c r="HD93" s="16">
        <f>IF(ISNA(VLOOKUP(A93,'Données projet'!$A$269:$I$289,5,0)),0%,VLOOKUP(A93,'Données projet'!$A$269:$I$289,5,0)*VLOOKUP('Données projet'!$B$18,Paramètres!$A$1:$I$89,7,0))</f>
        <v>0.45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91.401736432628709</v>
      </c>
      <c r="HH93" s="21">
        <f>EXP(-LN(2)/25)*HH92+(1-EXP(-LN(2)/25))/(LN(2)/25)*Calculateur!HC93*Calculateur!HE93*VLOOKUP('Données projet'!$B$18,Paramètres!$A$1:$I$89,3,0)*0.475*44/12</f>
        <v>5.906321502648491</v>
      </c>
      <c r="HI93" s="21">
        <f>EXP(-LN(2)/2)*HI92+(1-EXP(-LN(2)/2))/(LN(2)/2)*HC93*HF93*VLOOKUP('Données projet'!$B$18,Paramètres!$A$1:$I$89,3,0)*0.475*44/12</f>
        <v>6.9740241000109009E-10</v>
      </c>
      <c r="HJ93" s="22">
        <f t="shared" si="84"/>
        <v>97.308057935974603</v>
      </c>
    </row>
    <row r="94" spans="1:218" x14ac:dyDescent="0.3">
      <c r="A94" s="10">
        <f t="shared" si="85"/>
        <v>91</v>
      </c>
      <c r="B94" s="71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5">
        <f t="shared" si="56"/>
        <v>392.19703895726269</v>
      </c>
      <c r="I94" s="6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266.99999999999983</v>
      </c>
      <c r="O94" s="13">
        <f>N94*VLOOKUP('Données projet'!$B$9,Paramètres!$A$1:$I$89,3,0)*VLOOKUP('Données projet'!$B$9,Paramètres!$A$1:$I$89,5,0)</f>
        <v>212.42519999999985</v>
      </c>
      <c r="P94" s="13">
        <f t="shared" si="87"/>
        <v>52.465198231787184</v>
      </c>
      <c r="Q94" s="20">
        <f t="shared" si="54"/>
        <v>461.35077692036231</v>
      </c>
      <c r="R94" s="59">
        <f t="shared" si="55"/>
        <v>754.68411025369562</v>
      </c>
      <c r="S94" s="59">
        <f ca="1">AVERAGE(OFFSET($R$3,0,0,'Données projet'!$E$9+1,1))-AVERAGE(OFFSET($H$3,0,0,'Données projet'!$E$9+1,1))</f>
        <v>225.2323446080772</v>
      </c>
      <c r="T94" s="59">
        <f t="shared" si="88"/>
        <v>222.29030402759292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34.893775408875378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34.893775408875378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732.99999999999966</v>
      </c>
      <c r="AJ94" s="13">
        <f>AI94*VLOOKUP('Données projet'!$B$10,Paramètres!$A$1:$I$89,3,0)*VLOOKUP('Données projet'!$B$10,Paramètres!$A$1:$I$89,5,0)</f>
        <v>362.1019999999998</v>
      </c>
      <c r="AK94" s="13">
        <f t="shared" si="89"/>
        <v>84.049487364732272</v>
      </c>
      <c r="AL94" s="20">
        <f t="shared" si="58"/>
        <v>777.04717382690842</v>
      </c>
      <c r="AM94" s="59">
        <f t="shared" si="59"/>
        <v>1070.3805071602417</v>
      </c>
      <c r="AN94" s="59">
        <f ca="1">AVERAGE(OFFSET($AM$3,0,0,'Données projet'!$E$10+1,1))-AVERAGE(OFFSET($H$3,0,0,'Données projet'!$E$10+1,1))</f>
        <v>360.05819346986135</v>
      </c>
      <c r="AO94" s="59">
        <f t="shared" si="90"/>
        <v>300.47468388351081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104.49444713915899</v>
      </c>
      <c r="AV94" s="21">
        <f>EXP(-LN(2)/25)*AV93+(1-EXP(-LN(2)/25))/(LN(2)/25)*Calculateur!AQ94*Calculateur!AS94*VLOOKUP('Données projet'!$B$10,Paramètres!$A$1:$I$89,3,0)*0.475*44/12</f>
        <v>7.7965316986152606</v>
      </c>
      <c r="AW94" s="21">
        <f>EXP(-LN(2)/2)*AW93+(1-EXP(-LN(2)/2))/(LN(2)/2)*AQ94*AT94*VLOOKUP('Données projet'!$B$10,Paramètres!$A$1:$I$89,3,0)*0.475*44/12</f>
        <v>3.4531774545053894E-11</v>
      </c>
      <c r="AX94" s="21">
        <f t="shared" si="60"/>
        <v>112.29097883780878</v>
      </c>
      <c r="AY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</v>
      </c>
      <c r="BD94" s="12">
        <f>IF('Données projet'!$A$88&gt;35,BD93+BC94-BL93,IF(A94&lt;'Données projet'!$A$88,$BA$205^A94,IF(A94='Données projet'!$A$88,'Données projet'!$B$88,BD93+BC94-BL93)))</f>
        <v>443.00000000000006</v>
      </c>
      <c r="BE94" s="13">
        <f>BD94*VLOOKUP('Données projet'!$B$11,Paramètres!$A$1:$I$89,3,0)*VLOOKUP('Données projet'!$B$11,Paramètres!$A$1:$I$89,5,0)</f>
        <v>253.39600000000004</v>
      </c>
      <c r="BF94" s="13">
        <f t="shared" si="91"/>
        <v>61.312571107879769</v>
      </c>
      <c r="BG94" s="20">
        <f t="shared" si="61"/>
        <v>548.11742801289074</v>
      </c>
      <c r="BH94" s="59">
        <f t="shared" si="62"/>
        <v>841.450761346224</v>
      </c>
      <c r="BI94" s="59">
        <f ca="1">AVERAGE(OFFSET($BH$3,0,0,'Données projet'!$E$11+1,1))-AVERAGE(OFFSET($H$3,0,0,'Données projet'!$E$11+1,1))</f>
        <v>250.90038883668348</v>
      </c>
      <c r="BJ94" s="59">
        <f t="shared" si="92"/>
        <v>141.96132114475608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69.589661430347235</v>
      </c>
      <c r="BQ94" s="21">
        <f>EXP(-LN(2)/25)*BQ93+(1-EXP(-LN(2)/25))/(LN(2)/25)*Calculateur!BL94*Calculateur!BN94*VLOOKUP('Données projet'!$B$11,Paramètres!$A$1:$I$89,3,0)*0.475*44/12</f>
        <v>2.1937058621300087</v>
      </c>
      <c r="BR94" s="21">
        <f>EXP(-LN(2)/2)*BR93+(1-EXP(-LN(2)/2))/(LN(2)/2)*BL94*BO94*VLOOKUP('Données projet'!$B$11,Paramètres!$A$1:$I$89,3,0)*0.475*44/12</f>
        <v>2.4880302194633594E-9</v>
      </c>
      <c r="BS94" s="22">
        <f t="shared" si="63"/>
        <v>71.783367294965274</v>
      </c>
      <c r="BT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319</v>
      </c>
      <c r="BZ94" s="13">
        <f>BY94*VLOOKUP('Données projet'!$B$12,Paramètres!$A$1:$I$89,3,0)*VLOOKUP('Données projet'!$B$12,Paramètres!$A$1:$I$89,5,0)</f>
        <v>253.79640000000001</v>
      </c>
      <c r="CA94" s="13">
        <f t="shared" si="93"/>
        <v>61.39816832228076</v>
      </c>
      <c r="CB94" s="20">
        <f t="shared" si="64"/>
        <v>548.96387316130563</v>
      </c>
      <c r="CC94" s="59">
        <f t="shared" si="65"/>
        <v>842.29720649463889</v>
      </c>
      <c r="CD94" s="59">
        <f ca="1">AVERAGE(OFFSET($CC$3,0,0,'Données projet'!$E$12+1,1))-AVERAGE(OFFSET($H$3,0,0,'Données projet'!$E$12+1,1))</f>
        <v>279.49721661620544</v>
      </c>
      <c r="CE94" s="59">
        <f t="shared" si="94"/>
        <v>275.18739333988754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42.760506212739379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42.760506212739379</v>
      </c>
      <c r="CO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789</v>
      </c>
      <c r="CU94" s="17">
        <f>CT94*VLOOKUP('Données projet'!$B$13,Paramètres!$A$1:$I$89,3,0)*VLOOKUP('Données projet'!$B$13,Paramètres!$A$1:$I$89,5,0)</f>
        <v>389.76600000000002</v>
      </c>
      <c r="CV94" s="13">
        <f t="shared" si="95"/>
        <v>89.698759503620408</v>
      </c>
      <c r="CW94" s="20">
        <f t="shared" si="67"/>
        <v>835.06778946880547</v>
      </c>
      <c r="CX94" s="59">
        <f t="shared" si="68"/>
        <v>1128.4011228021388</v>
      </c>
      <c r="CY94" s="59">
        <f ca="1">AVERAGE(OFFSET($CX$3,0,0,'Données projet'!$E$13+1,1))-AVERAGE(OFFSET($H$3,0,0,'Données projet'!$E$13+1,1))</f>
        <v>396.27049617044378</v>
      </c>
      <c r="CZ94" s="59">
        <f t="shared" si="96"/>
        <v>335.2680289568774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115.91528121449389</v>
      </c>
      <c r="DG94" s="21">
        <f>EXP(-LN(2)/25)*DG93+(1-EXP(-LN(2)/25))/(LN(2)/25)*Calculateur!DB94*Calculateur!DD94*VLOOKUP('Données projet'!$B$13,Paramètres!$A$1:$I$89,3,0)*0.475*44/12</f>
        <v>8.6628129984614031</v>
      </c>
      <c r="DH94" s="21">
        <f>EXP(-LN(2)/2)*DH93+(1-EXP(-LN(2)/2))/(LN(2)/2)*DB94*DE94*VLOOKUP('Données projet'!$B$13,Paramètres!$A$1:$I$89,3,0)*0.475*44/12</f>
        <v>2.5323301333039539E-10</v>
      </c>
      <c r="DI94" s="22">
        <f t="shared" si="69"/>
        <v>124.57809421320853</v>
      </c>
      <c r="DJ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6.2</v>
      </c>
      <c r="DO94" s="12">
        <f>IF('Données projet'!$A$166&gt;35,DO93+DN94-DW93,IF(A94&lt;'Données projet'!$A$166,$DL$205^A94,IF(A94='Données projet'!$A$166,'Données projet'!$B$166,DO93+DN94-DW93)))</f>
        <v>518.19999999999948</v>
      </c>
      <c r="DP94" s="17">
        <f>DO94*VLOOKUP('Données projet'!$B$14,Paramètres!$A$1:$I$89,3,0)*VLOOKUP('Données projet'!$B$14,Paramètres!$A$1:$I$89,5,0)</f>
        <v>296.41039999999975</v>
      </c>
      <c r="DQ94" s="13">
        <f t="shared" si="97"/>
        <v>70.42341904903634</v>
      </c>
      <c r="DR94" s="20">
        <f t="shared" si="70"/>
        <v>638.9022348437378</v>
      </c>
      <c r="DS94" s="59">
        <f t="shared" si="71"/>
        <v>932.23556817707117</v>
      </c>
      <c r="DT94" s="59">
        <f ca="1">AVERAGE(OFFSET($DS$3,0,0,'Données projet'!$E$14+1,1))-AVERAGE(OFFSET($H$3,0,0,'Données projet'!$E$14+1,1))</f>
        <v>307.43900954374504</v>
      </c>
      <c r="DU94" s="59">
        <f t="shared" si="98"/>
        <v>185.25270859048999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79.764827722214648</v>
      </c>
      <c r="EB94" s="21">
        <f>EXP(-LN(2)/25)*EB93+(1-EXP(-LN(2)/25))/(LN(2)/25)*Calculateur!DW94*Calculateur!DY94*VLOOKUP('Données projet'!$B$14,Paramètres!$A$1:$I$89,3,0)*0.475*44/12</f>
        <v>4.9241252833359539</v>
      </c>
      <c r="EC94" s="21">
        <f>EXP(-LN(2)/2)*EC93+(1-EXP(-LN(2)/2))/(LN(2)/2)*DW94*DZ94*VLOOKUP('Données projet'!$B$14,Paramètres!$A$1:$I$89,3,0)*0.475*44/12</f>
        <v>2.3990495999721658E-10</v>
      </c>
      <c r="ED94" s="22">
        <f t="shared" si="72"/>
        <v>84.688953005790509</v>
      </c>
      <c r="EE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401</v>
      </c>
      <c r="EK94" s="17">
        <f>EJ94*VLOOKUP('Données projet'!$B$15,Paramètres!$A$1:$I$89,3,0)*VLOOKUP('Données projet'!$B$15,Paramètres!$A$1:$I$89,5,0)</f>
        <v>250.22399999999999</v>
      </c>
      <c r="EL94" s="13">
        <f t="shared" si="99"/>
        <v>60.633904580527918</v>
      </c>
      <c r="EM94" s="20">
        <f t="shared" si="73"/>
        <v>541.41085047775289</v>
      </c>
      <c r="EN94" s="59">
        <f t="shared" si="74"/>
        <v>834.74418381108626</v>
      </c>
      <c r="EO94" s="59">
        <f ca="1">AVERAGE(OFFSET($EN$3,0,0,'Données projet'!$E$15+1,1))-AVERAGE(OFFSET($H$3,0,0,'Données projet'!$E$15+1,1))</f>
        <v>269.77739619445515</v>
      </c>
      <c r="EP94" s="59">
        <f t="shared" si="100"/>
        <v>347.56964743629885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41.445696971626845</v>
      </c>
      <c r="EW94" s="21">
        <f>EXP(-LN(2)/25)*EW93+(1-EXP(-LN(2)/25))/(LN(2)/25)*Calculateur!ER94*Calculateur!ET94*VLOOKUP('Données projet'!$B$15,Paramètres!$A$1:$I$89,3,0)*0.475*44/12</f>
        <v>16.906586191926166</v>
      </c>
      <c r="EX94" s="21">
        <f>EXP(-LN(2)/2)*EX93+(1-EXP(-LN(2)/2))/(LN(2)/2)*ER94*EU94*VLOOKUP('Données projet'!$B$15,Paramètres!$A$1:$I$89,3,0)*0.475*44/12</f>
        <v>1.6357156363446587E-11</v>
      </c>
      <c r="EY94" s="22">
        <f t="shared" si="75"/>
        <v>58.352283163569368</v>
      </c>
      <c r="EZ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367.99999999999972</v>
      </c>
      <c r="FF94" s="17">
        <f>FE94*VLOOKUP('Données projet'!$B$16,Paramètres!$A$1:$I$89,3,0)*VLOOKUP('Données projet'!$B$16,Paramètres!$A$1:$I$89,5,0)</f>
        <v>292.78079999999977</v>
      </c>
      <c r="FG94" s="13">
        <f t="shared" si="101"/>
        <v>69.660903052386217</v>
      </c>
      <c r="FH94" s="20">
        <f t="shared" si="76"/>
        <v>631.25263281623893</v>
      </c>
      <c r="FI94" s="59">
        <f t="shared" si="77"/>
        <v>924.58596614957219</v>
      </c>
      <c r="FJ94" s="59">
        <f ca="1">AVERAGE(OFFSET($FI$3,0,0,'Données projet'!$E$16+1,1))-AVERAGE(OFFSET($H$3,0,0,'Données projet'!$E$16+1,1))</f>
        <v>331.52724290297675</v>
      </c>
      <c r="FK94" s="59">
        <f t="shared" si="102"/>
        <v>322.79102610158054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49.568033547834709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49.568033547834709</v>
      </c>
      <c r="FU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852.00000000000011</v>
      </c>
      <c r="GA94" s="17">
        <f>FZ94*VLOOKUP('Données projet'!$B$17,Paramètres!$A$1:$I$89,3,0)*VLOOKUP('Données projet'!$B$17,Paramètres!$A$1:$I$89,5,0)</f>
        <v>420.88800000000009</v>
      </c>
      <c r="GB94" s="13">
        <f t="shared" si="103"/>
        <v>95.998759891259041</v>
      </c>
      <c r="GC94" s="20">
        <f t="shared" si="79"/>
        <v>900.24444014394294</v>
      </c>
      <c r="GD94" s="59">
        <f t="shared" si="80"/>
        <v>1193.5777734772762</v>
      </c>
      <c r="GE94" s="59">
        <f ca="1">AVERAGE(OFFSET($GD$3,0,0,'Données projet'!$E$17+1,1))-AVERAGE(OFFSET($H$3,0,0,'Données projet'!$E$17+1,1))</f>
        <v>434.08297999735811</v>
      </c>
      <c r="GF94" s="59">
        <f t="shared" si="104"/>
        <v>371.04090283546122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127.88853414625247</v>
      </c>
      <c r="GM94" s="21">
        <f>EXP(-LN(2)/25)*GM93+(1-EXP(-LN(2)/25))/(LN(2)/25)*Calculateur!GH94*Calculateur!GJ94*VLOOKUP('Données projet'!$B$17,Paramètres!$A$1:$I$89,3,0)*0.475*44/12</f>
        <v>9.5290942983075499</v>
      </c>
      <c r="GN94" s="21">
        <f>EXP(-LN(2)/2)*GN93+(1-EXP(-LN(2)/2))/(LN(2)/2)*GH94*GK94*VLOOKUP('Données projet'!$B$17,Paramètres!$A$1:$I$89,3,0)*0.475*44/12</f>
        <v>4.9495543514577254E-10</v>
      </c>
      <c r="GO94" s="21">
        <f t="shared" si="81"/>
        <v>137.41762844505499</v>
      </c>
      <c r="GP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7.4</v>
      </c>
      <c r="GU94" s="12">
        <f>IF('Données projet'!$A$270&gt;35,GU93+GT94-HC93,IF(A94&lt;'Données projet'!$A$270,$GR$205^A94,IF(A94='Données projet'!$A$270,'Données projet'!$B$270,GU93+GT94-HC93)))</f>
        <v>589.39999999999986</v>
      </c>
      <c r="GV94" s="17">
        <f>GU94*VLOOKUP('Données projet'!$B$18,Paramètres!$A$1:$I$89,3,0)*VLOOKUP('Données projet'!$B$18,Paramètres!$A$1:$I$89,5,0)</f>
        <v>337.13679999999994</v>
      </c>
      <c r="GW94" s="13">
        <f t="shared" si="105"/>
        <v>78.908100332627868</v>
      </c>
      <c r="GX94" s="20">
        <f t="shared" si="82"/>
        <v>724.61153474599348</v>
      </c>
      <c r="GY94" s="59">
        <f t="shared" si="83"/>
        <v>1017.9448680793269</v>
      </c>
      <c r="GZ94" s="59">
        <f ca="1">AVERAGE(OFFSET($GY$3,0,0,'Données projet'!$E$18+1,1))-AVERAGE(OFFSET($H$3,0,0,'Données projet'!$E$18+1,1))</f>
        <v>362.57172983134313</v>
      </c>
      <c r="HA94" s="59">
        <f t="shared" si="106"/>
        <v>232.03250917542471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89.609404130739279</v>
      </c>
      <c r="HH94" s="21">
        <f>EXP(-LN(2)/25)*HH93+(1-EXP(-LN(2)/25))/(LN(2)/25)*Calculateur!HC94*Calculateur!HE94*VLOOKUP('Données projet'!$B$18,Paramètres!$A$1:$I$89,3,0)*0.475*44/12</f>
        <v>5.7448128305586197</v>
      </c>
      <c r="HI94" s="21">
        <f>EXP(-LN(2)/2)*HI93+(1-EXP(-LN(2)/2))/(LN(2)/2)*HC94*HF94*VLOOKUP('Données projet'!$B$18,Paramètres!$A$1:$I$89,3,0)*0.475*44/12</f>
        <v>4.9313797332761171E-10</v>
      </c>
      <c r="HJ94" s="22">
        <f t="shared" si="84"/>
        <v>95.354216961791025</v>
      </c>
    </row>
    <row r="95" spans="1:218" x14ac:dyDescent="0.3">
      <c r="A95" s="10">
        <f t="shared" si="85"/>
        <v>92</v>
      </c>
      <c r="B95" s="71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5">
        <f t="shared" si="56"/>
        <v>393.25436784727196</v>
      </c>
      <c r="I95" s="6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266.99999999999983</v>
      </c>
      <c r="O95" s="13">
        <f>N95*VLOOKUP('Données projet'!$B$9,Paramètres!$A$1:$I$89,3,0)*VLOOKUP('Données projet'!$B$9,Paramètres!$A$1:$I$89,5,0)</f>
        <v>212.42519999999985</v>
      </c>
      <c r="P95" s="13">
        <f t="shared" si="87"/>
        <v>52.465198231787184</v>
      </c>
      <c r="Q95" s="20">
        <f t="shared" si="54"/>
        <v>461.35077692036231</v>
      </c>
      <c r="R95" s="59">
        <f t="shared" si="55"/>
        <v>754.68411025369562</v>
      </c>
      <c r="S95" s="59">
        <f ca="1">AVERAGE(OFFSET($R$3,0,0,'Données projet'!$E$9+1,1))-AVERAGE(OFFSET($H$3,0,0,'Données projet'!$E$9+1,1))</f>
        <v>225.2323446080772</v>
      </c>
      <c r="T95" s="59">
        <f t="shared" si="88"/>
        <v>222.29030402759292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34.209529756208802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34.209529756208802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732.99999999999966</v>
      </c>
      <c r="AJ95" s="13">
        <f>AI95*VLOOKUP('Données projet'!$B$10,Paramètres!$A$1:$I$89,3,0)*VLOOKUP('Données projet'!$B$10,Paramètres!$A$1:$I$89,5,0)</f>
        <v>362.1019999999998</v>
      </c>
      <c r="AK95" s="13">
        <f t="shared" si="89"/>
        <v>84.049487364732272</v>
      </c>
      <c r="AL95" s="20">
        <f t="shared" si="58"/>
        <v>777.04717382690842</v>
      </c>
      <c r="AM95" s="59">
        <f t="shared" si="59"/>
        <v>1070.3805071602417</v>
      </c>
      <c r="AN95" s="59">
        <f ca="1">AVERAGE(OFFSET($AM$3,0,0,'Données projet'!$E$10+1,1))-AVERAGE(OFFSET($H$3,0,0,'Données projet'!$E$10+1,1))</f>
        <v>360.05819346986135</v>
      </c>
      <c r="AO95" s="59">
        <f t="shared" si="90"/>
        <v>300.47468388351081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102.4453747660795</v>
      </c>
      <c r="AV95" s="21">
        <f>EXP(-LN(2)/25)*AV94+(1-EXP(-LN(2)/25))/(LN(2)/25)*Calculateur!AQ95*Calculateur!AS95*VLOOKUP('Données projet'!$B$10,Paramètres!$A$1:$I$89,3,0)*0.475*44/12</f>
        <v>7.5833351293148432</v>
      </c>
      <c r="AW95" s="21">
        <f>EXP(-LN(2)/2)*AW94+(1-EXP(-LN(2)/2))/(LN(2)/2)*AQ95*AT95*VLOOKUP('Données projet'!$B$10,Paramètres!$A$1:$I$89,3,0)*0.475*44/12</f>
        <v>2.4417651947212616E-11</v>
      </c>
      <c r="AX95" s="21">
        <f t="shared" si="60"/>
        <v>110.02870989541876</v>
      </c>
      <c r="AY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</v>
      </c>
      <c r="BD95" s="12">
        <f>IF('Données projet'!$A$88&gt;35,BD94+BC95-BL94,IF(A95&lt;'Données projet'!$A$88,$BA$205^A95,IF(A95='Données projet'!$A$88,'Données projet'!$B$88,BD94+BC95-BL94)))</f>
        <v>449.00000000000006</v>
      </c>
      <c r="BE95" s="13">
        <f>BD95*VLOOKUP('Données projet'!$B$11,Paramètres!$A$1:$I$89,3,0)*VLOOKUP('Données projet'!$B$11,Paramètres!$A$1:$I$89,5,0)</f>
        <v>256.82800000000003</v>
      </c>
      <c r="BF95" s="13">
        <f t="shared" si="91"/>
        <v>62.045753457776321</v>
      </c>
      <c r="BG95" s="20">
        <f t="shared" si="61"/>
        <v>555.37178727229377</v>
      </c>
      <c r="BH95" s="59">
        <f t="shared" si="62"/>
        <v>848.70512060562714</v>
      </c>
      <c r="BI95" s="59">
        <f ca="1">AVERAGE(OFFSET($BH$3,0,0,'Données projet'!$E$11+1,1))-AVERAGE(OFFSET($H$3,0,0,'Données projet'!$E$11+1,1))</f>
        <v>250.90038883668348</v>
      </c>
      <c r="BJ95" s="59">
        <f t="shared" si="92"/>
        <v>141.96132114475608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68.225050615200459</v>
      </c>
      <c r="BQ95" s="21">
        <f>EXP(-LN(2)/25)*BQ94+(1-EXP(-LN(2)/25))/(LN(2)/25)*Calculateur!BL95*Calculateur!BN95*VLOOKUP('Données projet'!$B$11,Paramètres!$A$1:$I$89,3,0)*0.475*44/12</f>
        <v>2.1337188599680861</v>
      </c>
      <c r="BR95" s="21">
        <f>EXP(-LN(2)/2)*BR94+(1-EXP(-LN(2)/2))/(LN(2)/2)*BL95*BO95*VLOOKUP('Données projet'!$B$11,Paramètres!$A$1:$I$89,3,0)*0.475*44/12</f>
        <v>1.7593030399795955E-9</v>
      </c>
      <c r="BS95" s="22">
        <f t="shared" si="63"/>
        <v>70.358769476927847</v>
      </c>
      <c r="BT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319</v>
      </c>
      <c r="BZ95" s="13">
        <f>BY95*VLOOKUP('Données projet'!$B$12,Paramètres!$A$1:$I$89,3,0)*VLOOKUP('Données projet'!$B$12,Paramètres!$A$1:$I$89,5,0)</f>
        <v>253.79640000000001</v>
      </c>
      <c r="CA95" s="13">
        <f t="shared" si="93"/>
        <v>61.39816832228076</v>
      </c>
      <c r="CB95" s="20">
        <f t="shared" si="64"/>
        <v>548.96387316130563</v>
      </c>
      <c r="CC95" s="59">
        <f t="shared" si="65"/>
        <v>842.29720649463889</v>
      </c>
      <c r="CD95" s="59">
        <f ca="1">AVERAGE(OFFSET($CC$3,0,0,'Données projet'!$E$12+1,1))-AVERAGE(OFFSET($H$3,0,0,'Données projet'!$E$12+1,1))</f>
        <v>279.49721661620544</v>
      </c>
      <c r="CE95" s="59">
        <f t="shared" si="94"/>
        <v>275.18739333988754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41.921998767241035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41.921998767241035</v>
      </c>
      <c r="CO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789</v>
      </c>
      <c r="CU95" s="17">
        <f>CT95*VLOOKUP('Données projet'!$B$13,Paramètres!$A$1:$I$89,3,0)*VLOOKUP('Données projet'!$B$13,Paramètres!$A$1:$I$89,5,0)</f>
        <v>389.76600000000002</v>
      </c>
      <c r="CV95" s="13">
        <f t="shared" si="95"/>
        <v>89.698759503620408</v>
      </c>
      <c r="CW95" s="20">
        <f t="shared" si="67"/>
        <v>835.06778946880547</v>
      </c>
      <c r="CX95" s="59">
        <f t="shared" si="68"/>
        <v>1128.4011228021388</v>
      </c>
      <c r="CY95" s="59">
        <f ca="1">AVERAGE(OFFSET($CX$3,0,0,'Données projet'!$E$13+1,1))-AVERAGE(OFFSET($H$3,0,0,'Données projet'!$E$13+1,1))</f>
        <v>396.27049617044378</v>
      </c>
      <c r="CZ95" s="59">
        <f t="shared" si="96"/>
        <v>335.2680289568774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113.64225325121802</v>
      </c>
      <c r="DG95" s="21">
        <f>EXP(-LN(2)/25)*DG94+(1-EXP(-LN(2)/25))/(LN(2)/25)*Calculateur!DB95*Calculateur!DD95*VLOOKUP('Données projet'!$B$13,Paramètres!$A$1:$I$89,3,0)*0.475*44/12</f>
        <v>8.4259279214609393</v>
      </c>
      <c r="DH95" s="21">
        <f>EXP(-LN(2)/2)*DH94+(1-EXP(-LN(2)/2))/(LN(2)/2)*DB95*DE95*VLOOKUP('Données projet'!$B$13,Paramètres!$A$1:$I$89,3,0)*0.475*44/12</f>
        <v>1.7906278094622597E-10</v>
      </c>
      <c r="DI95" s="22">
        <f t="shared" si="69"/>
        <v>122.06818117285802</v>
      </c>
      <c r="DJ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6.2</v>
      </c>
      <c r="DO95" s="12">
        <f>IF('Données projet'!$A$166&gt;35,DO94+DN95-DW94,IF(A95&lt;'Données projet'!$A$166,$DL$205^A95,IF(A95='Données projet'!$A$166,'Données projet'!$B$166,DO94+DN95-DW94)))</f>
        <v>524.39999999999952</v>
      </c>
      <c r="DP95" s="17">
        <f>DO95*VLOOKUP('Données projet'!$B$14,Paramètres!$A$1:$I$89,3,0)*VLOOKUP('Données projet'!$B$14,Paramètres!$A$1:$I$89,5,0)</f>
        <v>299.95679999999976</v>
      </c>
      <c r="DQ95" s="13">
        <f t="shared" si="97"/>
        <v>71.167407020454192</v>
      </c>
      <c r="DR95" s="20">
        <f t="shared" si="70"/>
        <v>646.37466056062397</v>
      </c>
      <c r="DS95" s="59">
        <f t="shared" si="71"/>
        <v>939.70799389395734</v>
      </c>
      <c r="DT95" s="59">
        <f ca="1">AVERAGE(OFFSET($DS$3,0,0,'Données projet'!$E$14+1,1))-AVERAGE(OFFSET($H$3,0,0,'Données projet'!$E$14+1,1))</f>
        <v>307.43900954374504</v>
      </c>
      <c r="DU95" s="59">
        <f t="shared" si="98"/>
        <v>185.25270859048999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78.200688102322971</v>
      </c>
      <c r="EB95" s="21">
        <f>EXP(-LN(2)/25)*EB94+(1-EXP(-LN(2)/25))/(LN(2)/25)*Calculateur!DW95*Calculateur!DY95*VLOOKUP('Données projet'!$B$14,Paramètres!$A$1:$I$89,3,0)*0.475*44/12</f>
        <v>4.7894748185146376</v>
      </c>
      <c r="EC95" s="21">
        <f>EXP(-LN(2)/2)*EC94+(1-EXP(-LN(2)/2))/(LN(2)/2)*DW95*DZ95*VLOOKUP('Données projet'!$B$14,Paramètres!$A$1:$I$89,3,0)*0.475*44/12</f>
        <v>1.6963842405431926E-10</v>
      </c>
      <c r="ED95" s="22">
        <f t="shared" si="72"/>
        <v>82.99016292100724</v>
      </c>
      <c r="EE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401</v>
      </c>
      <c r="EK95" s="17">
        <f>EJ95*VLOOKUP('Données projet'!$B$15,Paramètres!$A$1:$I$89,3,0)*VLOOKUP('Données projet'!$B$15,Paramètres!$A$1:$I$89,5,0)</f>
        <v>250.22399999999999</v>
      </c>
      <c r="EL95" s="13">
        <f t="shared" si="99"/>
        <v>60.633904580527918</v>
      </c>
      <c r="EM95" s="20">
        <f t="shared" si="73"/>
        <v>541.41085047775289</v>
      </c>
      <c r="EN95" s="59">
        <f t="shared" si="74"/>
        <v>834.74418381108626</v>
      </c>
      <c r="EO95" s="59">
        <f ca="1">AVERAGE(OFFSET($EN$3,0,0,'Données projet'!$E$15+1,1))-AVERAGE(OFFSET($H$3,0,0,'Données projet'!$E$15+1,1))</f>
        <v>269.77739619445515</v>
      </c>
      <c r="EP95" s="59">
        <f t="shared" si="100"/>
        <v>347.56964743629885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40.632972133392265</v>
      </c>
      <c r="EW95" s="21">
        <f>EXP(-LN(2)/25)*EW94+(1-EXP(-LN(2)/25))/(LN(2)/25)*Calculateur!ER95*Calculateur!ET95*VLOOKUP('Données projet'!$B$15,Paramètres!$A$1:$I$89,3,0)*0.475*44/12</f>
        <v>16.444274703429219</v>
      </c>
      <c r="EX95" s="21">
        <f>EXP(-LN(2)/2)*EX94+(1-EXP(-LN(2)/2))/(LN(2)/2)*ER95*EU95*VLOOKUP('Données projet'!$B$15,Paramètres!$A$1:$I$89,3,0)*0.475*44/12</f>
        <v>1.156625618552177E-11</v>
      </c>
      <c r="EY95" s="22">
        <f t="shared" si="75"/>
        <v>57.077246836833055</v>
      </c>
      <c r="EZ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367.99999999999972</v>
      </c>
      <c r="FF95" s="17">
        <f>FE95*VLOOKUP('Données projet'!$B$16,Paramètres!$A$1:$I$89,3,0)*VLOOKUP('Données projet'!$B$16,Paramètres!$A$1:$I$89,5,0)</f>
        <v>292.78079999999977</v>
      </c>
      <c r="FG95" s="13">
        <f t="shared" si="101"/>
        <v>69.660903052386217</v>
      </c>
      <c r="FH95" s="20">
        <f t="shared" si="76"/>
        <v>631.25263281623893</v>
      </c>
      <c r="FI95" s="59">
        <f t="shared" si="77"/>
        <v>924.58596614957219</v>
      </c>
      <c r="FJ95" s="59">
        <f ca="1">AVERAGE(OFFSET($FI$3,0,0,'Données projet'!$E$16+1,1))-AVERAGE(OFFSET($H$3,0,0,'Données projet'!$E$16+1,1))</f>
        <v>331.52724290297675</v>
      </c>
      <c r="FK95" s="59">
        <f t="shared" si="102"/>
        <v>322.79102610158054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48.59603464347682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48.59603464347682</v>
      </c>
      <c r="FU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852.00000000000011</v>
      </c>
      <c r="GA95" s="17">
        <f>FZ95*VLOOKUP('Données projet'!$B$17,Paramètres!$A$1:$I$89,3,0)*VLOOKUP('Données projet'!$B$17,Paramètres!$A$1:$I$89,5,0)</f>
        <v>420.88800000000009</v>
      </c>
      <c r="GB95" s="13">
        <f t="shared" si="103"/>
        <v>95.998759891259041</v>
      </c>
      <c r="GC95" s="20">
        <f t="shared" si="79"/>
        <v>900.24444014394294</v>
      </c>
      <c r="GD95" s="59">
        <f t="shared" si="80"/>
        <v>1193.5777734772762</v>
      </c>
      <c r="GE95" s="59">
        <f ca="1">AVERAGE(OFFSET($GD$3,0,0,'Données projet'!$E$17+1,1))-AVERAGE(OFFSET($H$3,0,0,'Données projet'!$E$17+1,1))</f>
        <v>434.08297999735811</v>
      </c>
      <c r="GF95" s="59">
        <f t="shared" si="104"/>
        <v>371.04090283546122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125.380717995948</v>
      </c>
      <c r="GM95" s="21">
        <f>EXP(-LN(2)/25)*GM94+(1-EXP(-LN(2)/25))/(LN(2)/25)*Calculateur!GH95*Calculateur!GJ95*VLOOKUP('Données projet'!$B$17,Paramètres!$A$1:$I$89,3,0)*0.475*44/12</f>
        <v>9.2685207136070407</v>
      </c>
      <c r="GN95" s="21">
        <f>EXP(-LN(2)/2)*GN94+(1-EXP(-LN(2)/2))/(LN(2)/2)*GH95*GK95*VLOOKUP('Données projet'!$B$17,Paramètres!$A$1:$I$89,3,0)*0.475*44/12</f>
        <v>3.4998634457671421E-10</v>
      </c>
      <c r="GO95" s="21">
        <f t="shared" si="81"/>
        <v>134.64923870990503</v>
      </c>
      <c r="GP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7.4</v>
      </c>
      <c r="GU95" s="12">
        <f>IF('Données projet'!$A$270&gt;35,GU94+GT95-HC94,IF(A95&lt;'Données projet'!$A$270,$GR$205^A95,IF(A95='Données projet'!$A$270,'Données projet'!$B$270,GU94+GT95-HC94)))</f>
        <v>596.79999999999984</v>
      </c>
      <c r="GV95" s="17">
        <f>GU95*VLOOKUP('Données projet'!$B$18,Paramètres!$A$1:$I$89,3,0)*VLOOKUP('Données projet'!$B$18,Paramètres!$A$1:$I$89,5,0)</f>
        <v>341.36959999999993</v>
      </c>
      <c r="GW95" s="13">
        <f t="shared" si="105"/>
        <v>79.782848212487011</v>
      </c>
      <c r="GX95" s="20">
        <f t="shared" si="82"/>
        <v>733.5071806367481</v>
      </c>
      <c r="GY95" s="59">
        <f t="shared" si="83"/>
        <v>1026.8405139700815</v>
      </c>
      <c r="GZ95" s="59">
        <f ca="1">AVERAGE(OFFSET($GY$3,0,0,'Données projet'!$E$18+1,1))-AVERAGE(OFFSET($H$3,0,0,'Données projet'!$E$18+1,1))</f>
        <v>362.57172983134313</v>
      </c>
      <c r="HA95" s="59">
        <f t="shared" si="106"/>
        <v>232.03250917542471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87.852218372075143</v>
      </c>
      <c r="HH95" s="21">
        <f>EXP(-LN(2)/25)*HH94+(1-EXP(-LN(2)/25))/(LN(2)/25)*Calculateur!HC95*Calculateur!HE95*VLOOKUP('Données projet'!$B$18,Paramètres!$A$1:$I$89,3,0)*0.475*44/12</f>
        <v>5.5877206216004174</v>
      </c>
      <c r="HI95" s="21">
        <f>EXP(-LN(2)/2)*HI94+(1-EXP(-LN(2)/2))/(LN(2)/2)*HC95*HF95*VLOOKUP('Données projet'!$B$18,Paramètres!$A$1:$I$89,3,0)*0.475*44/12</f>
        <v>3.4870120500054505E-10</v>
      </c>
      <c r="HJ95" s="22">
        <f t="shared" si="84"/>
        <v>93.43993899402426</v>
      </c>
    </row>
    <row r="96" spans="1:218" x14ac:dyDescent="0.3">
      <c r="A96" s="10">
        <f t="shared" si="85"/>
        <v>93</v>
      </c>
      <c r="B96" s="71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5">
        <f t="shared" si="56"/>
        <v>394.311419081606</v>
      </c>
      <c r="I96" s="6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266.99999999999983</v>
      </c>
      <c r="O96" s="13">
        <f>N96*VLOOKUP('Données projet'!$B$9,Paramètres!$A$1:$I$89,3,0)*VLOOKUP('Données projet'!$B$9,Paramètres!$A$1:$I$89,5,0)</f>
        <v>212.42519999999985</v>
      </c>
      <c r="P96" s="13">
        <f t="shared" si="87"/>
        <v>52.465198231787184</v>
      </c>
      <c r="Q96" s="20">
        <f t="shared" si="54"/>
        <v>461.35077692036231</v>
      </c>
      <c r="R96" s="59">
        <f t="shared" si="55"/>
        <v>754.68411025369562</v>
      </c>
      <c r="S96" s="59">
        <f ca="1">AVERAGE(OFFSET($R$3,0,0,'Données projet'!$E$9+1,1))-AVERAGE(OFFSET($H$3,0,0,'Données projet'!$E$9+1,1))</f>
        <v>225.2323446080772</v>
      </c>
      <c r="T96" s="59">
        <f t="shared" si="88"/>
        <v>222.29030402759292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33.538701743442374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33.538701743442374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732.99999999999966</v>
      </c>
      <c r="AJ96" s="13">
        <f>AI96*VLOOKUP('Données projet'!$B$10,Paramètres!$A$1:$I$89,3,0)*VLOOKUP('Données projet'!$B$10,Paramètres!$A$1:$I$89,5,0)</f>
        <v>362.1019999999998</v>
      </c>
      <c r="AK96" s="13">
        <f t="shared" si="89"/>
        <v>84.049487364732272</v>
      </c>
      <c r="AL96" s="20">
        <f t="shared" si="58"/>
        <v>777.04717382690842</v>
      </c>
      <c r="AM96" s="59">
        <f t="shared" si="59"/>
        <v>1070.3805071602417</v>
      </c>
      <c r="AN96" s="59">
        <f ca="1">AVERAGE(OFFSET($AM$3,0,0,'Données projet'!$E$10+1,1))-AVERAGE(OFFSET($H$3,0,0,'Données projet'!$E$10+1,1))</f>
        <v>360.05819346986135</v>
      </c>
      <c r="AO96" s="59">
        <f t="shared" si="90"/>
        <v>300.47468388351081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100.43648345242535</v>
      </c>
      <c r="AV96" s="21">
        <f>EXP(-LN(2)/25)*AV95+(1-EXP(-LN(2)/25))/(LN(2)/25)*Calculateur!AQ96*Calculateur!AS96*VLOOKUP('Données projet'!$B$10,Paramètres!$A$1:$I$89,3,0)*0.475*44/12</f>
        <v>7.3759684314134661</v>
      </c>
      <c r="AW96" s="21">
        <f>EXP(-LN(2)/2)*AW95+(1-EXP(-LN(2)/2))/(LN(2)/2)*AQ96*AT96*VLOOKUP('Données projet'!$B$10,Paramètres!$A$1:$I$89,3,0)*0.475*44/12</f>
        <v>1.7265887272526947E-11</v>
      </c>
      <c r="AX96" s="21">
        <f t="shared" si="60"/>
        <v>107.81245188385608</v>
      </c>
      <c r="AY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</v>
      </c>
      <c r="BD96" s="12">
        <f>IF('Données projet'!$A$88&gt;35,BD95+BC96-BL95,IF(A96&lt;'Données projet'!$A$88,$BA$205^A96,IF(A96='Données projet'!$A$88,'Données projet'!$B$88,BD95+BC96-BL95)))</f>
        <v>455.00000000000006</v>
      </c>
      <c r="BE96" s="13">
        <f>BD96*VLOOKUP('Données projet'!$B$11,Paramètres!$A$1:$I$89,3,0)*VLOOKUP('Données projet'!$B$11,Paramètres!$A$1:$I$89,5,0)</f>
        <v>260.26000000000005</v>
      </c>
      <c r="BF96" s="13">
        <f t="shared" si="91"/>
        <v>62.777796224993523</v>
      </c>
      <c r="BG96" s="20">
        <f t="shared" si="61"/>
        <v>562.62416175853048</v>
      </c>
      <c r="BH96" s="59">
        <f t="shared" si="62"/>
        <v>855.95749509186385</v>
      </c>
      <c r="BI96" s="59">
        <f ca="1">AVERAGE(OFFSET($BH$3,0,0,'Données projet'!$E$11+1,1))-AVERAGE(OFFSET($H$3,0,0,'Données projet'!$E$11+1,1))</f>
        <v>250.90038883668348</v>
      </c>
      <c r="BJ96" s="59">
        <f t="shared" si="92"/>
        <v>141.96132114475608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66.887198985808297</v>
      </c>
      <c r="BQ96" s="21">
        <f>EXP(-LN(2)/25)*BQ95+(1-EXP(-LN(2)/25))/(LN(2)/25)*Calculateur!BL96*Calculateur!BN96*VLOOKUP('Données projet'!$B$11,Paramètres!$A$1:$I$89,3,0)*0.475*44/12</f>
        <v>2.0753722055348605</v>
      </c>
      <c r="BR96" s="21">
        <f>EXP(-LN(2)/2)*BR95+(1-EXP(-LN(2)/2))/(LN(2)/2)*BL96*BO96*VLOOKUP('Données projet'!$B$11,Paramètres!$A$1:$I$89,3,0)*0.475*44/12</f>
        <v>1.2440151097316797E-9</v>
      </c>
      <c r="BS96" s="22">
        <f t="shared" si="63"/>
        <v>68.962571192587177</v>
      </c>
      <c r="BT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319</v>
      </c>
      <c r="BZ96" s="13">
        <f>BY96*VLOOKUP('Données projet'!$B$12,Paramètres!$A$1:$I$89,3,0)*VLOOKUP('Données projet'!$B$12,Paramètres!$A$1:$I$89,5,0)</f>
        <v>253.79640000000001</v>
      </c>
      <c r="CA96" s="13">
        <f t="shared" si="93"/>
        <v>61.39816832228076</v>
      </c>
      <c r="CB96" s="20">
        <f t="shared" si="64"/>
        <v>548.96387316130563</v>
      </c>
      <c r="CC96" s="59">
        <f t="shared" si="65"/>
        <v>842.29720649463889</v>
      </c>
      <c r="CD96" s="59">
        <f ca="1">AVERAGE(OFFSET($CC$3,0,0,'Données projet'!$E$12+1,1))-AVERAGE(OFFSET($H$3,0,0,'Données projet'!$E$12+1,1))</f>
        <v>279.49721661620544</v>
      </c>
      <c r="CE96" s="59">
        <f t="shared" si="94"/>
        <v>275.18739333988754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41.099933941309871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41.099933941309871</v>
      </c>
      <c r="CO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789</v>
      </c>
      <c r="CU96" s="17">
        <f>CT96*VLOOKUP('Données projet'!$B$13,Paramètres!$A$1:$I$89,3,0)*VLOOKUP('Données projet'!$B$13,Paramètres!$A$1:$I$89,5,0)</f>
        <v>389.76600000000002</v>
      </c>
      <c r="CV96" s="13">
        <f t="shared" si="95"/>
        <v>89.698759503620408</v>
      </c>
      <c r="CW96" s="20">
        <f t="shared" si="67"/>
        <v>835.06778946880547</v>
      </c>
      <c r="CX96" s="59">
        <f t="shared" si="68"/>
        <v>1128.4011228021388</v>
      </c>
      <c r="CY96" s="59">
        <f ca="1">AVERAGE(OFFSET($CX$3,0,0,'Données projet'!$E$13+1,1))-AVERAGE(OFFSET($H$3,0,0,'Données projet'!$E$13+1,1))</f>
        <v>396.27049617044378</v>
      </c>
      <c r="CZ96" s="59">
        <f t="shared" si="96"/>
        <v>335.2680289568774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111.41379797989184</v>
      </c>
      <c r="DG96" s="21">
        <f>EXP(-LN(2)/25)*DG95+(1-EXP(-LN(2)/25))/(LN(2)/25)*Calculateur!DB96*Calculateur!DD96*VLOOKUP('Données projet'!$B$13,Paramètres!$A$1:$I$89,3,0)*0.475*44/12</f>
        <v>8.1955204793482981</v>
      </c>
      <c r="DH96" s="21">
        <f>EXP(-LN(2)/2)*DH95+(1-EXP(-LN(2)/2))/(LN(2)/2)*DB96*DE96*VLOOKUP('Données projet'!$B$13,Paramètres!$A$1:$I$89,3,0)*0.475*44/12</f>
        <v>1.266165066651977E-10</v>
      </c>
      <c r="DI96" s="22">
        <f t="shared" si="69"/>
        <v>119.60931845936676</v>
      </c>
      <c r="DJ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6.2</v>
      </c>
      <c r="DO96" s="12">
        <f>IF('Données projet'!$A$166&gt;35,DO95+DN96-DW95,IF(A96&lt;'Données projet'!$A$166,$DL$205^A96,IF(A96='Données projet'!$A$166,'Données projet'!$B$166,DO95+DN96-DW95)))</f>
        <v>530.59999999999957</v>
      </c>
      <c r="DP96" s="17">
        <f>DO96*VLOOKUP('Données projet'!$B$14,Paramètres!$A$1:$I$89,3,0)*VLOOKUP('Données projet'!$B$14,Paramètres!$A$1:$I$89,5,0)</f>
        <v>303.50319999999977</v>
      </c>
      <c r="DQ96" s="13">
        <f t="shared" si="97"/>
        <v>71.910371793603048</v>
      </c>
      <c r="DR96" s="20">
        <f t="shared" si="70"/>
        <v>653.84530420719159</v>
      </c>
      <c r="DS96" s="59">
        <f t="shared" si="71"/>
        <v>947.17863754052496</v>
      </c>
      <c r="DT96" s="59">
        <f ca="1">AVERAGE(OFFSET($DS$3,0,0,'Données projet'!$E$14+1,1))-AVERAGE(OFFSET($H$3,0,0,'Données projet'!$E$14+1,1))</f>
        <v>307.43900954374504</v>
      </c>
      <c r="DU96" s="59">
        <f t="shared" si="98"/>
        <v>185.25270859048999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76.667220306346408</v>
      </c>
      <c r="EB96" s="21">
        <f>EXP(-LN(2)/25)*EB95+(1-EXP(-LN(2)/25))/(LN(2)/25)*Calculateur!DW96*Calculateur!DY96*VLOOKUP('Données projet'!$B$14,Paramètres!$A$1:$I$89,3,0)*0.475*44/12</f>
        <v>4.6585063777348203</v>
      </c>
      <c r="EC96" s="21">
        <f>EXP(-LN(2)/2)*EC95+(1-EXP(-LN(2)/2))/(LN(2)/2)*DW96*DZ96*VLOOKUP('Données projet'!$B$14,Paramètres!$A$1:$I$89,3,0)*0.475*44/12</f>
        <v>1.1995247999860829E-10</v>
      </c>
      <c r="ED96" s="22">
        <f t="shared" si="72"/>
        <v>81.325726684201186</v>
      </c>
      <c r="EE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401</v>
      </c>
      <c r="EK96" s="17">
        <f>EJ96*VLOOKUP('Données projet'!$B$15,Paramètres!$A$1:$I$89,3,0)*VLOOKUP('Données projet'!$B$15,Paramètres!$A$1:$I$89,5,0)</f>
        <v>250.22399999999999</v>
      </c>
      <c r="EL96" s="13">
        <f t="shared" si="99"/>
        <v>60.633904580527918</v>
      </c>
      <c r="EM96" s="20">
        <f t="shared" si="73"/>
        <v>541.41085047775289</v>
      </c>
      <c r="EN96" s="59">
        <f t="shared" si="74"/>
        <v>834.74418381108626</v>
      </c>
      <c r="EO96" s="59">
        <f ca="1">AVERAGE(OFFSET($EN$3,0,0,'Données projet'!$E$15+1,1))-AVERAGE(OFFSET($H$3,0,0,'Données projet'!$E$15+1,1))</f>
        <v>269.77739619445515</v>
      </c>
      <c r="EP96" s="59">
        <f t="shared" si="100"/>
        <v>347.56964743629885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39.836184333522262</v>
      </c>
      <c r="EW96" s="21">
        <f>EXP(-LN(2)/25)*EW95+(1-EXP(-LN(2)/25))/(LN(2)/25)*Calculateur!ER96*Calculateur!ET96*VLOOKUP('Données projet'!$B$15,Paramètres!$A$1:$I$89,3,0)*0.475*44/12</f>
        <v>15.994605146897124</v>
      </c>
      <c r="EX96" s="21">
        <f>EXP(-LN(2)/2)*EX95+(1-EXP(-LN(2)/2))/(LN(2)/2)*ER96*EU96*VLOOKUP('Données projet'!$B$15,Paramètres!$A$1:$I$89,3,0)*0.475*44/12</f>
        <v>8.1785781817232936E-12</v>
      </c>
      <c r="EY96" s="22">
        <f t="shared" si="75"/>
        <v>55.830789480427562</v>
      </c>
      <c r="EZ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367.99999999999972</v>
      </c>
      <c r="FF96" s="17">
        <f>FE96*VLOOKUP('Données projet'!$B$16,Paramètres!$A$1:$I$89,3,0)*VLOOKUP('Données projet'!$B$16,Paramètres!$A$1:$I$89,5,0)</f>
        <v>292.78079999999977</v>
      </c>
      <c r="FG96" s="13">
        <f t="shared" si="101"/>
        <v>69.660903052386217</v>
      </c>
      <c r="FH96" s="20">
        <f t="shared" si="76"/>
        <v>631.25263281623893</v>
      </c>
      <c r="FI96" s="59">
        <f t="shared" si="77"/>
        <v>924.58596614957219</v>
      </c>
      <c r="FJ96" s="59">
        <f ca="1">AVERAGE(OFFSET($FI$3,0,0,'Données projet'!$E$16+1,1))-AVERAGE(OFFSET($H$3,0,0,'Données projet'!$E$16+1,1))</f>
        <v>331.52724290297675</v>
      </c>
      <c r="FK96" s="59">
        <f t="shared" si="102"/>
        <v>322.79102610158054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47.643096044772598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47.643096044772598</v>
      </c>
      <c r="FU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852.00000000000011</v>
      </c>
      <c r="GA96" s="17">
        <f>FZ96*VLOOKUP('Données projet'!$B$17,Paramètres!$A$1:$I$89,3,0)*VLOOKUP('Données projet'!$B$17,Paramètres!$A$1:$I$89,5,0)</f>
        <v>420.88800000000009</v>
      </c>
      <c r="GB96" s="13">
        <f t="shared" si="103"/>
        <v>95.998759891259041</v>
      </c>
      <c r="GC96" s="20">
        <f t="shared" si="79"/>
        <v>900.24444014394294</v>
      </c>
      <c r="GD96" s="59">
        <f t="shared" si="80"/>
        <v>1193.5777734772762</v>
      </c>
      <c r="GE96" s="59">
        <f ca="1">AVERAGE(OFFSET($GD$3,0,0,'Données projet'!$E$17+1,1))-AVERAGE(OFFSET($H$3,0,0,'Données projet'!$E$17+1,1))</f>
        <v>434.08297999735811</v>
      </c>
      <c r="GF96" s="59">
        <f t="shared" si="104"/>
        <v>371.04090283546122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122.92207859073419</v>
      </c>
      <c r="GM96" s="21">
        <f>EXP(-LN(2)/25)*GM95+(1-EXP(-LN(2)/25))/(LN(2)/25)*Calculateur!GH96*Calculateur!GJ96*VLOOKUP('Données projet'!$B$17,Paramètres!$A$1:$I$89,3,0)*0.475*44/12</f>
        <v>9.0150725272831345</v>
      </c>
      <c r="GN96" s="21">
        <f>EXP(-LN(2)/2)*GN95+(1-EXP(-LN(2)/2))/(LN(2)/2)*GH96*GK96*VLOOKUP('Données projet'!$B$17,Paramètres!$A$1:$I$89,3,0)*0.475*44/12</f>
        <v>2.4747771757288627E-10</v>
      </c>
      <c r="GO96" s="21">
        <f t="shared" si="81"/>
        <v>131.93715111826478</v>
      </c>
      <c r="GP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7.4</v>
      </c>
      <c r="GU96" s="12">
        <f>IF('Données projet'!$A$270&gt;35,GU95+GT96-HC95,IF(A96&lt;'Données projet'!$A$270,$GR$205^A96,IF(A96='Données projet'!$A$270,'Données projet'!$B$270,GU95+GT96-HC95)))</f>
        <v>604.19999999999982</v>
      </c>
      <c r="GV96" s="17">
        <f>GU96*VLOOKUP('Données projet'!$B$18,Paramètres!$A$1:$I$89,3,0)*VLOOKUP('Données projet'!$B$18,Paramètres!$A$1:$I$89,5,0)</f>
        <v>345.60239999999988</v>
      </c>
      <c r="GW96" s="13">
        <f t="shared" si="105"/>
        <v>80.65633444731364</v>
      </c>
      <c r="GX96" s="20">
        <f t="shared" si="82"/>
        <v>742.40062916240424</v>
      </c>
      <c r="GY96" s="59">
        <f t="shared" si="83"/>
        <v>1035.7339624957376</v>
      </c>
      <c r="GZ96" s="59">
        <f ca="1">AVERAGE(OFFSET($GY$3,0,0,'Données projet'!$E$18+1,1))-AVERAGE(OFFSET($H$3,0,0,'Données projet'!$E$18+1,1))</f>
        <v>362.57172983134313</v>
      </c>
      <c r="HA96" s="59">
        <f t="shared" si="106"/>
        <v>232.03250917542471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86.12948995436092</v>
      </c>
      <c r="HH96" s="21">
        <f>EXP(-LN(2)/25)*HH95+(1-EXP(-LN(2)/25))/(LN(2)/25)*Calculateur!HC96*Calculateur!HE96*VLOOKUP('Données projet'!$B$18,Paramètres!$A$1:$I$89,3,0)*0.475*44/12</f>
        <v>5.4349241073572978</v>
      </c>
      <c r="HI96" s="21">
        <f>EXP(-LN(2)/2)*HI95+(1-EXP(-LN(2)/2))/(LN(2)/2)*HC96*HF96*VLOOKUP('Données projet'!$B$18,Paramètres!$A$1:$I$89,3,0)*0.475*44/12</f>
        <v>2.4656898666380585E-10</v>
      </c>
      <c r="HJ96" s="22">
        <f t="shared" si="84"/>
        <v>91.564414061964797</v>
      </c>
    </row>
    <row r="97" spans="1:218" x14ac:dyDescent="0.3">
      <c r="A97" s="10">
        <f t="shared" si="85"/>
        <v>94</v>
      </c>
      <c r="B97" s="71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5">
        <f t="shared" si="56"/>
        <v>395.36819599137124</v>
      </c>
      <c r="I97" s="6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266.99999999999983</v>
      </c>
      <c r="O97" s="13">
        <f>N97*VLOOKUP('Données projet'!$B$9,Paramètres!$A$1:$I$89,3,0)*VLOOKUP('Données projet'!$B$9,Paramètres!$A$1:$I$89,5,0)</f>
        <v>212.42519999999985</v>
      </c>
      <c r="P97" s="13">
        <f t="shared" si="87"/>
        <v>52.465198231787184</v>
      </c>
      <c r="Q97" s="20">
        <f t="shared" si="54"/>
        <v>461.35077692036231</v>
      </c>
      <c r="R97" s="59">
        <f t="shared" si="55"/>
        <v>754.68411025369562</v>
      </c>
      <c r="S97" s="59">
        <f ca="1">AVERAGE(OFFSET($R$3,0,0,'Données projet'!$E$9+1,1))-AVERAGE(OFFSET($H$3,0,0,'Données projet'!$E$9+1,1))</f>
        <v>225.2323446080772</v>
      </c>
      <c r="T97" s="59">
        <f t="shared" si="88"/>
        <v>222.29030402759292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32.88102825884161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32.88102825884161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732.99999999999966</v>
      </c>
      <c r="AJ97" s="13">
        <f>AI97*VLOOKUP('Données projet'!$B$10,Paramètres!$A$1:$I$89,3,0)*VLOOKUP('Données projet'!$B$10,Paramètres!$A$1:$I$89,5,0)</f>
        <v>362.1019999999998</v>
      </c>
      <c r="AK97" s="13">
        <f t="shared" si="89"/>
        <v>84.049487364732272</v>
      </c>
      <c r="AL97" s="20">
        <f t="shared" si="58"/>
        <v>777.04717382690842</v>
      </c>
      <c r="AM97" s="59">
        <f t="shared" si="59"/>
        <v>1070.3805071602417</v>
      </c>
      <c r="AN97" s="59">
        <f ca="1">AVERAGE(OFFSET($AM$3,0,0,'Données projet'!$E$10+1,1))-AVERAGE(OFFSET($H$3,0,0,'Données projet'!$E$10+1,1))</f>
        <v>360.05819346986135</v>
      </c>
      <c r="AO97" s="59">
        <f t="shared" si="90"/>
        <v>300.47468388351081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98.46698527212925</v>
      </c>
      <c r="AV97" s="21">
        <f>EXP(-LN(2)/25)*AV96+(1-EXP(-LN(2)/25))/(LN(2)/25)*Calculateur!AQ97*Calculateur!AS97*VLOOKUP('Données projet'!$B$10,Paramètres!$A$1:$I$89,3,0)*0.475*44/12</f>
        <v>7.1742721867711428</v>
      </c>
      <c r="AW97" s="21">
        <f>EXP(-LN(2)/2)*AW96+(1-EXP(-LN(2)/2))/(LN(2)/2)*AQ97*AT97*VLOOKUP('Données projet'!$B$10,Paramètres!$A$1:$I$89,3,0)*0.475*44/12</f>
        <v>1.2208825973606308E-11</v>
      </c>
      <c r="AX97" s="21">
        <f t="shared" si="60"/>
        <v>105.64125745891261</v>
      </c>
      <c r="AY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</v>
      </c>
      <c r="BD97" s="12">
        <f>IF('Données projet'!$A$88&gt;35,BD96+BC97-BL96,IF(A97&lt;'Données projet'!$A$88,$BA$205^A97,IF(A97='Données projet'!$A$88,'Données projet'!$B$88,BD96+BC97-BL96)))</f>
        <v>461.00000000000006</v>
      </c>
      <c r="BE97" s="13">
        <f>BD97*VLOOKUP('Données projet'!$B$11,Paramètres!$A$1:$I$89,3,0)*VLOOKUP('Données projet'!$B$11,Paramètres!$A$1:$I$89,5,0)</f>
        <v>263.69200000000006</v>
      </c>
      <c r="BF97" s="13">
        <f t="shared" si="91"/>
        <v>63.508716174300737</v>
      </c>
      <c r="BG97" s="20">
        <f t="shared" si="61"/>
        <v>569.87458067024056</v>
      </c>
      <c r="BH97" s="59">
        <f t="shared" si="62"/>
        <v>863.20791400357393</v>
      </c>
      <c r="BI97" s="59">
        <f ca="1">AVERAGE(OFFSET($BH$3,0,0,'Données projet'!$E$11+1,1))-AVERAGE(OFFSET($H$3,0,0,'Données projet'!$E$11+1,1))</f>
        <v>250.90038883668348</v>
      </c>
      <c r="BJ97" s="59">
        <f t="shared" si="92"/>
        <v>141.96132114475608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65.575581810859589</v>
      </c>
      <c r="BQ97" s="21">
        <f>EXP(-LN(2)/25)*BQ96+(1-EXP(-LN(2)/25))/(LN(2)/25)*Calculateur!BL97*Calculateur!BN97*VLOOKUP('Données projet'!$B$11,Paramètres!$A$1:$I$89,3,0)*0.475*44/12</f>
        <v>2.0186210434354286</v>
      </c>
      <c r="BR97" s="21">
        <f>EXP(-LN(2)/2)*BR96+(1-EXP(-LN(2)/2))/(LN(2)/2)*BL97*BO97*VLOOKUP('Données projet'!$B$11,Paramètres!$A$1:$I$89,3,0)*0.475*44/12</f>
        <v>8.7965151998979777E-10</v>
      </c>
      <c r="BS97" s="22">
        <f t="shared" si="63"/>
        <v>67.594202855174672</v>
      </c>
      <c r="BT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319</v>
      </c>
      <c r="BZ97" s="13">
        <f>BY97*VLOOKUP('Données projet'!$B$12,Paramètres!$A$1:$I$89,3,0)*VLOOKUP('Données projet'!$B$12,Paramètres!$A$1:$I$89,5,0)</f>
        <v>253.79640000000001</v>
      </c>
      <c r="CA97" s="13">
        <f t="shared" si="93"/>
        <v>61.39816832228076</v>
      </c>
      <c r="CB97" s="20">
        <f t="shared" si="64"/>
        <v>548.96387316130563</v>
      </c>
      <c r="CC97" s="59">
        <f t="shared" si="65"/>
        <v>842.29720649463889</v>
      </c>
      <c r="CD97" s="59">
        <f ca="1">AVERAGE(OFFSET($CC$3,0,0,'Données projet'!$E$12+1,1))-AVERAGE(OFFSET($H$3,0,0,'Données projet'!$E$12+1,1))</f>
        <v>279.49721661620544</v>
      </c>
      <c r="CE97" s="59">
        <f t="shared" si="94"/>
        <v>275.18739333988754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40.29398930520518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40.29398930520518</v>
      </c>
      <c r="CO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789</v>
      </c>
      <c r="CU97" s="17">
        <f>CT97*VLOOKUP('Données projet'!$B$13,Paramètres!$A$1:$I$89,3,0)*VLOOKUP('Données projet'!$B$13,Paramètres!$A$1:$I$89,5,0)</f>
        <v>389.76600000000002</v>
      </c>
      <c r="CV97" s="13">
        <f t="shared" si="95"/>
        <v>89.698759503620408</v>
      </c>
      <c r="CW97" s="20">
        <f t="shared" si="67"/>
        <v>835.06778946880547</v>
      </c>
      <c r="CX97" s="59">
        <f t="shared" si="68"/>
        <v>1128.4011228021388</v>
      </c>
      <c r="CY97" s="59">
        <f ca="1">AVERAGE(OFFSET($CX$3,0,0,'Données projet'!$E$13+1,1))-AVERAGE(OFFSET($H$3,0,0,'Données projet'!$E$13+1,1))</f>
        <v>396.27049617044378</v>
      </c>
      <c r="CZ97" s="59">
        <f t="shared" si="96"/>
        <v>335.2680289568774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109.22904135721286</v>
      </c>
      <c r="DG97" s="21">
        <f>EXP(-LN(2)/25)*DG96+(1-EXP(-LN(2)/25))/(LN(2)/25)*Calculateur!DB97*Calculateur!DD97*VLOOKUP('Données projet'!$B$13,Paramètres!$A$1:$I$89,3,0)*0.475*44/12</f>
        <v>7.9714135408568279</v>
      </c>
      <c r="DH97" s="21">
        <f>EXP(-LN(2)/2)*DH96+(1-EXP(-LN(2)/2))/(LN(2)/2)*DB97*DE97*VLOOKUP('Données projet'!$B$13,Paramètres!$A$1:$I$89,3,0)*0.475*44/12</f>
        <v>8.9531390473112983E-11</v>
      </c>
      <c r="DI97" s="22">
        <f t="shared" si="69"/>
        <v>117.20045489815922</v>
      </c>
      <c r="DJ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6.2</v>
      </c>
      <c r="DO97" s="12">
        <f>IF('Données projet'!$A$166&gt;35,DO96+DN97-DW96,IF(A97&lt;'Données projet'!$A$166,$DL$205^A97,IF(A97='Données projet'!$A$166,'Données projet'!$B$166,DO96+DN97-DW96)))</f>
        <v>536.79999999999961</v>
      </c>
      <c r="DP97" s="17">
        <f>DO97*VLOOKUP('Données projet'!$B$14,Paramètres!$A$1:$I$89,3,0)*VLOOKUP('Données projet'!$B$14,Paramètres!$A$1:$I$89,5,0)</f>
        <v>307.04959999999977</v>
      </c>
      <c r="DQ97" s="13">
        <f t="shared" si="97"/>
        <v>72.652326707647532</v>
      </c>
      <c r="DR97" s="20">
        <f t="shared" si="70"/>
        <v>661.31418901581912</v>
      </c>
      <c r="DS97" s="59">
        <f t="shared" si="71"/>
        <v>954.6475223491525</v>
      </c>
      <c r="DT97" s="59">
        <f ca="1">AVERAGE(OFFSET($DS$3,0,0,'Données projet'!$E$14+1,1))-AVERAGE(OFFSET($H$3,0,0,'Données projet'!$E$14+1,1))</f>
        <v>307.43900954374504</v>
      </c>
      <c r="DU97" s="59">
        <f t="shared" si="98"/>
        <v>185.25270859048999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75.163822878525934</v>
      </c>
      <c r="EB97" s="21">
        <f>EXP(-LN(2)/25)*EB96+(1-EXP(-LN(2)/25))/(LN(2)/25)*Calculateur!DW97*Calculateur!DY97*VLOOKUP('Données projet'!$B$14,Paramètres!$A$1:$I$89,3,0)*0.475*44/12</f>
        <v>4.5311192758554588</v>
      </c>
      <c r="EC97" s="21">
        <f>EXP(-LN(2)/2)*EC96+(1-EXP(-LN(2)/2))/(LN(2)/2)*DW97*DZ97*VLOOKUP('Données projet'!$B$14,Paramètres!$A$1:$I$89,3,0)*0.475*44/12</f>
        <v>8.481921202715963E-11</v>
      </c>
      <c r="ED97" s="22">
        <f t="shared" si="72"/>
        <v>79.694942154466219</v>
      </c>
      <c r="EE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401</v>
      </c>
      <c r="EK97" s="17">
        <f>EJ97*VLOOKUP('Données projet'!$B$15,Paramètres!$A$1:$I$89,3,0)*VLOOKUP('Données projet'!$B$15,Paramètres!$A$1:$I$89,5,0)</f>
        <v>250.22399999999999</v>
      </c>
      <c r="EL97" s="13">
        <f t="shared" si="99"/>
        <v>60.633904580527918</v>
      </c>
      <c r="EM97" s="20">
        <f t="shared" si="73"/>
        <v>541.41085047775289</v>
      </c>
      <c r="EN97" s="59">
        <f t="shared" si="74"/>
        <v>834.74418381108626</v>
      </c>
      <c r="EO97" s="59">
        <f ca="1">AVERAGE(OFFSET($EN$3,0,0,'Données projet'!$E$15+1,1))-AVERAGE(OFFSET($H$3,0,0,'Données projet'!$E$15+1,1))</f>
        <v>269.77739619445515</v>
      </c>
      <c r="EP97" s="59">
        <f t="shared" si="100"/>
        <v>347.56964743629885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39.055021056415136</v>
      </c>
      <c r="EW97" s="21">
        <f>EXP(-LN(2)/25)*EW96+(1-EXP(-LN(2)/25))/(LN(2)/25)*Calculateur!ER97*Calculateur!ET97*VLOOKUP('Données projet'!$B$15,Paramètres!$A$1:$I$89,3,0)*0.475*44/12</f>
        <v>15.557231828035494</v>
      </c>
      <c r="EX97" s="21">
        <f>EXP(-LN(2)/2)*EX96+(1-EXP(-LN(2)/2))/(LN(2)/2)*ER97*EU97*VLOOKUP('Données projet'!$B$15,Paramètres!$A$1:$I$89,3,0)*0.475*44/12</f>
        <v>5.7831280927608848E-12</v>
      </c>
      <c r="EY97" s="22">
        <f t="shared" si="75"/>
        <v>54.61225288445641</v>
      </c>
      <c r="EZ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367.99999999999972</v>
      </c>
      <c r="FF97" s="17">
        <f>FE97*VLOOKUP('Données projet'!$B$16,Paramètres!$A$1:$I$89,3,0)*VLOOKUP('Données projet'!$B$16,Paramètres!$A$1:$I$89,5,0)</f>
        <v>292.78079999999977</v>
      </c>
      <c r="FG97" s="13">
        <f t="shared" si="101"/>
        <v>69.660903052386217</v>
      </c>
      <c r="FH97" s="20">
        <f t="shared" si="76"/>
        <v>631.25263281623893</v>
      </c>
      <c r="FI97" s="59">
        <f t="shared" si="77"/>
        <v>924.58596614957219</v>
      </c>
      <c r="FJ97" s="59">
        <f ca="1">AVERAGE(OFFSET($FI$3,0,0,'Données projet'!$E$16+1,1))-AVERAGE(OFFSET($H$3,0,0,'Données projet'!$E$16+1,1))</f>
        <v>331.52724290297675</v>
      </c>
      <c r="FK97" s="59">
        <f t="shared" si="102"/>
        <v>322.79102610158054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46.708843990753813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46.708843990753813</v>
      </c>
      <c r="FU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852.00000000000011</v>
      </c>
      <c r="GA97" s="17">
        <f>FZ97*VLOOKUP('Données projet'!$B$17,Paramètres!$A$1:$I$89,3,0)*VLOOKUP('Données projet'!$B$17,Paramètres!$A$1:$I$89,5,0)</f>
        <v>420.88800000000009</v>
      </c>
      <c r="GB97" s="13">
        <f t="shared" si="103"/>
        <v>95.998759891259041</v>
      </c>
      <c r="GC97" s="20">
        <f t="shared" si="79"/>
        <v>900.24444014394294</v>
      </c>
      <c r="GD97" s="59">
        <f t="shared" si="80"/>
        <v>1193.5777734772762</v>
      </c>
      <c r="GE97" s="59">
        <f ca="1">AVERAGE(OFFSET($GD$3,0,0,'Données projet'!$E$17+1,1))-AVERAGE(OFFSET($H$3,0,0,'Données projet'!$E$17+1,1))</f>
        <v>434.08297999735811</v>
      </c>
      <c r="GF97" s="59">
        <f t="shared" si="104"/>
        <v>371.04090283546122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120.51165160463466</v>
      </c>
      <c r="GM97" s="21">
        <f>EXP(-LN(2)/25)*GM96+(1-EXP(-LN(2)/25))/(LN(2)/25)*Calculateur!GH97*Calculateur!GJ97*VLOOKUP('Données projet'!$B$17,Paramètres!$A$1:$I$89,3,0)*0.475*44/12</f>
        <v>8.7685548949425165</v>
      </c>
      <c r="GN97" s="21">
        <f>EXP(-LN(2)/2)*GN96+(1-EXP(-LN(2)/2))/(LN(2)/2)*GH97*GK97*VLOOKUP('Données projet'!$B$17,Paramètres!$A$1:$I$89,3,0)*0.475*44/12</f>
        <v>1.749931722883571E-10</v>
      </c>
      <c r="GO97" s="21">
        <f t="shared" si="81"/>
        <v>129.28020649975218</v>
      </c>
      <c r="GP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7.4</v>
      </c>
      <c r="GU97" s="12">
        <f>IF('Données projet'!$A$270&gt;35,GU96+GT97-HC96,IF(A97&lt;'Données projet'!$A$270,$GR$205^A97,IF(A97='Données projet'!$A$270,'Données projet'!$B$270,GU96+GT97-HC96)))</f>
        <v>611.5999999999998</v>
      </c>
      <c r="GV97" s="17">
        <f>GU97*VLOOKUP('Données projet'!$B$18,Paramètres!$A$1:$I$89,3,0)*VLOOKUP('Données projet'!$B$18,Paramètres!$A$1:$I$89,5,0)</f>
        <v>349.83519999999993</v>
      </c>
      <c r="GW97" s="13">
        <f t="shared" si="105"/>
        <v>81.528576276434933</v>
      </c>
      <c r="GX97" s="20">
        <f t="shared" si="82"/>
        <v>751.29191034812402</v>
      </c>
      <c r="GY97" s="59">
        <f t="shared" si="83"/>
        <v>1044.6252436814573</v>
      </c>
      <c r="GZ97" s="59">
        <f ca="1">AVERAGE(OFFSET($GY$3,0,0,'Données projet'!$E$18+1,1))-AVERAGE(OFFSET($H$3,0,0,'Données projet'!$E$18+1,1))</f>
        <v>362.57172983134313</v>
      </c>
      <c r="HA97" s="59">
        <f t="shared" si="106"/>
        <v>232.03250917542471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84.440543190157499</v>
      </c>
      <c r="HH97" s="21">
        <f>EXP(-LN(2)/25)*HH96+(1-EXP(-LN(2)/25))/(LN(2)/25)*Calculateur!HC97*Calculateur!HE97*VLOOKUP('Données projet'!$B$18,Paramètres!$A$1:$I$89,3,0)*0.475*44/12</f>
        <v>5.286305821831375</v>
      </c>
      <c r="HI97" s="21">
        <f>EXP(-LN(2)/2)*HI96+(1-EXP(-LN(2)/2))/(LN(2)/2)*HC97*HF97*VLOOKUP('Données projet'!$B$18,Paramètres!$A$1:$I$89,3,0)*0.475*44/12</f>
        <v>1.7435060250027252E-10</v>
      </c>
      <c r="HJ97" s="22">
        <f t="shared" si="84"/>
        <v>89.726849012163228</v>
      </c>
    </row>
    <row r="98" spans="1:218" x14ac:dyDescent="0.3">
      <c r="A98" s="10">
        <f t="shared" si="85"/>
        <v>95</v>
      </c>
      <c r="B98" s="71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5">
        <f t="shared" si="56"/>
        <v>396.42470183271661</v>
      </c>
      <c r="I98" s="6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266.99999999999983</v>
      </c>
      <c r="O98" s="13">
        <f>N98*VLOOKUP('Données projet'!$B$9,Paramètres!$A$1:$I$89,3,0)*VLOOKUP('Données projet'!$B$9,Paramètres!$A$1:$I$89,5,0)</f>
        <v>212.42519999999985</v>
      </c>
      <c r="P98" s="13">
        <f t="shared" si="87"/>
        <v>52.465198231787184</v>
      </c>
      <c r="Q98" s="20">
        <f t="shared" si="54"/>
        <v>461.35077692036231</v>
      </c>
      <c r="R98" s="59">
        <f t="shared" si="55"/>
        <v>754.68411025369562</v>
      </c>
      <c r="S98" s="59">
        <f ca="1">AVERAGE(OFFSET($R$3,0,0,'Données projet'!$E$9+1,1))-AVERAGE(OFFSET($H$3,0,0,'Données projet'!$E$9+1,1))</f>
        <v>225.2323446080772</v>
      </c>
      <c r="T98" s="59">
        <f t="shared" si="88"/>
        <v>222.29030402759292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32.236251350132655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32.236251350132655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732.99999999999966</v>
      </c>
      <c r="AJ98" s="13">
        <f>AI98*VLOOKUP('Données projet'!$B$10,Paramètres!$A$1:$I$89,3,0)*VLOOKUP('Données projet'!$B$10,Paramètres!$A$1:$I$89,5,0)</f>
        <v>362.1019999999998</v>
      </c>
      <c r="AK98" s="13">
        <f t="shared" si="89"/>
        <v>84.049487364732272</v>
      </c>
      <c r="AL98" s="20">
        <f t="shared" si="58"/>
        <v>777.04717382690842</v>
      </c>
      <c r="AM98" s="59">
        <f t="shared" si="59"/>
        <v>1070.3805071602417</v>
      </c>
      <c r="AN98" s="59">
        <f ca="1">AVERAGE(OFFSET($AM$3,0,0,'Données projet'!$E$10+1,1))-AVERAGE(OFFSET($H$3,0,0,'Données projet'!$E$10+1,1))</f>
        <v>360.05819346986135</v>
      </c>
      <c r="AO98" s="59">
        <f t="shared" si="90"/>
        <v>300.47468388351081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96.53610774987348</v>
      </c>
      <c r="AV98" s="21">
        <f>EXP(-LN(2)/25)*AV97+(1-EXP(-LN(2)/25))/(LN(2)/25)*Calculateur!AQ98*Calculateur!AS98*VLOOKUP('Données projet'!$B$10,Paramètres!$A$1:$I$89,3,0)*0.475*44/12</f>
        <v>6.978091336545309</v>
      </c>
      <c r="AW98" s="21">
        <f>EXP(-LN(2)/2)*AW97+(1-EXP(-LN(2)/2))/(LN(2)/2)*AQ98*AT98*VLOOKUP('Données projet'!$B$10,Paramètres!$A$1:$I$89,3,0)*0.475*44/12</f>
        <v>8.6329436362634735E-12</v>
      </c>
      <c r="AX98" s="21">
        <f t="shared" si="60"/>
        <v>103.51419908642741</v>
      </c>
      <c r="AY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467</v>
      </c>
      <c r="BB98" s="12">
        <f>VLOOKUP(A98,'Données projet'!$A$87:$I$107,9,0)</f>
        <v>6</v>
      </c>
      <c r="BC98" s="12">
        <f t="array" ref="BC98">INDEX(BB:BB,MIN(IF(ISNUMBER(BB98:BB294),ROW(BB98:BB294),"")))</f>
        <v>6</v>
      </c>
      <c r="BD98" s="12">
        <f>IF('Données projet'!$A$88&gt;35,BD97+BC98-BL97,IF(A98&lt;'Données projet'!$A$88,$BA$205^A98,IF(A98='Données projet'!$A$88,'Données projet'!$B$88,BD97+BC98-BL97)))</f>
        <v>467.00000000000006</v>
      </c>
      <c r="BE98" s="13">
        <f>BD98*VLOOKUP('Données projet'!$B$11,Paramètres!$A$1:$I$89,3,0)*VLOOKUP('Données projet'!$B$11,Paramètres!$A$1:$I$89,5,0)</f>
        <v>267.12400000000002</v>
      </c>
      <c r="BF98" s="13">
        <f t="shared" si="91"/>
        <v>64.238529608986653</v>
      </c>
      <c r="BG98" s="20">
        <f t="shared" si="61"/>
        <v>577.12307240231848</v>
      </c>
      <c r="BH98" s="59">
        <f t="shared" si="62"/>
        <v>870.45640573565174</v>
      </c>
      <c r="BI98" s="59">
        <f ca="1">AVERAGE(OFFSET($BH$3,0,0,'Données projet'!$E$11+1,1))-AVERAGE(OFFSET($H$3,0,0,'Données projet'!$E$11+1,1))</f>
        <v>250.90038883668348</v>
      </c>
      <c r="BJ98" s="59">
        <f t="shared" si="92"/>
        <v>141.96132114475608</v>
      </c>
      <c r="BK98" s="15">
        <f>IF(ISNA(VLOOKUP(A98,'Données projet'!$A$87:$I$107,3,0)),0,VLOOKUP(A98,'Données projet'!$A$87:$I$107,3,0))</f>
        <v>15</v>
      </c>
      <c r="BL98" s="15">
        <f>IF(ISNA(VLOOKUP(A98,'Données projet'!$A$87:$I$107,4,0)),0,VLOOKUP(A98,'Données projet'!$A$87:$I$107,4,0))</f>
        <v>15</v>
      </c>
      <c r="BM98" s="16">
        <f>IF(ISNA(VLOOKUP(A98,'Données projet'!$A$87:$I$107,5,0)),0%,VLOOKUP(A98,'Données projet'!$A$87:$I$107,5,0)*VLOOKUP('Données projet'!$B$11,Paramètres!$A$1:$I$89,7,0))</f>
        <v>0.45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69.411550011156223</v>
      </c>
      <c r="BQ98" s="21">
        <f>EXP(-LN(2)/25)*BQ97+(1-EXP(-LN(2)/25))/(LN(2)/25)*Calculateur!BL98*Calculateur!BN98*VLOOKUP('Données projet'!$B$11,Paramètres!$A$1:$I$89,3,0)*0.475*44/12</f>
        <v>1.9634217448480198</v>
      </c>
      <c r="BR98" s="21">
        <f>EXP(-LN(2)/2)*BR97+(1-EXP(-LN(2)/2))/(LN(2)/2)*BL98*BO98*VLOOKUP('Données projet'!$B$11,Paramètres!$A$1:$I$89,3,0)*0.475*44/12</f>
        <v>6.2200755486583986E-10</v>
      </c>
      <c r="BS98" s="22">
        <f t="shared" si="63"/>
        <v>71.374971756626252</v>
      </c>
      <c r="BT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319</v>
      </c>
      <c r="BZ98" s="13">
        <f>BY98*VLOOKUP('Données projet'!$B$12,Paramètres!$A$1:$I$89,3,0)*VLOOKUP('Données projet'!$B$12,Paramètres!$A$1:$I$89,5,0)</f>
        <v>253.79640000000001</v>
      </c>
      <c r="CA98" s="13">
        <f t="shared" si="93"/>
        <v>61.39816832228076</v>
      </c>
      <c r="CB98" s="20">
        <f t="shared" si="64"/>
        <v>548.96387316130563</v>
      </c>
      <c r="CC98" s="59">
        <f t="shared" si="65"/>
        <v>842.29720649463889</v>
      </c>
      <c r="CD98" s="59">
        <f ca="1">AVERAGE(OFFSET($CC$3,0,0,'Données projet'!$E$12+1,1))-AVERAGE(OFFSET($H$3,0,0,'Données projet'!$E$12+1,1))</f>
        <v>279.49721661620544</v>
      </c>
      <c r="CE98" s="59">
        <f t="shared" si="94"/>
        <v>275.18739333988754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39.503848751836813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39.503848751836813</v>
      </c>
      <c r="CO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789</v>
      </c>
      <c r="CU98" s="17">
        <f>CT98*VLOOKUP('Données projet'!$B$13,Paramètres!$A$1:$I$89,3,0)*VLOOKUP('Données projet'!$B$13,Paramètres!$A$1:$I$89,5,0)</f>
        <v>389.76600000000002</v>
      </c>
      <c r="CV98" s="13">
        <f t="shared" si="95"/>
        <v>89.698759503620408</v>
      </c>
      <c r="CW98" s="20">
        <f t="shared" si="67"/>
        <v>835.06778946880547</v>
      </c>
      <c r="CX98" s="59">
        <f t="shared" si="68"/>
        <v>1128.4011228021388</v>
      </c>
      <c r="CY98" s="59">
        <f ca="1">AVERAGE(OFFSET($CX$3,0,0,'Données projet'!$E$13+1,1))-AVERAGE(OFFSET($H$3,0,0,'Données projet'!$E$13+1,1))</f>
        <v>396.27049617044378</v>
      </c>
      <c r="CZ98" s="59">
        <f t="shared" si="96"/>
        <v>335.2680289568774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107.08712647933466</v>
      </c>
      <c r="DG98" s="21">
        <f>EXP(-LN(2)/25)*DG97+(1-EXP(-LN(2)/25))/(LN(2)/25)*Calculateur!DB98*Calculateur!DD98*VLOOKUP('Données projet'!$B$13,Paramètres!$A$1:$I$89,3,0)*0.475*44/12</f>
        <v>7.7534348183836785</v>
      </c>
      <c r="DH98" s="21">
        <f>EXP(-LN(2)/2)*DH97+(1-EXP(-LN(2)/2))/(LN(2)/2)*DB98*DE98*VLOOKUP('Données projet'!$B$13,Paramètres!$A$1:$I$89,3,0)*0.475*44/12</f>
        <v>6.3308253332598848E-11</v>
      </c>
      <c r="DI98" s="22">
        <f t="shared" si="69"/>
        <v>114.84056129778165</v>
      </c>
      <c r="DJ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543</v>
      </c>
      <c r="DM98" s="12">
        <f>VLOOKUP(A98,'Données projet'!$A$165:$I$185,9,0)</f>
        <v>6.2</v>
      </c>
      <c r="DN98" s="12">
        <f t="array" ref="DN98">INDEX(DM:DM,MIN(IF(ISNUMBER(DM98:DM294),ROW(DM98:DM294),"")))</f>
        <v>6.2</v>
      </c>
      <c r="DO98" s="12">
        <f>IF('Données projet'!$A$166&gt;35,DO97+DN98-DW97,IF(A98&lt;'Données projet'!$A$166,$DL$205^A98,IF(A98='Données projet'!$A$166,'Données projet'!$B$166,DO97+DN98-DW97)))</f>
        <v>542.99999999999966</v>
      </c>
      <c r="DP98" s="17">
        <f>DO98*VLOOKUP('Données projet'!$B$14,Paramètres!$A$1:$I$89,3,0)*VLOOKUP('Données projet'!$B$14,Paramètres!$A$1:$I$89,5,0)</f>
        <v>310.59599999999983</v>
      </c>
      <c r="DQ98" s="13">
        <f t="shared" si="97"/>
        <v>73.393284775883487</v>
      </c>
      <c r="DR98" s="20">
        <f t="shared" si="70"/>
        <v>668.78133765133009</v>
      </c>
      <c r="DS98" s="59">
        <f t="shared" si="71"/>
        <v>962.11467098466346</v>
      </c>
      <c r="DT98" s="59">
        <f ca="1">AVERAGE(OFFSET($DS$3,0,0,'Données projet'!$E$14+1,1))-AVERAGE(OFFSET($H$3,0,0,'Données projet'!$E$14+1,1))</f>
        <v>307.43900954374504</v>
      </c>
      <c r="DU98" s="59">
        <f t="shared" si="98"/>
        <v>185.25270859048999</v>
      </c>
      <c r="DV98" s="15">
        <f>IF(ISNA(VLOOKUP(A98,'Données projet'!$A$165:$I$185,3,0)),0,VLOOKUP(A98,'Données projet'!$A$165:$I$185,3,0))</f>
        <v>16</v>
      </c>
      <c r="DW98" s="15">
        <f>IF(ISNA(VLOOKUP(A98,'Données projet'!$A$165:$I$185,4,0)),0,VLOOKUP(A98,'Données projet'!$A$165:$I$185,4,0))</f>
        <v>17</v>
      </c>
      <c r="DX98" s="16">
        <f>IF(ISNA(VLOOKUP(A98,'Données projet'!$A$165:$I$185,5,0)),0%,VLOOKUP(A98,'Données projet'!$A$165:$I$185,5,0)*VLOOKUP('Données projet'!$B$14,Paramètres!$A$1:$I$89,7,0))</f>
        <v>0.45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79.494686901395468</v>
      </c>
      <c r="EB98" s="21">
        <f>EXP(-LN(2)/25)*EB97+(1-EXP(-LN(2)/25))/(LN(2)/25)*Calculateur!DW98*Calculateur!DY98*VLOOKUP('Données projet'!$B$14,Paramètres!$A$1:$I$89,3,0)*0.475*44/12</f>
        <v>4.4072155809759845</v>
      </c>
      <c r="EC98" s="21">
        <f>EXP(-LN(2)/2)*EC97+(1-EXP(-LN(2)/2))/(LN(2)/2)*DW98*DZ98*VLOOKUP('Données projet'!$B$14,Paramètres!$A$1:$I$89,3,0)*0.475*44/12</f>
        <v>5.9976239999304144E-11</v>
      </c>
      <c r="ED98" s="22">
        <f t="shared" si="72"/>
        <v>83.901902482431424</v>
      </c>
      <c r="EE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401</v>
      </c>
      <c r="EK98" s="17">
        <f>EJ98*VLOOKUP('Données projet'!$B$15,Paramètres!$A$1:$I$89,3,0)*VLOOKUP('Données projet'!$B$15,Paramètres!$A$1:$I$89,5,0)</f>
        <v>250.22399999999999</v>
      </c>
      <c r="EL98" s="13">
        <f t="shared" si="99"/>
        <v>60.633904580527918</v>
      </c>
      <c r="EM98" s="20">
        <f t="shared" si="73"/>
        <v>541.41085047775289</v>
      </c>
      <c r="EN98" s="59">
        <f t="shared" si="74"/>
        <v>834.74418381108626</v>
      </c>
      <c r="EO98" s="59">
        <f ca="1">AVERAGE(OFFSET($EN$3,0,0,'Données projet'!$E$15+1,1))-AVERAGE(OFFSET($H$3,0,0,'Données projet'!$E$15+1,1))</f>
        <v>269.77739619445515</v>
      </c>
      <c r="EP98" s="59">
        <f t="shared" si="100"/>
        <v>347.56964743629885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38.289175914709531</v>
      </c>
      <c r="EW98" s="21">
        <f>EXP(-LN(2)/25)*EW97+(1-EXP(-LN(2)/25))/(LN(2)/25)*Calculateur!ER98*Calculateur!ET98*VLOOKUP('Données projet'!$B$15,Paramètres!$A$1:$I$89,3,0)*0.475*44/12</f>
        <v>15.131818505578599</v>
      </c>
      <c r="EX98" s="21">
        <f>EXP(-LN(2)/2)*EX97+(1-EXP(-LN(2)/2))/(LN(2)/2)*ER98*EU98*VLOOKUP('Données projet'!$B$15,Paramètres!$A$1:$I$89,3,0)*0.475*44/12</f>
        <v>4.0892890908616468E-12</v>
      </c>
      <c r="EY98" s="22">
        <f t="shared" si="75"/>
        <v>53.420994420292224</v>
      </c>
      <c r="EZ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367.99999999999972</v>
      </c>
      <c r="FF98" s="17">
        <f>FE98*VLOOKUP('Données projet'!$B$16,Paramètres!$A$1:$I$89,3,0)*VLOOKUP('Données projet'!$B$16,Paramètres!$A$1:$I$89,5,0)</f>
        <v>292.78079999999977</v>
      </c>
      <c r="FG98" s="13">
        <f t="shared" si="101"/>
        <v>69.660903052386217</v>
      </c>
      <c r="FH98" s="20">
        <f t="shared" si="76"/>
        <v>631.25263281623893</v>
      </c>
      <c r="FI98" s="59">
        <f t="shared" si="77"/>
        <v>924.58596614957219</v>
      </c>
      <c r="FJ98" s="59">
        <f ca="1">AVERAGE(OFFSET($FI$3,0,0,'Données projet'!$E$16+1,1))-AVERAGE(OFFSET($H$3,0,0,'Données projet'!$E$16+1,1))</f>
        <v>331.52724290297675</v>
      </c>
      <c r="FK98" s="59">
        <f t="shared" si="102"/>
        <v>322.79102610158054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45.79291204967685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45.79291204967685</v>
      </c>
      <c r="FU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852.00000000000011</v>
      </c>
      <c r="GA98" s="17">
        <f>FZ98*VLOOKUP('Données projet'!$B$17,Paramètres!$A$1:$I$89,3,0)*VLOOKUP('Données projet'!$B$17,Paramètres!$A$1:$I$89,5,0)</f>
        <v>420.88800000000009</v>
      </c>
      <c r="GB98" s="13">
        <f t="shared" si="103"/>
        <v>95.998759891259041</v>
      </c>
      <c r="GC98" s="20">
        <f t="shared" si="79"/>
        <v>900.24444014394294</v>
      </c>
      <c r="GD98" s="59">
        <f t="shared" si="80"/>
        <v>1193.5777734772762</v>
      </c>
      <c r="GE98" s="59">
        <f ca="1">AVERAGE(OFFSET($GD$3,0,0,'Données projet'!$E$17+1,1))-AVERAGE(OFFSET($H$3,0,0,'Données projet'!$E$17+1,1))</f>
        <v>434.08297999735811</v>
      </c>
      <c r="GF98" s="59">
        <f t="shared" si="104"/>
        <v>371.04090283546122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118.14849162151725</v>
      </c>
      <c r="GM98" s="21">
        <f>EXP(-LN(2)/25)*GM97+(1-EXP(-LN(2)/25))/(LN(2)/25)*Calculateur!GH98*Calculateur!GJ98*VLOOKUP('Données projet'!$B$17,Paramètres!$A$1:$I$89,3,0)*0.475*44/12</f>
        <v>8.5287783002220525</v>
      </c>
      <c r="GN98" s="21">
        <f>EXP(-LN(2)/2)*GN97+(1-EXP(-LN(2)/2))/(LN(2)/2)*GH98*GK98*VLOOKUP('Données projet'!$B$17,Paramètres!$A$1:$I$89,3,0)*0.475*44/12</f>
        <v>1.2373885878644313E-10</v>
      </c>
      <c r="GO98" s="21">
        <f t="shared" si="81"/>
        <v>126.67726992186304</v>
      </c>
      <c r="GP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>
        <f>VLOOKUP(A98,'Données projet'!$A$269:$I$289,2,0)</f>
        <v>619</v>
      </c>
      <c r="GS98" s="12">
        <f>VLOOKUP(A98,'Données projet'!$A$269:$I$289,9,0)</f>
        <v>7.4</v>
      </c>
      <c r="GT98" s="12">
        <f t="array" ref="GT98">INDEX(GS:GS,MIN(IF(ISNUMBER(GS98:GS294),ROW(GS98:GS294),"")))</f>
        <v>7.4</v>
      </c>
      <c r="GU98" s="12">
        <f>IF('Données projet'!$A$270&gt;35,GU97+GT98-HC97,IF(A98&lt;'Données projet'!$A$270,$GR$205^A98,IF(A98='Données projet'!$A$270,'Données projet'!$B$270,GU97+GT98-HC97)))</f>
        <v>618.99999999999977</v>
      </c>
      <c r="GV98" s="17">
        <f>GU98*VLOOKUP('Données projet'!$B$18,Paramètres!$A$1:$I$89,3,0)*VLOOKUP('Données projet'!$B$18,Paramètres!$A$1:$I$89,5,0)</f>
        <v>354.06799999999987</v>
      </c>
      <c r="GW98" s="13">
        <f t="shared" si="105"/>
        <v>82.399590498005793</v>
      </c>
      <c r="GX98" s="20">
        <f t="shared" si="82"/>
        <v>760.18105345069318</v>
      </c>
      <c r="GY98" s="59">
        <f t="shared" si="83"/>
        <v>1053.5143867840266</v>
      </c>
      <c r="GZ98" s="59">
        <f ca="1">AVERAGE(OFFSET($GY$3,0,0,'Données projet'!$E$18+1,1))-AVERAGE(OFFSET($H$3,0,0,'Données projet'!$E$18+1,1))</f>
        <v>362.57172983134313</v>
      </c>
      <c r="HA98" s="59">
        <f t="shared" si="106"/>
        <v>232.03250917542471</v>
      </c>
      <c r="HB98" s="15">
        <f>IF(ISNA(VLOOKUP(A98,'Données projet'!$A$269:$I$289,3,0)),0,VLOOKUP(A98,'Données projet'!$A$269:$I$289,3,0))</f>
        <v>16</v>
      </c>
      <c r="HC98" s="15">
        <f>IF(ISNA(VLOOKUP(A98,'Données projet'!$A$269:$I$289,4,0)),0,VLOOKUP(A98,'Données projet'!$A$269:$I$289,4,0))</f>
        <v>20</v>
      </c>
      <c r="HD98" s="16">
        <f>IF(ISNA(VLOOKUP(A98,'Données projet'!$A$269:$I$289,5,0)),0%,VLOOKUP(A98,'Données projet'!$A$269:$I$289,5,0)*VLOOKUP('Données projet'!$B$18,Paramètres!$A$1:$I$89,7,0))</f>
        <v>0.45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89.613869458447041</v>
      </c>
      <c r="HH98" s="21">
        <f>EXP(-LN(2)/25)*HH97+(1-EXP(-LN(2)/25))/(LN(2)/25)*Calculateur!HC98*Calculateur!HE98*VLOOKUP('Données projet'!$B$18,Paramètres!$A$1:$I$89,3,0)*0.475*44/12</f>
        <v>5.1417515111386551</v>
      </c>
      <c r="HI98" s="21">
        <f>EXP(-LN(2)/2)*HI97+(1-EXP(-LN(2)/2))/(LN(2)/2)*HC98*HF98*VLOOKUP('Données projet'!$B$18,Paramètres!$A$1:$I$89,3,0)*0.475*44/12</f>
        <v>1.2328449333190293E-10</v>
      </c>
      <c r="HJ98" s="22">
        <f t="shared" si="84"/>
        <v>94.755620969708971</v>
      </c>
    </row>
    <row r="99" spans="1:218" x14ac:dyDescent="0.3">
      <c r="A99" s="10">
        <f t="shared" si="85"/>
        <v>96</v>
      </c>
      <c r="B99" s="71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5">
        <f t="shared" si="56"/>
        <v>397.48093978929154</v>
      </c>
      <c r="I99" s="6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266.99999999999983</v>
      </c>
      <c r="O99" s="13">
        <f>N99*VLOOKUP('Données projet'!$B$9,Paramètres!$A$1:$I$89,3,0)*VLOOKUP('Données projet'!$B$9,Paramètres!$A$1:$I$89,5,0)</f>
        <v>212.42519999999985</v>
      </c>
      <c r="P99" s="13">
        <f t="shared" si="87"/>
        <v>52.465198231787184</v>
      </c>
      <c r="Q99" s="20">
        <f t="shared" ref="Q99:Q130" si="107">(O99+P99)*0.475*44/12</f>
        <v>461.35077692036231</v>
      </c>
      <c r="R99" s="59">
        <f t="shared" si="55"/>
        <v>754.68411025369562</v>
      </c>
      <c r="S99" s="59">
        <f ca="1">AVERAGE(OFFSET($R$3,0,0,'Données projet'!$E$9+1,1))-AVERAGE(OFFSET($H$3,0,0,'Données projet'!$E$9+1,1))</f>
        <v>225.2323446080772</v>
      </c>
      <c r="T99" s="59">
        <f t="shared" si="88"/>
        <v>222.29030402759292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31.604118123328398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31.604118123328398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732.99999999999966</v>
      </c>
      <c r="AJ99" s="13">
        <f>AI99*VLOOKUP('Données projet'!$B$10,Paramètres!$A$1:$I$89,3,0)*VLOOKUP('Données projet'!$B$10,Paramètres!$A$1:$I$89,5,0)</f>
        <v>362.1019999999998</v>
      </c>
      <c r="AK99" s="13">
        <f t="shared" si="89"/>
        <v>84.049487364732272</v>
      </c>
      <c r="AL99" s="20">
        <f t="shared" si="58"/>
        <v>777.04717382690842</v>
      </c>
      <c r="AM99" s="59">
        <f t="shared" si="59"/>
        <v>1070.3805071602417</v>
      </c>
      <c r="AN99" s="59">
        <f ca="1">AVERAGE(OFFSET($AM$3,0,0,'Données projet'!$E$10+1,1))-AVERAGE(OFFSET($H$3,0,0,'Données projet'!$E$10+1,1))</f>
        <v>360.05819346986135</v>
      </c>
      <c r="AO99" s="59">
        <f t="shared" si="90"/>
        <v>300.47468388351081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94.643093558110152</v>
      </c>
      <c r="AV99" s="21">
        <f>EXP(-LN(2)/25)*AV98+(1-EXP(-LN(2)/25))/(LN(2)/25)*Calculateur!AQ99*Calculateur!AS99*VLOOKUP('Données projet'!$B$10,Paramètres!$A$1:$I$89,3,0)*0.475*44/12</f>
        <v>6.7872750619856026</v>
      </c>
      <c r="AW99" s="21">
        <f>EXP(-LN(2)/2)*AW98+(1-EXP(-LN(2)/2))/(LN(2)/2)*AQ99*AT99*VLOOKUP('Données projet'!$B$10,Paramètres!$A$1:$I$89,3,0)*0.475*44/12</f>
        <v>6.104412986803154E-12</v>
      </c>
      <c r="AX99" s="21">
        <f t="shared" si="60"/>
        <v>101.43036862010186</v>
      </c>
      <c r="AY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</v>
      </c>
      <c r="BD99" s="12">
        <f>IF('Données projet'!$A$88&gt;35,BD98+BC99-BL98,IF(A99&lt;'Données projet'!$A$88,$BA$205^A99,IF(A99='Données projet'!$A$88,'Données projet'!$B$88,BD98+BC99-BL98)))</f>
        <v>457.00000000000006</v>
      </c>
      <c r="BE99" s="13">
        <f>BD99*VLOOKUP('Données projet'!$B$11,Paramètres!$A$1:$I$89,3,0)*VLOOKUP('Données projet'!$B$11,Paramètres!$A$1:$I$89,5,0)</f>
        <v>261.40400000000005</v>
      </c>
      <c r="BF99" s="13">
        <f t="shared" si="91"/>
        <v>63.02156015122695</v>
      </c>
      <c r="BG99" s="20">
        <f t="shared" si="61"/>
        <v>565.04118393005365</v>
      </c>
      <c r="BH99" s="59">
        <f t="shared" si="62"/>
        <v>858.37451726338691</v>
      </c>
      <c r="BI99" s="59">
        <f ca="1">AVERAGE(OFFSET($BH$3,0,0,'Données projet'!$E$11+1,1))-AVERAGE(OFFSET($H$3,0,0,'Données projet'!$E$11+1,1))</f>
        <v>250.90038883668348</v>
      </c>
      <c r="BJ99" s="59">
        <f t="shared" si="92"/>
        <v>141.96132114475608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68.050431852302538</v>
      </c>
      <c r="BQ99" s="21">
        <f>EXP(-LN(2)/25)*BQ98+(1-EXP(-LN(2)/25))/(LN(2)/25)*Calculateur!BL99*Calculateur!BN99*VLOOKUP('Données projet'!$B$11,Paramètres!$A$1:$I$89,3,0)*0.475*44/12</f>
        <v>1.9097318739832887</v>
      </c>
      <c r="BR99" s="21">
        <f>EXP(-LN(2)/2)*BR98+(1-EXP(-LN(2)/2))/(LN(2)/2)*BL99*BO99*VLOOKUP('Données projet'!$B$11,Paramètres!$A$1:$I$89,3,0)*0.475*44/12</f>
        <v>4.3982575999489888E-10</v>
      </c>
      <c r="BS99" s="22">
        <f t="shared" si="63"/>
        <v>69.960163726725654</v>
      </c>
      <c r="BT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319</v>
      </c>
      <c r="BZ99" s="13">
        <f>BY99*VLOOKUP('Données projet'!$B$12,Paramètres!$A$1:$I$89,3,0)*VLOOKUP('Données projet'!$B$12,Paramètres!$A$1:$I$89,5,0)</f>
        <v>253.79640000000001</v>
      </c>
      <c r="CA99" s="13">
        <f t="shared" si="93"/>
        <v>61.39816832228076</v>
      </c>
      <c r="CB99" s="20">
        <f t="shared" si="64"/>
        <v>548.96387316130563</v>
      </c>
      <c r="CC99" s="59">
        <f t="shared" si="65"/>
        <v>842.29720649463889</v>
      </c>
      <c r="CD99" s="59">
        <f ca="1">AVERAGE(OFFSET($CC$3,0,0,'Données projet'!$E$12+1,1))-AVERAGE(OFFSET($H$3,0,0,'Données projet'!$E$12+1,1))</f>
        <v>279.49721661620544</v>
      </c>
      <c r="CE99" s="59">
        <f t="shared" si="94"/>
        <v>275.18739333988754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38.729202372781849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38.729202372781849</v>
      </c>
      <c r="CO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789</v>
      </c>
      <c r="CU99" s="17">
        <f>CT99*VLOOKUP('Données projet'!$B$13,Paramètres!$A$1:$I$89,3,0)*VLOOKUP('Données projet'!$B$13,Paramètres!$A$1:$I$89,5,0)</f>
        <v>389.76600000000002</v>
      </c>
      <c r="CV99" s="13">
        <f t="shared" si="95"/>
        <v>89.698759503620408</v>
      </c>
      <c r="CW99" s="20">
        <f t="shared" si="67"/>
        <v>835.06778946880547</v>
      </c>
      <c r="CX99" s="59">
        <f t="shared" si="68"/>
        <v>1128.4011228021388</v>
      </c>
      <c r="CY99" s="59">
        <f ca="1">AVERAGE(OFFSET($CX$3,0,0,'Données projet'!$E$13+1,1))-AVERAGE(OFFSET($H$3,0,0,'Données projet'!$E$13+1,1))</f>
        <v>396.27049617044378</v>
      </c>
      <c r="CZ99" s="59">
        <f t="shared" si="96"/>
        <v>335.2680289568774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104.98721324577257</v>
      </c>
      <c r="DG99" s="21">
        <f>EXP(-LN(2)/25)*DG98+(1-EXP(-LN(2)/25))/(LN(2)/25)*Calculateur!DB99*Calculateur!DD99*VLOOKUP('Données projet'!$B$13,Paramètres!$A$1:$I$89,3,0)*0.475*44/12</f>
        <v>7.5414167355395607</v>
      </c>
      <c r="DH99" s="21">
        <f>EXP(-LN(2)/2)*DH98+(1-EXP(-LN(2)/2))/(LN(2)/2)*DB99*DE99*VLOOKUP('Données projet'!$B$13,Paramètres!$A$1:$I$89,3,0)*0.475*44/12</f>
        <v>4.4765695236556492E-11</v>
      </c>
      <c r="DI99" s="22">
        <f t="shared" si="69"/>
        <v>112.52862998135689</v>
      </c>
      <c r="DJ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6.2</v>
      </c>
      <c r="DO99" s="12">
        <f>IF('Données projet'!$A$166&gt;35,DO98+DN99-DW98,IF(A99&lt;'Données projet'!$A$166,$DL$205^A99,IF(A99='Données projet'!$A$166,'Données projet'!$B$166,DO98+DN99-DW98)))</f>
        <v>532.1999999999997</v>
      </c>
      <c r="DP99" s="17">
        <f>DO99*VLOOKUP('Données projet'!$B$14,Paramètres!$A$1:$I$89,3,0)*VLOOKUP('Données projet'!$B$14,Paramètres!$A$1:$I$89,5,0)</f>
        <v>304.41839999999985</v>
      </c>
      <c r="DQ99" s="13">
        <f t="shared" si="97"/>
        <v>72.101940178903959</v>
      </c>
      <c r="DR99" s="20">
        <f t="shared" si="70"/>
        <v>655.77292581159065</v>
      </c>
      <c r="DS99" s="59">
        <f t="shared" si="71"/>
        <v>949.10625914492402</v>
      </c>
      <c r="DT99" s="59">
        <f ca="1">AVERAGE(OFFSET($DS$3,0,0,'Données projet'!$E$14+1,1))-AVERAGE(OFFSET($H$3,0,0,'Données projet'!$E$14+1,1))</f>
        <v>307.43900954374504</v>
      </c>
      <c r="DU99" s="59">
        <f t="shared" si="98"/>
        <v>185.25270859048999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77.935844578230416</v>
      </c>
      <c r="EB99" s="21">
        <f>EXP(-LN(2)/25)*EB98+(1-EXP(-LN(2)/25))/(LN(2)/25)*Calculateur!DW99*Calculateur!DY99*VLOOKUP('Données projet'!$B$14,Paramètres!$A$1:$I$89,3,0)*0.475*44/12</f>
        <v>4.2867000391488013</v>
      </c>
      <c r="EC99" s="21">
        <f>EXP(-LN(2)/2)*EC98+(1-EXP(-LN(2)/2))/(LN(2)/2)*DW99*DZ99*VLOOKUP('Données projet'!$B$14,Paramètres!$A$1:$I$89,3,0)*0.475*44/12</f>
        <v>4.2409606013579815E-11</v>
      </c>
      <c r="ED99" s="22">
        <f t="shared" si="72"/>
        <v>82.222544617421619</v>
      </c>
      <c r="EE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401</v>
      </c>
      <c r="EK99" s="17">
        <f>EJ99*VLOOKUP('Données projet'!$B$15,Paramètres!$A$1:$I$89,3,0)*VLOOKUP('Données projet'!$B$15,Paramètres!$A$1:$I$89,5,0)</f>
        <v>250.22399999999999</v>
      </c>
      <c r="EL99" s="13">
        <f t="shared" si="99"/>
        <v>60.633904580527918</v>
      </c>
      <c r="EM99" s="20">
        <f t="shared" si="73"/>
        <v>541.41085047775289</v>
      </c>
      <c r="EN99" s="59">
        <f t="shared" si="74"/>
        <v>834.74418381108626</v>
      </c>
      <c r="EO99" s="59">
        <f ca="1">AVERAGE(OFFSET($EN$3,0,0,'Données projet'!$E$15+1,1))-AVERAGE(OFFSET($H$3,0,0,'Données projet'!$E$15+1,1))</f>
        <v>269.77739619445515</v>
      </c>
      <c r="EP99" s="59">
        <f t="shared" si="100"/>
        <v>347.56964743629885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37.538348529113364</v>
      </c>
      <c r="EW99" s="21">
        <f>EXP(-LN(2)/25)*EW98+(1-EXP(-LN(2)/25))/(LN(2)/25)*Calculateur!ER99*Calculateur!ET99*VLOOKUP('Données projet'!$B$15,Paramètres!$A$1:$I$89,3,0)*0.475*44/12</f>
        <v>14.718038132795801</v>
      </c>
      <c r="EX99" s="21">
        <f>EXP(-LN(2)/2)*EX98+(1-EXP(-LN(2)/2))/(LN(2)/2)*ER99*EU99*VLOOKUP('Données projet'!$B$15,Paramètres!$A$1:$I$89,3,0)*0.475*44/12</f>
        <v>2.8915640463804424E-12</v>
      </c>
      <c r="EY99" s="22">
        <f t="shared" si="75"/>
        <v>52.256386661912053</v>
      </c>
      <c r="EZ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367.99999999999972</v>
      </c>
      <c r="FF99" s="17">
        <f>FE99*VLOOKUP('Données projet'!$B$16,Paramètres!$A$1:$I$89,3,0)*VLOOKUP('Données projet'!$B$16,Paramètres!$A$1:$I$89,5,0)</f>
        <v>292.78079999999977</v>
      </c>
      <c r="FG99" s="13">
        <f t="shared" si="101"/>
        <v>69.660903052386217</v>
      </c>
      <c r="FH99" s="20">
        <f t="shared" si="76"/>
        <v>631.25263281623893</v>
      </c>
      <c r="FI99" s="59">
        <f t="shared" si="77"/>
        <v>924.58596614957219</v>
      </c>
      <c r="FJ99" s="59">
        <f ca="1">AVERAGE(OFFSET($FI$3,0,0,'Données projet'!$E$16+1,1))-AVERAGE(OFFSET($H$3,0,0,'Données projet'!$E$16+1,1))</f>
        <v>331.52724290297675</v>
      </c>
      <c r="FK99" s="59">
        <f t="shared" si="102"/>
        <v>322.79102610158054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44.89494097530109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44.89494097530109</v>
      </c>
      <c r="FU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852.00000000000011</v>
      </c>
      <c r="GA99" s="17">
        <f>FZ99*VLOOKUP('Données projet'!$B$17,Paramètres!$A$1:$I$89,3,0)*VLOOKUP('Données projet'!$B$17,Paramètres!$A$1:$I$89,5,0)</f>
        <v>420.88800000000009</v>
      </c>
      <c r="GB99" s="13">
        <f t="shared" si="103"/>
        <v>95.998759891259041</v>
      </c>
      <c r="GC99" s="20">
        <f t="shared" si="79"/>
        <v>900.24444014394294</v>
      </c>
      <c r="GD99" s="59">
        <f t="shared" si="80"/>
        <v>1193.5777734772762</v>
      </c>
      <c r="GE99" s="59">
        <f ca="1">AVERAGE(OFFSET($GD$3,0,0,'Données projet'!$E$17+1,1))-AVERAGE(OFFSET($H$3,0,0,'Données projet'!$E$17+1,1))</f>
        <v>434.08297999735811</v>
      </c>
      <c r="GF99" s="59">
        <f t="shared" si="104"/>
        <v>371.04090283546122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115.83167176428351</v>
      </c>
      <c r="GM99" s="21">
        <f>EXP(-LN(2)/25)*GM98+(1-EXP(-LN(2)/25))/(LN(2)/25)*Calculateur!GH99*Calculateur!GJ99*VLOOKUP('Données projet'!$B$17,Paramètres!$A$1:$I$89,3,0)*0.475*44/12</f>
        <v>8.2955584090935233</v>
      </c>
      <c r="GN99" s="21">
        <f>EXP(-LN(2)/2)*GN98+(1-EXP(-LN(2)/2))/(LN(2)/2)*GH99*GK99*VLOOKUP('Données projet'!$B$17,Paramètres!$A$1:$I$89,3,0)*0.475*44/12</f>
        <v>8.7496586144178552E-11</v>
      </c>
      <c r="GO99" s="21">
        <f t="shared" si="81"/>
        <v>124.12723017346453</v>
      </c>
      <c r="GP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6.6</v>
      </c>
      <c r="GU99" s="12">
        <f>IF('Données projet'!$A$270&gt;35,GU98+GT99-HC98,IF(A99&lt;'Données projet'!$A$270,$GR$205^A99,IF(A99='Données projet'!$A$270,'Données projet'!$B$270,GU98+GT99-HC98)))</f>
        <v>605.5999999999998</v>
      </c>
      <c r="GV99" s="17">
        <f>GU99*VLOOKUP('Données projet'!$B$18,Paramètres!$A$1:$I$89,3,0)*VLOOKUP('Données projet'!$B$18,Paramètres!$A$1:$I$89,5,0)</f>
        <v>346.40319999999986</v>
      </c>
      <c r="GW99" s="13">
        <f t="shared" si="105"/>
        <v>80.821448098884929</v>
      </c>
      <c r="GX99" s="20">
        <f t="shared" si="82"/>
        <v>744.08292877222436</v>
      </c>
      <c r="GY99" s="59">
        <f t="shared" si="83"/>
        <v>1037.4162621055577</v>
      </c>
      <c r="GZ99" s="59">
        <f ca="1">AVERAGE(OFFSET($GY$3,0,0,'Données projet'!$E$18+1,1))-AVERAGE(OFFSET($H$3,0,0,'Données projet'!$E$18+1,1))</f>
        <v>362.57172983134313</v>
      </c>
      <c r="HA99" s="59">
        <f t="shared" si="106"/>
        <v>232.03250917542471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87.856596137430131</v>
      </c>
      <c r="HH99" s="21">
        <f>EXP(-LN(2)/25)*HH98+(1-EXP(-LN(2)/25))/(LN(2)/25)*Calculateur!HC99*Calculateur!HE99*VLOOKUP('Données projet'!$B$18,Paramètres!$A$1:$I$89,3,0)*0.475*44/12</f>
        <v>5.001150045673608</v>
      </c>
      <c r="HI99" s="21">
        <f>EXP(-LN(2)/2)*HI98+(1-EXP(-LN(2)/2))/(LN(2)/2)*HC99*HF99*VLOOKUP('Données projet'!$B$18,Paramètres!$A$1:$I$89,3,0)*0.475*44/12</f>
        <v>8.7175301250136262E-11</v>
      </c>
      <c r="HJ99" s="22">
        <f t="shared" si="84"/>
        <v>92.857746183190912</v>
      </c>
    </row>
    <row r="100" spans="1:218" x14ac:dyDescent="0.3">
      <c r="A100" s="10">
        <f t="shared" si="85"/>
        <v>97</v>
      </c>
      <c r="B100" s="71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5">
        <f t="shared" si="56"/>
        <v>398.5369129745979</v>
      </c>
      <c r="I100" s="6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266.99999999999983</v>
      </c>
      <c r="O100" s="13">
        <f>N100*VLOOKUP('Données projet'!$B$9,Paramètres!$A$1:$I$89,3,0)*VLOOKUP('Données projet'!$B$9,Paramètres!$A$1:$I$89,5,0)</f>
        <v>212.42519999999985</v>
      </c>
      <c r="P100" s="13">
        <f t="shared" si="87"/>
        <v>52.465198231787184</v>
      </c>
      <c r="Q100" s="20">
        <f t="shared" si="107"/>
        <v>461.35077692036231</v>
      </c>
      <c r="R100" s="59">
        <f t="shared" si="55"/>
        <v>754.68411025369562</v>
      </c>
      <c r="S100" s="59">
        <f ca="1">AVERAGE(OFFSET($R$3,0,0,'Données projet'!$E$9+1,1))-AVERAGE(OFFSET($H$3,0,0,'Données projet'!$E$9+1,1))</f>
        <v>225.2323446080772</v>
      </c>
      <c r="T100" s="59">
        <f t="shared" si="88"/>
        <v>222.29030402759292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30.984380643538575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30.984380643538575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732.99999999999966</v>
      </c>
      <c r="AJ100" s="13">
        <f>AI100*VLOOKUP('Données projet'!$B$10,Paramètres!$A$1:$I$89,3,0)*VLOOKUP('Données projet'!$B$10,Paramètres!$A$1:$I$89,5,0)</f>
        <v>362.1019999999998</v>
      </c>
      <c r="AK100" s="13">
        <f t="shared" si="89"/>
        <v>84.049487364732272</v>
      </c>
      <c r="AL100" s="20">
        <f t="shared" si="58"/>
        <v>777.04717382690842</v>
      </c>
      <c r="AM100" s="59">
        <f t="shared" si="59"/>
        <v>1070.3805071602417</v>
      </c>
      <c r="AN100" s="59">
        <f ca="1">AVERAGE(OFFSET($AM$3,0,0,'Données projet'!$E$10+1,1))-AVERAGE(OFFSET($H$3,0,0,'Données projet'!$E$10+1,1))</f>
        <v>360.05819346986135</v>
      </c>
      <c r="AO100" s="59">
        <f t="shared" si="90"/>
        <v>300.47468388351081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92.787200220022655</v>
      </c>
      <c r="AV100" s="21">
        <f>EXP(-LN(2)/25)*AV99+(1-EXP(-LN(2)/25))/(LN(2)/25)*Calculateur!AQ100*Calculateur!AS100*VLOOKUP('Données projet'!$B$10,Paramètres!$A$1:$I$89,3,0)*0.475*44/12</f>
        <v>6.6016766684883237</v>
      </c>
      <c r="AW100" s="21">
        <f>EXP(-LN(2)/2)*AW99+(1-EXP(-LN(2)/2))/(LN(2)/2)*AQ100*AT100*VLOOKUP('Données projet'!$B$10,Paramètres!$A$1:$I$89,3,0)*0.475*44/12</f>
        <v>4.3164718181317367E-12</v>
      </c>
      <c r="AX100" s="21">
        <f t="shared" si="60"/>
        <v>99.388876888515298</v>
      </c>
      <c r="AY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</v>
      </c>
      <c r="BD100" s="12">
        <f>IF('Données projet'!$A$88&gt;35,BD99+BC100-BL99,IF(A100&lt;'Données projet'!$A$88,$BA$205^A100,IF(A100='Données projet'!$A$88,'Données projet'!$B$88,BD99+BC100-BL99)))</f>
        <v>462.00000000000006</v>
      </c>
      <c r="BE100" s="13">
        <f>BD100*VLOOKUP('Données projet'!$B$11,Paramètres!$A$1:$I$89,3,0)*VLOOKUP('Données projet'!$B$11,Paramètres!$A$1:$I$89,5,0)</f>
        <v>264.26400000000007</v>
      </c>
      <c r="BF100" s="13">
        <f t="shared" si="91"/>
        <v>63.630428154328875</v>
      </c>
      <c r="BG100" s="20">
        <f t="shared" si="61"/>
        <v>571.08279570212278</v>
      </c>
      <c r="BH100" s="59">
        <f t="shared" si="62"/>
        <v>864.41612903545615</v>
      </c>
      <c r="BI100" s="59">
        <f ca="1">AVERAGE(OFFSET($BH$3,0,0,'Données projet'!$E$11+1,1))-AVERAGE(OFFSET($H$3,0,0,'Données projet'!$E$11+1,1))</f>
        <v>250.90038883668348</v>
      </c>
      <c r="BJ100" s="59">
        <f t="shared" si="92"/>
        <v>141.96132114475608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66.716004390343869</v>
      </c>
      <c r="BQ100" s="21">
        <f>EXP(-LN(2)/25)*BQ99+(1-EXP(-LN(2)/25))/(LN(2)/25)*Calculateur!BL100*Calculateur!BN100*VLOOKUP('Données projet'!$B$11,Paramètres!$A$1:$I$89,3,0)*0.475*44/12</f>
        <v>1.8575101554607811</v>
      </c>
      <c r="BR100" s="21">
        <f>EXP(-LN(2)/2)*BR99+(1-EXP(-LN(2)/2))/(LN(2)/2)*BL100*BO100*VLOOKUP('Données projet'!$B$11,Paramètres!$A$1:$I$89,3,0)*0.475*44/12</f>
        <v>3.1100377743291993E-10</v>
      </c>
      <c r="BS100" s="22">
        <f t="shared" si="63"/>
        <v>68.573514546115661</v>
      </c>
      <c r="BT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319</v>
      </c>
      <c r="BZ100" s="13">
        <f>BY100*VLOOKUP('Données projet'!$B$12,Paramètres!$A$1:$I$89,3,0)*VLOOKUP('Données projet'!$B$12,Paramètres!$A$1:$I$89,5,0)</f>
        <v>253.79640000000001</v>
      </c>
      <c r="CA100" s="13">
        <f t="shared" si="93"/>
        <v>61.39816832228076</v>
      </c>
      <c r="CB100" s="20">
        <f t="shared" si="64"/>
        <v>548.96387316130563</v>
      </c>
      <c r="CC100" s="59">
        <f t="shared" si="65"/>
        <v>842.29720649463889</v>
      </c>
      <c r="CD100" s="59">
        <f ca="1">AVERAGE(OFFSET($CC$3,0,0,'Données projet'!$E$12+1,1))-AVERAGE(OFFSET($H$3,0,0,'Données projet'!$E$12+1,1))</f>
        <v>279.49721661620544</v>
      </c>
      <c r="CE100" s="59">
        <f t="shared" si="94"/>
        <v>275.18739333988754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37.96974633673252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37.96974633673252</v>
      </c>
      <c r="CO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789</v>
      </c>
      <c r="CU100" s="17">
        <f>CT100*VLOOKUP('Données projet'!$B$13,Paramètres!$A$1:$I$89,3,0)*VLOOKUP('Données projet'!$B$13,Paramètres!$A$1:$I$89,5,0)</f>
        <v>389.76600000000002</v>
      </c>
      <c r="CV100" s="13">
        <f t="shared" si="95"/>
        <v>89.698759503620408</v>
      </c>
      <c r="CW100" s="20">
        <f t="shared" si="67"/>
        <v>835.06778946880547</v>
      </c>
      <c r="CX100" s="59">
        <f t="shared" si="68"/>
        <v>1128.4011228021388</v>
      </c>
      <c r="CY100" s="59">
        <f ca="1">AVERAGE(OFFSET($CX$3,0,0,'Données projet'!$E$13+1,1))-AVERAGE(OFFSET($H$3,0,0,'Données projet'!$E$13+1,1))</f>
        <v>396.27049617044378</v>
      </c>
      <c r="CZ100" s="59">
        <f t="shared" si="96"/>
        <v>335.2680289568774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102.92847802990003</v>
      </c>
      <c r="DG100" s="21">
        <f>EXP(-LN(2)/25)*DG99+(1-EXP(-LN(2)/25))/(LN(2)/25)*Calculateur!DB100*Calculateur!DD100*VLOOKUP('Données projet'!$B$13,Paramètres!$A$1:$I$89,3,0)*0.475*44/12</f>
        <v>7.3351962983203611</v>
      </c>
      <c r="DH100" s="21">
        <f>EXP(-LN(2)/2)*DH99+(1-EXP(-LN(2)/2))/(LN(2)/2)*DB100*DE100*VLOOKUP('Données projet'!$B$13,Paramètres!$A$1:$I$89,3,0)*0.475*44/12</f>
        <v>3.1654126666299424E-11</v>
      </c>
      <c r="DI100" s="22">
        <f t="shared" si="69"/>
        <v>110.26367432825204</v>
      </c>
      <c r="DJ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6.2</v>
      </c>
      <c r="DO100" s="12">
        <f>IF('Données projet'!$A$166&gt;35,DO99+DN100-DW99,IF(A100&lt;'Données projet'!$A$166,$DL$205^A100,IF(A100='Données projet'!$A$166,'Données projet'!$B$166,DO99+DN100-DW99)))</f>
        <v>538.39999999999975</v>
      </c>
      <c r="DP100" s="17">
        <f>DO100*VLOOKUP('Données projet'!$B$14,Paramètres!$A$1:$I$89,3,0)*VLOOKUP('Données projet'!$B$14,Paramètres!$A$1:$I$89,5,0)</f>
        <v>307.96479999999985</v>
      </c>
      <c r="DQ100" s="13">
        <f t="shared" si="97"/>
        <v>72.843636609422802</v>
      </c>
      <c r="DR100" s="20">
        <f t="shared" si="70"/>
        <v>663.24136042807777</v>
      </c>
      <c r="DS100" s="59">
        <f t="shared" si="71"/>
        <v>956.57469376141103</v>
      </c>
      <c r="DT100" s="59">
        <f ca="1">AVERAGE(OFFSET($DS$3,0,0,'Données projet'!$E$14+1,1))-AVERAGE(OFFSET($H$3,0,0,'Données projet'!$E$14+1,1))</f>
        <v>307.43900954374504</v>
      </c>
      <c r="DU100" s="59">
        <f t="shared" si="98"/>
        <v>185.25270859048999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76.407570202222701</v>
      </c>
      <c r="EB100" s="21">
        <f>EXP(-LN(2)/25)*EB99+(1-EXP(-LN(2)/25))/(LN(2)/25)*Calculateur!DW100*Calculateur!DY100*VLOOKUP('Données projet'!$B$14,Paramètres!$A$1:$I$89,3,0)*0.475*44/12</f>
        <v>4.1694800011505198</v>
      </c>
      <c r="EC100" s="21">
        <f>EXP(-LN(2)/2)*EC99+(1-EXP(-LN(2)/2))/(LN(2)/2)*DW100*DZ100*VLOOKUP('Données projet'!$B$14,Paramètres!$A$1:$I$89,3,0)*0.475*44/12</f>
        <v>2.9988119999652072E-11</v>
      </c>
      <c r="ED100" s="22">
        <f t="shared" si="72"/>
        <v>80.577050203403203</v>
      </c>
      <c r="EE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401</v>
      </c>
      <c r="EK100" s="17">
        <f>EJ100*VLOOKUP('Données projet'!$B$15,Paramètres!$A$1:$I$89,3,0)*VLOOKUP('Données projet'!$B$15,Paramètres!$A$1:$I$89,5,0)</f>
        <v>250.22399999999999</v>
      </c>
      <c r="EL100" s="13">
        <f t="shared" si="99"/>
        <v>60.633904580527918</v>
      </c>
      <c r="EM100" s="20">
        <f t="shared" si="73"/>
        <v>541.41085047775289</v>
      </c>
      <c r="EN100" s="59">
        <f t="shared" si="74"/>
        <v>834.74418381108626</v>
      </c>
      <c r="EO100" s="59">
        <f ca="1">AVERAGE(OFFSET($EN$3,0,0,'Données projet'!$E$15+1,1))-AVERAGE(OFFSET($H$3,0,0,'Données projet'!$E$15+1,1))</f>
        <v>269.77739619445515</v>
      </c>
      <c r="EP100" s="59">
        <f t="shared" si="100"/>
        <v>347.56964743629885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36.802244410589246</v>
      </c>
      <c r="EW100" s="21">
        <f>EXP(-LN(2)/25)*EW99+(1-EXP(-LN(2)/25))/(LN(2)/25)*Calculateur!ER100*Calculateur!ET100*VLOOKUP('Données projet'!$B$15,Paramètres!$A$1:$I$89,3,0)*0.475*44/12</f>
        <v>14.315572606066512</v>
      </c>
      <c r="EX100" s="21">
        <f>EXP(-LN(2)/2)*EX99+(1-EXP(-LN(2)/2))/(LN(2)/2)*ER100*EU100*VLOOKUP('Données projet'!$B$15,Paramètres!$A$1:$I$89,3,0)*0.475*44/12</f>
        <v>2.0446445454308234E-12</v>
      </c>
      <c r="EY100" s="22">
        <f t="shared" si="75"/>
        <v>51.117817016657803</v>
      </c>
      <c r="EZ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367.99999999999972</v>
      </c>
      <c r="FF100" s="17">
        <f>FE100*VLOOKUP('Données projet'!$B$16,Paramètres!$A$1:$I$89,3,0)*VLOOKUP('Données projet'!$B$16,Paramètres!$A$1:$I$89,5,0)</f>
        <v>292.78079999999977</v>
      </c>
      <c r="FG100" s="13">
        <f t="shared" si="101"/>
        <v>69.660903052386217</v>
      </c>
      <c r="FH100" s="20">
        <f t="shared" si="76"/>
        <v>631.25263281623893</v>
      </c>
      <c r="FI100" s="59">
        <f t="shared" si="77"/>
        <v>924.58596614957219</v>
      </c>
      <c r="FJ100" s="59">
        <f ca="1">AVERAGE(OFFSET($FI$3,0,0,'Données projet'!$E$16+1,1))-AVERAGE(OFFSET($H$3,0,0,'Données projet'!$E$16+1,1))</f>
        <v>331.52724290297675</v>
      </c>
      <c r="FK100" s="59">
        <f t="shared" si="102"/>
        <v>322.79102610158054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44.014578565985566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44.014578565985566</v>
      </c>
      <c r="FU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852.00000000000011</v>
      </c>
      <c r="GA100" s="17">
        <f>FZ100*VLOOKUP('Données projet'!$B$17,Paramètres!$A$1:$I$89,3,0)*VLOOKUP('Données projet'!$B$17,Paramètres!$A$1:$I$89,5,0)</f>
        <v>420.88800000000009</v>
      </c>
      <c r="GB100" s="13">
        <f t="shared" si="103"/>
        <v>95.998759891259041</v>
      </c>
      <c r="GC100" s="20">
        <f t="shared" si="79"/>
        <v>900.24444014394294</v>
      </c>
      <c r="GD100" s="59">
        <f t="shared" si="80"/>
        <v>1193.5777734772762</v>
      </c>
      <c r="GE100" s="59">
        <f ca="1">AVERAGE(OFFSET($GD$3,0,0,'Données projet'!$E$17+1,1))-AVERAGE(OFFSET($H$3,0,0,'Données projet'!$E$17+1,1))</f>
        <v>434.08297999735811</v>
      </c>
      <c r="GF100" s="59">
        <f t="shared" si="104"/>
        <v>371.04090283546122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113.56028333132954</v>
      </c>
      <c r="GM100" s="21">
        <f>EXP(-LN(2)/25)*GM99+(1-EXP(-LN(2)/25))/(LN(2)/25)*Calculateur!GH100*Calculateur!GJ100*VLOOKUP('Données projet'!$B$17,Paramètres!$A$1:$I$89,3,0)*0.475*44/12</f>
        <v>8.0687159281524039</v>
      </c>
      <c r="GN100" s="21">
        <f>EXP(-LN(2)/2)*GN99+(1-EXP(-LN(2)/2))/(LN(2)/2)*GH100*GK100*VLOOKUP('Données projet'!$B$17,Paramètres!$A$1:$I$89,3,0)*0.475*44/12</f>
        <v>6.1869429393221567E-11</v>
      </c>
      <c r="GO100" s="21">
        <f t="shared" si="81"/>
        <v>121.62899925954382</v>
      </c>
      <c r="GP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6.6</v>
      </c>
      <c r="GU100" s="12">
        <f>IF('Données projet'!$A$270&gt;35,GU99+GT100-HC99,IF(A100&lt;'Données projet'!$A$270,$GR$205^A100,IF(A100='Données projet'!$A$270,'Données projet'!$B$270,GU99+GT100-HC99)))</f>
        <v>612.19999999999982</v>
      </c>
      <c r="GV100" s="17">
        <f>GU100*VLOOKUP('Données projet'!$B$18,Paramètres!$A$1:$I$89,3,0)*VLOOKUP('Données projet'!$B$18,Paramètres!$A$1:$I$89,5,0)</f>
        <v>350.17839999999995</v>
      </c>
      <c r="GW100" s="13">
        <f t="shared" si="105"/>
        <v>81.599244561297354</v>
      </c>
      <c r="GX100" s="20">
        <f t="shared" si="82"/>
        <v>752.01273094425926</v>
      </c>
      <c r="GY100" s="59">
        <f t="shared" si="83"/>
        <v>1045.3460642775926</v>
      </c>
      <c r="GZ100" s="59">
        <f ca="1">AVERAGE(OFFSET($GY$3,0,0,'Données projet'!$E$18+1,1))-AVERAGE(OFFSET($H$3,0,0,'Données projet'!$E$18+1,1))</f>
        <v>362.57172983134313</v>
      </c>
      <c r="HA100" s="59">
        <f t="shared" si="106"/>
        <v>232.03250917542471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86.133781874407475</v>
      </c>
      <c r="HH100" s="21">
        <f>EXP(-LN(2)/25)*HH99+(1-EXP(-LN(2)/25))/(LN(2)/25)*Calculateur!HC100*Calculateur!HE100*VLOOKUP('Données projet'!$B$18,Paramètres!$A$1:$I$89,3,0)*0.475*44/12</f>
        <v>4.8643933346756123</v>
      </c>
      <c r="HI100" s="21">
        <f>EXP(-LN(2)/2)*HI99+(1-EXP(-LN(2)/2))/(LN(2)/2)*HC100*HF100*VLOOKUP('Données projet'!$B$18,Paramètres!$A$1:$I$89,3,0)*0.475*44/12</f>
        <v>6.1642246665951464E-11</v>
      </c>
      <c r="HJ100" s="22">
        <f t="shared" si="84"/>
        <v>90.998175209144733</v>
      </c>
    </row>
    <row r="101" spans="1:218" x14ac:dyDescent="0.3">
      <c r="A101" s="10">
        <f t="shared" si="85"/>
        <v>98</v>
      </c>
      <c r="B101" s="71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5">
        <f t="shared" si="56"/>
        <v>399.59262443424268</v>
      </c>
      <c r="I101" s="6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266.99999999999983</v>
      </c>
      <c r="O101" s="13">
        <f>N101*VLOOKUP('Données projet'!$B$9,Paramètres!$A$1:$I$89,3,0)*VLOOKUP('Données projet'!$B$9,Paramètres!$A$1:$I$89,5,0)</f>
        <v>212.42519999999985</v>
      </c>
      <c r="P101" s="13">
        <f t="shared" si="87"/>
        <v>52.465198231787184</v>
      </c>
      <c r="Q101" s="20">
        <f t="shared" si="107"/>
        <v>461.35077692036231</v>
      </c>
      <c r="R101" s="59">
        <f t="shared" si="55"/>
        <v>754.68411025369562</v>
      </c>
      <c r="S101" s="59">
        <f ca="1">AVERAGE(OFFSET($R$3,0,0,'Données projet'!$E$9+1,1))-AVERAGE(OFFSET($H$3,0,0,'Données projet'!$E$9+1,1))</f>
        <v>225.2323446080772</v>
      </c>
      <c r="T101" s="59">
        <f t="shared" si="88"/>
        <v>222.29030402759292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30.376795837724895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30.376795837724895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732.99999999999966</v>
      </c>
      <c r="AJ101" s="13">
        <f>AI101*VLOOKUP('Données projet'!$B$10,Paramètres!$A$1:$I$89,3,0)*VLOOKUP('Données projet'!$B$10,Paramètres!$A$1:$I$89,5,0)</f>
        <v>362.1019999999998</v>
      </c>
      <c r="AK101" s="13">
        <f t="shared" si="89"/>
        <v>84.049487364732272</v>
      </c>
      <c r="AL101" s="20">
        <f t="shared" si="58"/>
        <v>777.04717382690842</v>
      </c>
      <c r="AM101" s="59">
        <f t="shared" si="59"/>
        <v>1070.3805071602417</v>
      </c>
      <c r="AN101" s="59">
        <f ca="1">AVERAGE(OFFSET($AM$3,0,0,'Données projet'!$E$10+1,1))-AVERAGE(OFFSET($H$3,0,0,'Données projet'!$E$10+1,1))</f>
        <v>360.05819346986135</v>
      </c>
      <c r="AO101" s="59">
        <f t="shared" si="90"/>
        <v>300.47468388351081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90.967699818311885</v>
      </c>
      <c r="AV101" s="21">
        <f>EXP(-LN(2)/25)*AV100+(1-EXP(-LN(2)/25))/(LN(2)/25)*Calculateur!AQ101*Calculateur!AS101*VLOOKUP('Données projet'!$B$10,Paramètres!$A$1:$I$89,3,0)*0.475*44/12</f>
        <v>6.4211534728214232</v>
      </c>
      <c r="AW101" s="21">
        <f>EXP(-LN(2)/2)*AW100+(1-EXP(-LN(2)/2))/(LN(2)/2)*AQ101*AT101*VLOOKUP('Données projet'!$B$10,Paramètres!$A$1:$I$89,3,0)*0.475*44/12</f>
        <v>3.052206493401577E-12</v>
      </c>
      <c r="AX101" s="21">
        <f t="shared" si="60"/>
        <v>97.388853291136357</v>
      </c>
      <c r="AY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</v>
      </c>
      <c r="BD101" s="12">
        <f>IF('Données projet'!$A$88&gt;35,BD100+BC101-BL100,IF(A101&lt;'Données projet'!$A$88,$BA$205^A101,IF(A101='Données projet'!$A$88,'Données projet'!$B$88,BD100+BC101-BL100)))</f>
        <v>467.00000000000006</v>
      </c>
      <c r="BE101" s="13">
        <f>BD101*VLOOKUP('Données projet'!$B$11,Paramètres!$A$1:$I$89,3,0)*VLOOKUP('Données projet'!$B$11,Paramètres!$A$1:$I$89,5,0)</f>
        <v>267.12400000000002</v>
      </c>
      <c r="BF101" s="13">
        <f t="shared" si="91"/>
        <v>64.238529608986653</v>
      </c>
      <c r="BG101" s="20">
        <f t="shared" si="61"/>
        <v>577.12307240231848</v>
      </c>
      <c r="BH101" s="59">
        <f t="shared" si="62"/>
        <v>870.45640573565174</v>
      </c>
      <c r="BI101" s="59">
        <f ca="1">AVERAGE(OFFSET($BH$3,0,0,'Données projet'!$E$11+1,1))-AVERAGE(OFFSET($H$3,0,0,'Données projet'!$E$11+1,1))</f>
        <v>250.90038883668348</v>
      </c>
      <c r="BJ101" s="59">
        <f t="shared" si="92"/>
        <v>141.96132114475608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65.407744236993835</v>
      </c>
      <c r="BQ101" s="21">
        <f>EXP(-LN(2)/25)*BQ100+(1-EXP(-LN(2)/25))/(LN(2)/25)*Calculateur!BL101*Calculateur!BN101*VLOOKUP('Données projet'!$B$11,Paramètres!$A$1:$I$89,3,0)*0.475*44/12</f>
        <v>1.8067164425774924</v>
      </c>
      <c r="BR101" s="21">
        <f>EXP(-LN(2)/2)*BR100+(1-EXP(-LN(2)/2))/(LN(2)/2)*BL101*BO101*VLOOKUP('Données projet'!$B$11,Paramètres!$A$1:$I$89,3,0)*0.475*44/12</f>
        <v>2.1991287999744944E-10</v>
      </c>
      <c r="BS101" s="22">
        <f t="shared" si="63"/>
        <v>67.214460679791245</v>
      </c>
      <c r="BT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319</v>
      </c>
      <c r="BZ101" s="13">
        <f>BY101*VLOOKUP('Données projet'!$B$12,Paramètres!$A$1:$I$89,3,0)*VLOOKUP('Données projet'!$B$12,Paramètres!$A$1:$I$89,5,0)</f>
        <v>253.79640000000001</v>
      </c>
      <c r="CA101" s="13">
        <f t="shared" si="93"/>
        <v>61.39816832228076</v>
      </c>
      <c r="CB101" s="20">
        <f t="shared" si="64"/>
        <v>548.96387316130563</v>
      </c>
      <c r="CC101" s="59">
        <f t="shared" si="65"/>
        <v>842.29720649463889</v>
      </c>
      <c r="CD101" s="59">
        <f ca="1">AVERAGE(OFFSET($CC$3,0,0,'Données projet'!$E$12+1,1))-AVERAGE(OFFSET($H$3,0,0,'Données projet'!$E$12+1,1))</f>
        <v>279.49721661620544</v>
      </c>
      <c r="CE101" s="59">
        <f t="shared" si="94"/>
        <v>275.18739333988754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37.22518277032767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37.22518277032767</v>
      </c>
      <c r="CO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789</v>
      </c>
      <c r="CU101" s="17">
        <f>CT101*VLOOKUP('Données projet'!$B$13,Paramètres!$A$1:$I$89,3,0)*VLOOKUP('Données projet'!$B$13,Paramètres!$A$1:$I$89,5,0)</f>
        <v>389.76600000000002</v>
      </c>
      <c r="CV101" s="13">
        <f t="shared" si="95"/>
        <v>89.698759503620408</v>
      </c>
      <c r="CW101" s="20">
        <f t="shared" si="67"/>
        <v>835.06778946880547</v>
      </c>
      <c r="CX101" s="59">
        <f t="shared" si="68"/>
        <v>1128.4011228021388</v>
      </c>
      <c r="CY101" s="59">
        <f ca="1">AVERAGE(OFFSET($CX$3,0,0,'Données projet'!$E$13+1,1))-AVERAGE(OFFSET($H$3,0,0,'Données projet'!$E$13+1,1))</f>
        <v>396.27049617044378</v>
      </c>
      <c r="CZ101" s="59">
        <f t="shared" si="96"/>
        <v>335.2680289568774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100.91011335590626</v>
      </c>
      <c r="DG101" s="21">
        <f>EXP(-LN(2)/25)*DG100+(1-EXP(-LN(2)/25))/(LN(2)/25)*Calculateur!DB101*Calculateur!DD101*VLOOKUP('Données projet'!$B$13,Paramètres!$A$1:$I$89,3,0)*0.475*44/12</f>
        <v>7.1346149698015822</v>
      </c>
      <c r="DH101" s="21">
        <f>EXP(-LN(2)/2)*DH100+(1-EXP(-LN(2)/2))/(LN(2)/2)*DB101*DE101*VLOOKUP('Données projet'!$B$13,Paramètres!$A$1:$I$89,3,0)*0.475*44/12</f>
        <v>2.2382847618278246E-11</v>
      </c>
      <c r="DI101" s="22">
        <f t="shared" si="69"/>
        <v>108.04472832573022</v>
      </c>
      <c r="DJ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6.2</v>
      </c>
      <c r="DO101" s="12">
        <f>IF('Données projet'!$A$166&gt;35,DO100+DN101-DW100,IF(A101&lt;'Données projet'!$A$166,$DL$205^A101,IF(A101='Données projet'!$A$166,'Données projet'!$B$166,DO100+DN101-DW100)))</f>
        <v>544.5999999999998</v>
      </c>
      <c r="DP101" s="17">
        <f>DO101*VLOOKUP('Données projet'!$B$14,Paramètres!$A$1:$I$89,3,0)*VLOOKUP('Données projet'!$B$14,Paramètres!$A$1:$I$89,5,0)</f>
        <v>311.51119999999992</v>
      </c>
      <c r="DQ101" s="13">
        <f t="shared" si="97"/>
        <v>73.584339500932884</v>
      </c>
      <c r="DR101" s="20">
        <f t="shared" si="70"/>
        <v>670.70806463079123</v>
      </c>
      <c r="DS101" s="59">
        <f t="shared" si="71"/>
        <v>964.0413979641246</v>
      </c>
      <c r="DT101" s="59">
        <f ca="1">AVERAGE(OFFSET($DS$3,0,0,'Données projet'!$E$14+1,1))-AVERAGE(OFFSET($H$3,0,0,'Données projet'!$E$14+1,1))</f>
        <v>307.43900954374504</v>
      </c>
      <c r="DU101" s="59">
        <f t="shared" si="98"/>
        <v>185.25270859048999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74.909264354573168</v>
      </c>
      <c r="EB101" s="21">
        <f>EXP(-LN(2)/25)*EB100+(1-EXP(-LN(2)/25))/(LN(2)/25)*Calculateur!DW101*Calculateur!DY101*VLOOKUP('Données projet'!$B$14,Paramètres!$A$1:$I$89,3,0)*0.475*44/12</f>
        <v>4.0554653512556351</v>
      </c>
      <c r="EC101" s="21">
        <f>EXP(-LN(2)/2)*EC100+(1-EXP(-LN(2)/2))/(LN(2)/2)*DW101*DZ101*VLOOKUP('Données projet'!$B$14,Paramètres!$A$1:$I$89,3,0)*0.475*44/12</f>
        <v>2.1204803006789908E-11</v>
      </c>
      <c r="ED101" s="22">
        <f t="shared" si="72"/>
        <v>78.964729705850004</v>
      </c>
      <c r="EE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401</v>
      </c>
      <c r="EK101" s="17">
        <f>EJ101*VLOOKUP('Données projet'!$B$15,Paramètres!$A$1:$I$89,3,0)*VLOOKUP('Données projet'!$B$15,Paramètres!$A$1:$I$89,5,0)</f>
        <v>250.22399999999999</v>
      </c>
      <c r="EL101" s="13">
        <f t="shared" si="99"/>
        <v>60.633904580527918</v>
      </c>
      <c r="EM101" s="20">
        <f t="shared" si="73"/>
        <v>541.41085047775289</v>
      </c>
      <c r="EN101" s="59">
        <f t="shared" si="74"/>
        <v>834.74418381108626</v>
      </c>
      <c r="EO101" s="59">
        <f ca="1">AVERAGE(OFFSET($EN$3,0,0,'Données projet'!$E$15+1,1))-AVERAGE(OFFSET($H$3,0,0,'Données projet'!$E$15+1,1))</f>
        <v>269.77739619445515</v>
      </c>
      <c r="EP101" s="59">
        <f t="shared" si="100"/>
        <v>347.56964743629885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36.080574844850211</v>
      </c>
      <c r="EW101" s="21">
        <f>EXP(-LN(2)/25)*EW100+(1-EXP(-LN(2)/25))/(LN(2)/25)*Calculateur!ER101*Calculateur!ET101*VLOOKUP('Données projet'!$B$15,Paramètres!$A$1:$I$89,3,0)*0.475*44/12</f>
        <v>13.924112520330379</v>
      </c>
      <c r="EX101" s="21">
        <f>EXP(-LN(2)/2)*EX100+(1-EXP(-LN(2)/2))/(LN(2)/2)*ER101*EU101*VLOOKUP('Données projet'!$B$15,Paramètres!$A$1:$I$89,3,0)*0.475*44/12</f>
        <v>1.4457820231902212E-12</v>
      </c>
      <c r="EY101" s="22">
        <f t="shared" si="75"/>
        <v>50.004687365182029</v>
      </c>
      <c r="EZ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367.99999999999972</v>
      </c>
      <c r="FF101" s="17">
        <f>FE101*VLOOKUP('Données projet'!$B$16,Paramètres!$A$1:$I$89,3,0)*VLOOKUP('Données projet'!$B$16,Paramètres!$A$1:$I$89,5,0)</f>
        <v>292.78079999999977</v>
      </c>
      <c r="FG101" s="13">
        <f t="shared" si="101"/>
        <v>69.660903052386217</v>
      </c>
      <c r="FH101" s="20">
        <f t="shared" si="76"/>
        <v>631.25263281623893</v>
      </c>
      <c r="FI101" s="59">
        <f t="shared" si="77"/>
        <v>924.58596614957219</v>
      </c>
      <c r="FJ101" s="59">
        <f ca="1">AVERAGE(OFFSET($FI$3,0,0,'Données projet'!$E$16+1,1))-AVERAGE(OFFSET($H$3,0,0,'Données projet'!$E$16+1,1))</f>
        <v>331.52724290297675</v>
      </c>
      <c r="FK101" s="59">
        <f t="shared" si="102"/>
        <v>322.79102610158054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43.15147952654867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43.15147952654867</v>
      </c>
      <c r="FU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852.00000000000011</v>
      </c>
      <c r="GA101" s="17">
        <f>FZ101*VLOOKUP('Données projet'!$B$17,Paramètres!$A$1:$I$89,3,0)*VLOOKUP('Données projet'!$B$17,Paramètres!$A$1:$I$89,5,0)</f>
        <v>420.88800000000009</v>
      </c>
      <c r="GB101" s="13">
        <f t="shared" si="103"/>
        <v>95.998759891259041</v>
      </c>
      <c r="GC101" s="20">
        <f t="shared" si="79"/>
        <v>900.24444014394294</v>
      </c>
      <c r="GD101" s="59">
        <f t="shared" si="80"/>
        <v>1193.5777734772762</v>
      </c>
      <c r="GE101" s="59">
        <f ca="1">AVERAGE(OFFSET($GD$3,0,0,'Données projet'!$E$17+1,1))-AVERAGE(OFFSET($H$3,0,0,'Données projet'!$E$17+1,1))</f>
        <v>434.08297999735811</v>
      </c>
      <c r="GF101" s="59">
        <f t="shared" si="104"/>
        <v>371.04090283546122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111.33343544013566</v>
      </c>
      <c r="GM101" s="21">
        <f>EXP(-LN(2)/25)*GM100+(1-EXP(-LN(2)/25))/(LN(2)/25)*Calculateur!GH101*Calculateur!GJ101*VLOOKUP('Données projet'!$B$17,Paramètres!$A$1:$I$89,3,0)*0.475*44/12</f>
        <v>7.8480764667817473</v>
      </c>
      <c r="GN101" s="21">
        <f>EXP(-LN(2)/2)*GN100+(1-EXP(-LN(2)/2))/(LN(2)/2)*GH101*GK101*VLOOKUP('Données projet'!$B$17,Paramètres!$A$1:$I$89,3,0)*0.475*44/12</f>
        <v>4.3748293072089276E-11</v>
      </c>
      <c r="GO101" s="21">
        <f t="shared" si="81"/>
        <v>119.18151190696116</v>
      </c>
      <c r="GP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6.6</v>
      </c>
      <c r="GU101" s="12">
        <f>IF('Données projet'!$A$270&gt;35,GU100+GT101-HC100,IF(A101&lt;'Données projet'!$A$270,$GR$205^A101,IF(A101='Données projet'!$A$270,'Données projet'!$B$270,GU100+GT101-HC100)))</f>
        <v>618.79999999999984</v>
      </c>
      <c r="GV101" s="17">
        <f>GU101*VLOOKUP('Données projet'!$B$18,Paramètres!$A$1:$I$89,3,0)*VLOOKUP('Données projet'!$B$18,Paramètres!$A$1:$I$89,5,0)</f>
        <v>353.95359999999994</v>
      </c>
      <c r="GW101" s="13">
        <f t="shared" si="105"/>
        <v>82.376065571526468</v>
      </c>
      <c r="GX101" s="20">
        <f t="shared" si="82"/>
        <v>759.9408342037417</v>
      </c>
      <c r="GY101" s="59">
        <f t="shared" si="83"/>
        <v>1053.2741675370751</v>
      </c>
      <c r="GZ101" s="59">
        <f ca="1">AVERAGE(OFFSET($GY$3,0,0,'Données projet'!$E$18+1,1))-AVERAGE(OFFSET($H$3,0,0,'Données projet'!$E$18+1,1))</f>
        <v>362.57172983134313</v>
      </c>
      <c r="HA101" s="59">
        <f t="shared" si="106"/>
        <v>232.03250917542471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84.444750948269743</v>
      </c>
      <c r="HH101" s="21">
        <f>EXP(-LN(2)/25)*HH100+(1-EXP(-LN(2)/25))/(LN(2)/25)*Calculateur!HC101*Calculateur!HE101*VLOOKUP('Données projet'!$B$18,Paramètres!$A$1:$I$89,3,0)*0.475*44/12</f>
        <v>4.7313762431315798</v>
      </c>
      <c r="HI101" s="21">
        <f>EXP(-LN(2)/2)*HI100+(1-EXP(-LN(2)/2))/(LN(2)/2)*HC101*HF101*VLOOKUP('Données projet'!$B$18,Paramètres!$A$1:$I$89,3,0)*0.475*44/12</f>
        <v>4.3587650625068131E-11</v>
      </c>
      <c r="HJ101" s="22">
        <f t="shared" si="84"/>
        <v>89.176127191444905</v>
      </c>
    </row>
    <row r="102" spans="1:218" x14ac:dyDescent="0.3">
      <c r="A102" s="10">
        <f t="shared" si="85"/>
        <v>99</v>
      </c>
      <c r="B102" s="71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5">
        <f t="shared" si="56"/>
        <v>400.64807714809581</v>
      </c>
      <c r="I102" s="6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266.99999999999983</v>
      </c>
      <c r="O102" s="13">
        <f>N102*VLOOKUP('Données projet'!$B$9,Paramètres!$A$1:$I$89,3,0)*VLOOKUP('Données projet'!$B$9,Paramètres!$A$1:$I$89,5,0)</f>
        <v>212.42519999999985</v>
      </c>
      <c r="P102" s="13">
        <f t="shared" si="87"/>
        <v>52.465198231787184</v>
      </c>
      <c r="Q102" s="20">
        <f t="shared" si="107"/>
        <v>461.35077692036231</v>
      </c>
      <c r="R102" s="59">
        <f t="shared" si="55"/>
        <v>754.68411025369562</v>
      </c>
      <c r="S102" s="59">
        <f ca="1">AVERAGE(OFFSET($R$3,0,0,'Données projet'!$E$9+1,1))-AVERAGE(OFFSET($H$3,0,0,'Données projet'!$E$9+1,1))</f>
        <v>225.2323446080772</v>
      </c>
      <c r="T102" s="59">
        <f t="shared" si="88"/>
        <v>222.29030402759292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29.781125399363081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29.781125399363081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732.99999999999966</v>
      </c>
      <c r="AJ102" s="13">
        <f>AI102*VLOOKUP('Données projet'!$B$10,Paramètres!$A$1:$I$89,3,0)*VLOOKUP('Données projet'!$B$10,Paramètres!$A$1:$I$89,5,0)</f>
        <v>362.1019999999998</v>
      </c>
      <c r="AK102" s="13">
        <f t="shared" si="89"/>
        <v>84.049487364732272</v>
      </c>
      <c r="AL102" s="20">
        <f t="shared" si="58"/>
        <v>777.04717382690842</v>
      </c>
      <c r="AM102" s="59">
        <f t="shared" si="59"/>
        <v>1070.3805071602417</v>
      </c>
      <c r="AN102" s="59">
        <f ca="1">AVERAGE(OFFSET($AM$3,0,0,'Données projet'!$E$10+1,1))-AVERAGE(OFFSET($H$3,0,0,'Données projet'!$E$10+1,1))</f>
        <v>360.05819346986135</v>
      </c>
      <c r="AO102" s="59">
        <f t="shared" si="90"/>
        <v>300.47468388351081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89.183878709693005</v>
      </c>
      <c r="AV102" s="21">
        <f>EXP(-LN(2)/25)*AV101+(1-EXP(-LN(2)/25))/(LN(2)/25)*Calculateur!AQ102*Calculateur!AS102*VLOOKUP('Données projet'!$B$10,Paramètres!$A$1:$I$89,3,0)*0.475*44/12</f>
        <v>6.2455666934333358</v>
      </c>
      <c r="AW102" s="21">
        <f>EXP(-LN(2)/2)*AW101+(1-EXP(-LN(2)/2))/(LN(2)/2)*AQ102*AT102*VLOOKUP('Données projet'!$B$10,Paramètres!$A$1:$I$89,3,0)*0.475*44/12</f>
        <v>2.1582359090658684E-12</v>
      </c>
      <c r="AX102" s="21">
        <f t="shared" si="60"/>
        <v>95.429445403128497</v>
      </c>
      <c r="AY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</v>
      </c>
      <c r="BD102" s="12">
        <f>IF('Données projet'!$A$88&gt;35,BD101+BC102-BL101,IF(A102&lt;'Données projet'!$A$88,$BA$205^A102,IF(A102='Données projet'!$A$88,'Données projet'!$B$88,BD101+BC102-BL101)))</f>
        <v>472.00000000000006</v>
      </c>
      <c r="BE102" s="13">
        <f>BD102*VLOOKUP('Données projet'!$B$11,Paramètres!$A$1:$I$89,3,0)*VLOOKUP('Données projet'!$B$11,Paramètres!$A$1:$I$89,5,0)</f>
        <v>269.98400000000004</v>
      </c>
      <c r="BF102" s="13">
        <f t="shared" si="91"/>
        <v>64.845873672314454</v>
      </c>
      <c r="BG102" s="20">
        <f t="shared" si="61"/>
        <v>583.1620299792811</v>
      </c>
      <c r="BH102" s="59">
        <f t="shared" si="62"/>
        <v>876.49536331261447</v>
      </c>
      <c r="BI102" s="59">
        <f ca="1">AVERAGE(OFFSET($BH$3,0,0,'Données projet'!$E$11+1,1))-AVERAGE(OFFSET($H$3,0,0,'Données projet'!$E$11+1,1))</f>
        <v>250.90038883668348</v>
      </c>
      <c r="BJ102" s="59">
        <f t="shared" si="92"/>
        <v>141.96132114475608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64.125138267291092</v>
      </c>
      <c r="BQ102" s="21">
        <f>EXP(-LN(2)/25)*BQ101+(1-EXP(-LN(2)/25))/(LN(2)/25)*Calculateur!BL102*Calculateur!BN102*VLOOKUP('Données projet'!$B$11,Paramètres!$A$1:$I$89,3,0)*0.475*44/12</f>
        <v>1.7573116864441225</v>
      </c>
      <c r="BR102" s="21">
        <f>EXP(-LN(2)/2)*BR101+(1-EXP(-LN(2)/2))/(LN(2)/2)*BL102*BO102*VLOOKUP('Données projet'!$B$11,Paramètres!$A$1:$I$89,3,0)*0.475*44/12</f>
        <v>1.5550188871645996E-10</v>
      </c>
      <c r="BS102" s="22">
        <f t="shared" si="63"/>
        <v>65.882449953890713</v>
      </c>
      <c r="BT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319</v>
      </c>
      <c r="BZ102" s="13">
        <f>BY102*VLOOKUP('Données projet'!$B$12,Paramètres!$A$1:$I$89,3,0)*VLOOKUP('Données projet'!$B$12,Paramètres!$A$1:$I$89,5,0)</f>
        <v>253.79640000000001</v>
      </c>
      <c r="CA102" s="13">
        <f t="shared" si="93"/>
        <v>61.39816832228076</v>
      </c>
      <c r="CB102" s="20">
        <f t="shared" si="64"/>
        <v>548.96387316130563</v>
      </c>
      <c r="CC102" s="59">
        <f t="shared" si="65"/>
        <v>842.29720649463889</v>
      </c>
      <c r="CD102" s="59">
        <f ca="1">AVERAGE(OFFSET($CC$3,0,0,'Données projet'!$E$12+1,1))-AVERAGE(OFFSET($H$3,0,0,'Données projet'!$E$12+1,1))</f>
        <v>279.49721661620544</v>
      </c>
      <c r="CE102" s="59">
        <f t="shared" si="94"/>
        <v>275.18739333988754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36.495219641321093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36.495219641321093</v>
      </c>
      <c r="CO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789</v>
      </c>
      <c r="CU102" s="17">
        <f>CT102*VLOOKUP('Données projet'!$B$13,Paramètres!$A$1:$I$89,3,0)*VLOOKUP('Données projet'!$B$13,Paramètres!$A$1:$I$89,5,0)</f>
        <v>389.76600000000002</v>
      </c>
      <c r="CV102" s="13">
        <f t="shared" si="95"/>
        <v>89.698759503620408</v>
      </c>
      <c r="CW102" s="20">
        <f t="shared" si="67"/>
        <v>835.06778946880547</v>
      </c>
      <c r="CX102" s="59">
        <f t="shared" si="68"/>
        <v>1128.4011228021388</v>
      </c>
      <c r="CY102" s="59">
        <f ca="1">AVERAGE(OFFSET($CX$3,0,0,'Données projet'!$E$13+1,1))-AVERAGE(OFFSET($H$3,0,0,'Données projet'!$E$13+1,1))</f>
        <v>396.27049617044378</v>
      </c>
      <c r="CZ102" s="59">
        <f t="shared" si="96"/>
        <v>335.2680289568774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98.931327582088613</v>
      </c>
      <c r="DG102" s="21">
        <f>EXP(-LN(2)/25)*DG101+(1-EXP(-LN(2)/25))/(LN(2)/25)*Calculateur!DB102*Calculateur!DD102*VLOOKUP('Données projet'!$B$13,Paramètres!$A$1:$I$89,3,0)*0.475*44/12</f>
        <v>6.9395185482592634</v>
      </c>
      <c r="DH102" s="21">
        <f>EXP(-LN(2)/2)*DH101+(1-EXP(-LN(2)/2))/(LN(2)/2)*DB102*DE102*VLOOKUP('Données projet'!$B$13,Paramètres!$A$1:$I$89,3,0)*0.475*44/12</f>
        <v>1.5827063333149712E-11</v>
      </c>
      <c r="DI102" s="22">
        <f t="shared" si="69"/>
        <v>105.8708461303637</v>
      </c>
      <c r="DJ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6.2</v>
      </c>
      <c r="DO102" s="12">
        <f>IF('Données projet'!$A$166&gt;35,DO101+DN102-DW101,IF(A102&lt;'Données projet'!$A$166,$DL$205^A102,IF(A102='Données projet'!$A$166,'Données projet'!$B$166,DO101+DN102-DW101)))</f>
        <v>550.79999999999984</v>
      </c>
      <c r="DP102" s="17">
        <f>DO102*VLOOKUP('Données projet'!$B$14,Paramètres!$A$1:$I$89,3,0)*VLOOKUP('Données projet'!$B$14,Paramètres!$A$1:$I$89,5,0)</f>
        <v>315.05759999999992</v>
      </c>
      <c r="DQ102" s="13">
        <f t="shared" si="97"/>
        <v>74.324061473160583</v>
      </c>
      <c r="DR102" s="20">
        <f t="shared" si="70"/>
        <v>678.17306039908783</v>
      </c>
      <c r="DS102" s="59">
        <f t="shared" si="71"/>
        <v>971.5063937324212</v>
      </c>
      <c r="DT102" s="59">
        <f ca="1">AVERAGE(OFFSET($DS$3,0,0,'Données projet'!$E$14+1,1))-AVERAGE(OFFSET($H$3,0,0,'Données projet'!$E$14+1,1))</f>
        <v>307.43900954374504</v>
      </c>
      <c r="DU102" s="59">
        <f t="shared" si="98"/>
        <v>185.25270859048999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73.440339370719713</v>
      </c>
      <c r="EB102" s="21">
        <f>EXP(-LN(2)/25)*EB101+(1-EXP(-LN(2)/25))/(LN(2)/25)*Calculateur!DW102*Calculateur!DY102*VLOOKUP('Données projet'!$B$14,Paramètres!$A$1:$I$89,3,0)*0.475*44/12</f>
        <v>3.944568437957896</v>
      </c>
      <c r="EC102" s="21">
        <f>EXP(-LN(2)/2)*EC101+(1-EXP(-LN(2)/2))/(LN(2)/2)*DW102*DZ102*VLOOKUP('Données projet'!$B$14,Paramètres!$A$1:$I$89,3,0)*0.475*44/12</f>
        <v>1.4994059999826036E-11</v>
      </c>
      <c r="ED102" s="22">
        <f t="shared" si="72"/>
        <v>77.384907808692603</v>
      </c>
      <c r="EE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401</v>
      </c>
      <c r="EK102" s="17">
        <f>EJ102*VLOOKUP('Données projet'!$B$15,Paramètres!$A$1:$I$89,3,0)*VLOOKUP('Données projet'!$B$15,Paramètres!$A$1:$I$89,5,0)</f>
        <v>250.22399999999999</v>
      </c>
      <c r="EL102" s="13">
        <f t="shared" si="99"/>
        <v>60.633904580527918</v>
      </c>
      <c r="EM102" s="20">
        <f t="shared" si="73"/>
        <v>541.41085047775289</v>
      </c>
      <c r="EN102" s="59">
        <f t="shared" si="74"/>
        <v>834.74418381108626</v>
      </c>
      <c r="EO102" s="59">
        <f ca="1">AVERAGE(OFFSET($EN$3,0,0,'Données projet'!$E$15+1,1))-AVERAGE(OFFSET($H$3,0,0,'Données projet'!$E$15+1,1))</f>
        <v>269.77739619445515</v>
      </c>
      <c r="EP102" s="59">
        <f t="shared" si="100"/>
        <v>347.56964743629885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35.373056779120347</v>
      </c>
      <c r="EW102" s="21">
        <f>EXP(-LN(2)/25)*EW101+(1-EXP(-LN(2)/25))/(LN(2)/25)*Calculateur!ER102*Calculateur!ET102*VLOOKUP('Données projet'!$B$15,Paramètres!$A$1:$I$89,3,0)*0.475*44/12</f>
        <v>13.543356931224691</v>
      </c>
      <c r="EX102" s="21">
        <f>EXP(-LN(2)/2)*EX101+(1-EXP(-LN(2)/2))/(LN(2)/2)*ER102*EU102*VLOOKUP('Données projet'!$B$15,Paramètres!$A$1:$I$89,3,0)*0.475*44/12</f>
        <v>1.0223222727154117E-12</v>
      </c>
      <c r="EY102" s="22">
        <f t="shared" si="75"/>
        <v>48.916413710346063</v>
      </c>
      <c r="EZ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367.99999999999972</v>
      </c>
      <c r="FF102" s="17">
        <f>FE102*VLOOKUP('Données projet'!$B$16,Paramètres!$A$1:$I$89,3,0)*VLOOKUP('Données projet'!$B$16,Paramètres!$A$1:$I$89,5,0)</f>
        <v>292.78079999999977</v>
      </c>
      <c r="FG102" s="13">
        <f t="shared" si="101"/>
        <v>69.660903052386217</v>
      </c>
      <c r="FH102" s="20">
        <f t="shared" si="76"/>
        <v>631.25263281623893</v>
      </c>
      <c r="FI102" s="59">
        <f t="shared" si="77"/>
        <v>924.58596614957219</v>
      </c>
      <c r="FJ102" s="59">
        <f ca="1">AVERAGE(OFFSET($FI$3,0,0,'Données projet'!$E$16+1,1))-AVERAGE(OFFSET($H$3,0,0,'Données projet'!$E$16+1,1))</f>
        <v>331.52724290297675</v>
      </c>
      <c r="FK102" s="59">
        <f t="shared" si="102"/>
        <v>322.79102610158054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42.305305332836696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42.305305332836696</v>
      </c>
      <c r="FU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852.00000000000011</v>
      </c>
      <c r="GA102" s="17">
        <f>FZ102*VLOOKUP('Données projet'!$B$17,Paramètres!$A$1:$I$89,3,0)*VLOOKUP('Données projet'!$B$17,Paramètres!$A$1:$I$89,5,0)</f>
        <v>420.88800000000009</v>
      </c>
      <c r="GB102" s="13">
        <f t="shared" si="103"/>
        <v>95.998759891259041</v>
      </c>
      <c r="GC102" s="20">
        <f t="shared" si="79"/>
        <v>900.24444014394294</v>
      </c>
      <c r="GD102" s="59">
        <f t="shared" si="80"/>
        <v>1193.5777734772762</v>
      </c>
      <c r="GE102" s="59">
        <f ca="1">AVERAGE(OFFSET($GD$3,0,0,'Données projet'!$E$17+1,1))-AVERAGE(OFFSET($H$3,0,0,'Données projet'!$E$17+1,1))</f>
        <v>434.08297999735811</v>
      </c>
      <c r="GF102" s="59">
        <f t="shared" si="104"/>
        <v>371.04090283546122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109.15025467784498</v>
      </c>
      <c r="GM102" s="21">
        <f>EXP(-LN(2)/25)*GM101+(1-EXP(-LN(2)/25))/(LN(2)/25)*Calculateur!GH102*Calculateur!GJ102*VLOOKUP('Données projet'!$B$17,Paramètres!$A$1:$I$89,3,0)*0.475*44/12</f>
        <v>7.6334704030851963</v>
      </c>
      <c r="GN102" s="21">
        <f>EXP(-LN(2)/2)*GN101+(1-EXP(-LN(2)/2))/(LN(2)/2)*GH102*GK102*VLOOKUP('Données projet'!$B$17,Paramètres!$A$1:$I$89,3,0)*0.475*44/12</f>
        <v>3.0934714696610784E-11</v>
      </c>
      <c r="GO102" s="21">
        <f t="shared" si="81"/>
        <v>116.78372508096112</v>
      </c>
      <c r="GP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6.6</v>
      </c>
      <c r="GU102" s="12">
        <f>IF('Données projet'!$A$270&gt;35,GU101+GT102-HC101,IF(A102&lt;'Données projet'!$A$270,$GR$205^A102,IF(A102='Données projet'!$A$270,'Données projet'!$B$270,GU101+GT102-HC101)))</f>
        <v>625.39999999999986</v>
      </c>
      <c r="GV102" s="17">
        <f>GU102*VLOOKUP('Données projet'!$B$18,Paramètres!$A$1:$I$89,3,0)*VLOOKUP('Données projet'!$B$18,Paramètres!$A$1:$I$89,5,0)</f>
        <v>357.72879999999992</v>
      </c>
      <c r="GW102" s="13">
        <f t="shared" si="105"/>
        <v>83.151922737813805</v>
      </c>
      <c r="GX102" s="20">
        <f t="shared" si="82"/>
        <v>767.86725876835874</v>
      </c>
      <c r="GY102" s="59">
        <f t="shared" si="83"/>
        <v>1061.2005921016921</v>
      </c>
      <c r="GZ102" s="59">
        <f ca="1">AVERAGE(OFFSET($GY$3,0,0,'Données projet'!$E$18+1,1))-AVERAGE(OFFSET($H$3,0,0,'Données projet'!$E$18+1,1))</f>
        <v>362.57172983134313</v>
      </c>
      <c r="HA102" s="59">
        <f t="shared" si="106"/>
        <v>232.03250917542471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82.788840888386432</v>
      </c>
      <c r="HH102" s="21">
        <f>EXP(-LN(2)/25)*HH101+(1-EXP(-LN(2)/25))/(LN(2)/25)*Calculateur!HC102*Calculateur!HE102*VLOOKUP('Données projet'!$B$18,Paramètres!$A$1:$I$89,3,0)*0.475*44/12</f>
        <v>4.601996510950884</v>
      </c>
      <c r="HI102" s="21">
        <f>EXP(-LN(2)/2)*HI101+(1-EXP(-LN(2)/2))/(LN(2)/2)*HC102*HF102*VLOOKUP('Données projet'!$B$18,Paramètres!$A$1:$I$89,3,0)*0.475*44/12</f>
        <v>3.0821123332975732E-11</v>
      </c>
      <c r="HJ102" s="22">
        <f t="shared" si="84"/>
        <v>87.390837399368138</v>
      </c>
    </row>
    <row r="103" spans="1:218" x14ac:dyDescent="0.3">
      <c r="A103" s="10">
        <f t="shared" si="85"/>
        <v>100</v>
      </c>
      <c r="B103" s="71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5">
        <f t="shared" si="56"/>
        <v>401.70327403235842</v>
      </c>
      <c r="I103" s="6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266.99999999999983</v>
      </c>
      <c r="O103" s="13">
        <f>N103*VLOOKUP('Données projet'!$B$9,Paramètres!$A$1:$I$89,3,0)*VLOOKUP('Données projet'!$B$9,Paramètres!$A$1:$I$89,5,0)</f>
        <v>212.42519999999985</v>
      </c>
      <c r="P103" s="13">
        <f t="shared" si="87"/>
        <v>52.465198231787184</v>
      </c>
      <c r="Q103" s="20">
        <f t="shared" si="107"/>
        <v>461.35077692036231</v>
      </c>
      <c r="R103" s="59">
        <f t="shared" si="55"/>
        <v>754.68411025369562</v>
      </c>
      <c r="S103" s="59">
        <f ca="1">AVERAGE(OFFSET($R$3,0,0,'Données projet'!$E$9+1,1))-AVERAGE(OFFSET($H$3,0,0,'Données projet'!$E$9+1,1))</f>
        <v>225.2323446080772</v>
      </c>
      <c r="T103" s="59">
        <f t="shared" si="88"/>
        <v>222.29030402759292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29.197135694974449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29.197135694974449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732.99999999999966</v>
      </c>
      <c r="AJ103" s="13">
        <f>AI103*VLOOKUP('Données projet'!$B$10,Paramètres!$A$1:$I$89,3,0)*VLOOKUP('Données projet'!$B$10,Paramètres!$A$1:$I$89,5,0)</f>
        <v>362.1019999999998</v>
      </c>
      <c r="AK103" s="13">
        <f t="shared" si="89"/>
        <v>84.049487364732272</v>
      </c>
      <c r="AL103" s="20">
        <f t="shared" si="58"/>
        <v>777.04717382690842</v>
      </c>
      <c r="AM103" s="59">
        <f t="shared" si="59"/>
        <v>1070.3805071602417</v>
      </c>
      <c r="AN103" s="59">
        <f ca="1">AVERAGE(OFFSET($AM$3,0,0,'Données projet'!$E$10+1,1))-AVERAGE(OFFSET($H$3,0,0,'Données projet'!$E$10+1,1))</f>
        <v>360.05819346986135</v>
      </c>
      <c r="AO103" s="59">
        <f t="shared" si="90"/>
        <v>300.47468388351081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87.435037244990696</v>
      </c>
      <c r="AV103" s="21">
        <f>EXP(-LN(2)/25)*AV102+(1-EXP(-LN(2)/25))/(LN(2)/25)*Calculateur!AQ103*Calculateur!AS103*VLOOKUP('Données projet'!$B$10,Paramètres!$A$1:$I$89,3,0)*0.475*44/12</f>
        <v>6.0747813437613232</v>
      </c>
      <c r="AW103" s="21">
        <f>EXP(-LN(2)/2)*AW102+(1-EXP(-LN(2)/2))/(LN(2)/2)*AQ103*AT103*VLOOKUP('Données projet'!$B$10,Paramètres!$A$1:$I$89,3,0)*0.475*44/12</f>
        <v>1.5261032467007885E-12</v>
      </c>
      <c r="AX103" s="21">
        <f t="shared" si="60"/>
        <v>93.509818588753532</v>
      </c>
      <c r="AY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477</v>
      </c>
      <c r="BB103" s="12">
        <f>VLOOKUP(A103,'Données projet'!$A$87:$I$107,9,0)</f>
        <v>5</v>
      </c>
      <c r="BC103" s="12">
        <f t="array" ref="BC103">INDEX(BB:BB,MIN(IF(ISNUMBER(BB103:BB299),ROW(BB103:BB299),"")))</f>
        <v>5</v>
      </c>
      <c r="BD103" s="12">
        <f>IF('Données projet'!$A$88&gt;35,BD102+BC103-BL102,IF(A103&lt;'Données projet'!$A$88,$BA$205^A103,IF(A103='Données projet'!$A$88,'Données projet'!$B$88,BD102+BC103-BL102)))</f>
        <v>477.00000000000006</v>
      </c>
      <c r="BE103" s="13">
        <f>BD103*VLOOKUP('Données projet'!$B$11,Paramètres!$A$1:$I$89,3,0)*VLOOKUP('Données projet'!$B$11,Paramètres!$A$1:$I$89,5,0)</f>
        <v>272.84400000000005</v>
      </c>
      <c r="BF103" s="13">
        <f t="shared" si="91"/>
        <v>65.452469296244246</v>
      </c>
      <c r="BG103" s="20">
        <f t="shared" si="61"/>
        <v>589.1996840242922</v>
      </c>
      <c r="BH103" s="59">
        <f t="shared" si="62"/>
        <v>882.53301735762557</v>
      </c>
      <c r="BI103" s="59">
        <f ca="1">AVERAGE(OFFSET($BH$3,0,0,'Données projet'!$E$11+1,1))-AVERAGE(OFFSET($H$3,0,0,'Données projet'!$E$11+1,1))</f>
        <v>250.90038883668348</v>
      </c>
      <c r="BJ103" s="59">
        <f t="shared" si="92"/>
        <v>141.96132114475608</v>
      </c>
      <c r="BK103" s="15">
        <f>IF(ISNA(VLOOKUP(A103,'Données projet'!$A$87:$I$107,3,0)),0,VLOOKUP(A103,'Données projet'!$A$87:$I$107,3,0))</f>
        <v>16</v>
      </c>
      <c r="BL103" s="15">
        <f>IF(ISNA(VLOOKUP(A103,'Données projet'!$A$87:$I$107,4,0)),0,VLOOKUP(A103,'Données projet'!$A$87:$I$107,4,0))</f>
        <v>12</v>
      </c>
      <c r="BM103" s="16">
        <f>IF(ISNA(VLOOKUP(A103,'Données projet'!$A$87:$I$107,5,0)),0%,VLOOKUP(A103,'Données projet'!$A$87:$I$107,5,0)*VLOOKUP('Données projet'!$B$11,Paramètres!$A$1:$I$89,7,0))</f>
        <v>0.45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66.965175708303477</v>
      </c>
      <c r="BQ103" s="21">
        <f>EXP(-LN(2)/25)*BQ102+(1-EXP(-LN(2)/25))/(LN(2)/25)*Calculateur!BL103*Calculateur!BN103*VLOOKUP('Données projet'!$B$11,Paramètres!$A$1:$I$89,3,0)*0.475*44/12</f>
        <v>1.7092579059653028</v>
      </c>
      <c r="BR103" s="21">
        <f>EXP(-LN(2)/2)*BR102+(1-EXP(-LN(2)/2))/(LN(2)/2)*BL103*BO103*VLOOKUP('Données projet'!$B$11,Paramètres!$A$1:$I$89,3,0)*0.475*44/12</f>
        <v>1.0995643999872472E-10</v>
      </c>
      <c r="BS103" s="22">
        <f t="shared" si="63"/>
        <v>68.674433614378728</v>
      </c>
      <c r="BT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319</v>
      </c>
      <c r="BZ103" s="13">
        <f>BY103*VLOOKUP('Données projet'!$B$12,Paramètres!$A$1:$I$89,3,0)*VLOOKUP('Données projet'!$B$12,Paramètres!$A$1:$I$89,5,0)</f>
        <v>253.79640000000001</v>
      </c>
      <c r="CA103" s="13">
        <f t="shared" si="93"/>
        <v>61.39816832228076</v>
      </c>
      <c r="CB103" s="20">
        <f t="shared" si="64"/>
        <v>548.96387316130563</v>
      </c>
      <c r="CC103" s="59">
        <f t="shared" si="65"/>
        <v>842.29720649463889</v>
      </c>
      <c r="CD103" s="59">
        <f ca="1">AVERAGE(OFFSET($CC$3,0,0,'Données projet'!$E$12+1,1))-AVERAGE(OFFSET($H$3,0,0,'Données projet'!$E$12+1,1))</f>
        <v>279.49721661620544</v>
      </c>
      <c r="CE103" s="59">
        <f t="shared" si="94"/>
        <v>275.18739333988754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35.779570644040788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35.779570644040788</v>
      </c>
      <c r="CO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789</v>
      </c>
      <c r="CU103" s="17">
        <f>CT103*VLOOKUP('Données projet'!$B$13,Paramètres!$A$1:$I$89,3,0)*VLOOKUP('Données projet'!$B$13,Paramètres!$A$1:$I$89,5,0)</f>
        <v>389.76600000000002</v>
      </c>
      <c r="CV103" s="13">
        <f t="shared" si="95"/>
        <v>89.698759503620408</v>
      </c>
      <c r="CW103" s="20">
        <f t="shared" si="67"/>
        <v>835.06778946880547</v>
      </c>
      <c r="CX103" s="59">
        <f t="shared" si="68"/>
        <v>1128.4011228021388</v>
      </c>
      <c r="CY103" s="59">
        <f ca="1">AVERAGE(OFFSET($CX$3,0,0,'Données projet'!$E$13+1,1))-AVERAGE(OFFSET($H$3,0,0,'Données projet'!$E$13+1,1))</f>
        <v>396.27049617044378</v>
      </c>
      <c r="CZ103" s="59">
        <f t="shared" si="96"/>
        <v>335.2680289568774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96.991344590355382</v>
      </c>
      <c r="DG103" s="21">
        <f>EXP(-LN(2)/25)*DG102+(1-EXP(-LN(2)/25))/(LN(2)/25)*Calculateur!DB103*Calculateur!DD103*VLOOKUP('Données projet'!$B$13,Paramètres!$A$1:$I$89,3,0)*0.475*44/12</f>
        <v>6.7497570486236942</v>
      </c>
      <c r="DH103" s="21">
        <f>EXP(-LN(2)/2)*DH102+(1-EXP(-LN(2)/2))/(LN(2)/2)*DB103*DE103*VLOOKUP('Données projet'!$B$13,Paramètres!$A$1:$I$89,3,0)*0.475*44/12</f>
        <v>1.1191423809139123E-11</v>
      </c>
      <c r="DI103" s="22">
        <f t="shared" si="69"/>
        <v>103.74110163899027</v>
      </c>
      <c r="DJ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557</v>
      </c>
      <c r="DM103" s="12">
        <f>VLOOKUP(A103,'Données projet'!$A$165:$I$185,9,0)</f>
        <v>6.2</v>
      </c>
      <c r="DN103" s="12">
        <f t="array" ref="DN103">INDEX(DM:DM,MIN(IF(ISNUMBER(DM103:DM299),ROW(DM103:DM299),"")))</f>
        <v>6.2</v>
      </c>
      <c r="DO103" s="12">
        <f>IF('Données projet'!$A$166&gt;35,DO102+DN103-DW102,IF(A103&lt;'Données projet'!$A$166,$DL$205^A103,IF(A103='Données projet'!$A$166,'Données projet'!$B$166,DO102+DN103-DW102)))</f>
        <v>556.99999999999989</v>
      </c>
      <c r="DP103" s="17">
        <f>DO103*VLOOKUP('Données projet'!$B$14,Paramètres!$A$1:$I$89,3,0)*VLOOKUP('Données projet'!$B$14,Paramètres!$A$1:$I$89,5,0)</f>
        <v>318.60399999999993</v>
      </c>
      <c r="DQ103" s="13">
        <f t="shared" si="97"/>
        <v>75.062814845371335</v>
      </c>
      <c r="DR103" s="20">
        <f t="shared" si="70"/>
        <v>685.63636918902159</v>
      </c>
      <c r="DS103" s="59">
        <f t="shared" si="71"/>
        <v>978.96970252235496</v>
      </c>
      <c r="DT103" s="59">
        <f ca="1">AVERAGE(OFFSET($DS$3,0,0,'Données projet'!$E$14+1,1))-AVERAGE(OFFSET($H$3,0,0,'Données projet'!$E$14+1,1))</f>
        <v>307.43900954374504</v>
      </c>
      <c r="DU103" s="59">
        <f t="shared" si="98"/>
        <v>185.25270859048999</v>
      </c>
      <c r="DV103" s="15">
        <f>IF(ISNA(VLOOKUP(A103,'Données projet'!$A$165:$I$185,3,0)),0,VLOOKUP(A103,'Données projet'!$A$165:$I$185,3,0))</f>
        <v>17</v>
      </c>
      <c r="DW103" s="15">
        <f>IF(ISNA(VLOOKUP(A103,'Données projet'!$A$165:$I$185,4,0)),0,VLOOKUP(A103,'Données projet'!$A$165:$I$185,4,0))</f>
        <v>15</v>
      </c>
      <c r="DX103" s="16">
        <f>IF(ISNA(VLOOKUP(A103,'Données projet'!$A$165:$I$185,5,0)),0%,VLOOKUP(A103,'Données projet'!$A$165:$I$185,5,0)*VLOOKUP('Données projet'!$B$14,Paramètres!$A$1:$I$89,7,0))</f>
        <v>0.45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77.122084472295924</v>
      </c>
      <c r="EB103" s="21">
        <f>EXP(-LN(2)/25)*EB102+(1-EXP(-LN(2)/25))/(LN(2)/25)*Calculateur!DW103*Calculateur!DY103*VLOOKUP('Données projet'!$B$14,Paramètres!$A$1:$I$89,3,0)*0.475*44/12</f>
        <v>3.8367040065860984</v>
      </c>
      <c r="EC103" s="21">
        <f>EXP(-LN(2)/2)*EC102+(1-EXP(-LN(2)/2))/(LN(2)/2)*DW103*DZ103*VLOOKUP('Données projet'!$B$14,Paramètres!$A$1:$I$89,3,0)*0.475*44/12</f>
        <v>1.0602401503394954E-11</v>
      </c>
      <c r="ED103" s="22">
        <f t="shared" si="72"/>
        <v>80.958788478892629</v>
      </c>
      <c r="EE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401</v>
      </c>
      <c r="EK103" s="17">
        <f>EJ103*VLOOKUP('Données projet'!$B$15,Paramètres!$A$1:$I$89,3,0)*VLOOKUP('Données projet'!$B$15,Paramètres!$A$1:$I$89,5,0)</f>
        <v>250.22399999999999</v>
      </c>
      <c r="EL103" s="13">
        <f t="shared" si="99"/>
        <v>60.633904580527918</v>
      </c>
      <c r="EM103" s="20">
        <f t="shared" si="73"/>
        <v>541.41085047775289</v>
      </c>
      <c r="EN103" s="59">
        <f t="shared" si="74"/>
        <v>834.74418381108626</v>
      </c>
      <c r="EO103" s="59">
        <f ca="1">AVERAGE(OFFSET($EN$3,0,0,'Données projet'!$E$15+1,1))-AVERAGE(OFFSET($H$3,0,0,'Données projet'!$E$15+1,1))</f>
        <v>269.77739619445515</v>
      </c>
      <c r="EP103" s="59">
        <f t="shared" si="100"/>
        <v>347.56964743629885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34.679412711116036</v>
      </c>
      <c r="EW103" s="21">
        <f>EXP(-LN(2)/25)*EW102+(1-EXP(-LN(2)/25))/(LN(2)/25)*Calculateur!ER103*Calculateur!ET103*VLOOKUP('Données projet'!$B$15,Paramètres!$A$1:$I$89,3,0)*0.475*44/12</f>
        <v>13.173013123726165</v>
      </c>
      <c r="EX103" s="21">
        <f>EXP(-LN(2)/2)*EX102+(1-EXP(-LN(2)/2))/(LN(2)/2)*ER103*EU103*VLOOKUP('Données projet'!$B$15,Paramètres!$A$1:$I$89,3,0)*0.475*44/12</f>
        <v>7.228910115951106E-13</v>
      </c>
      <c r="EY103" s="22">
        <f t="shared" si="75"/>
        <v>47.852425834842926</v>
      </c>
      <c r="EZ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367.99999999999972</v>
      </c>
      <c r="FF103" s="17">
        <f>FE103*VLOOKUP('Données projet'!$B$16,Paramètres!$A$1:$I$89,3,0)*VLOOKUP('Données projet'!$B$16,Paramètres!$A$1:$I$89,5,0)</f>
        <v>292.78079999999977</v>
      </c>
      <c r="FG103" s="13">
        <f t="shared" si="101"/>
        <v>69.660903052386217</v>
      </c>
      <c r="FH103" s="20">
        <f t="shared" si="76"/>
        <v>631.25263281623893</v>
      </c>
      <c r="FI103" s="59">
        <f t="shared" si="77"/>
        <v>924.58596614957219</v>
      </c>
      <c r="FJ103" s="59">
        <f ca="1">AVERAGE(OFFSET($FI$3,0,0,'Données projet'!$E$16+1,1))-AVERAGE(OFFSET($H$3,0,0,'Données projet'!$E$16+1,1))</f>
        <v>331.52724290297675</v>
      </c>
      <c r="FK103" s="59">
        <f t="shared" si="102"/>
        <v>322.79102610158054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41.47572409894812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41.47572409894812</v>
      </c>
      <c r="FU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852.00000000000011</v>
      </c>
      <c r="GA103" s="17">
        <f>FZ103*VLOOKUP('Données projet'!$B$17,Paramètres!$A$1:$I$89,3,0)*VLOOKUP('Données projet'!$B$17,Paramètres!$A$1:$I$89,5,0)</f>
        <v>420.88800000000009</v>
      </c>
      <c r="GB103" s="13">
        <f t="shared" si="103"/>
        <v>95.998759891259041</v>
      </c>
      <c r="GC103" s="20">
        <f t="shared" si="79"/>
        <v>900.24444014394294</v>
      </c>
      <c r="GD103" s="59">
        <f t="shared" si="80"/>
        <v>1193.5777734772762</v>
      </c>
      <c r="GE103" s="59">
        <f ca="1">AVERAGE(OFFSET($GD$3,0,0,'Données projet'!$E$17+1,1))-AVERAGE(OFFSET($H$3,0,0,'Données projet'!$E$17+1,1))</f>
        <v>434.08297999735811</v>
      </c>
      <c r="GF103" s="59">
        <f t="shared" si="104"/>
        <v>371.04090283546122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107.00988475869406</v>
      </c>
      <c r="GM103" s="21">
        <f>EXP(-LN(2)/25)*GM102+(1-EXP(-LN(2)/25))/(LN(2)/25)*Calculateur!GH103*Calculateur!GJ103*VLOOKUP('Données projet'!$B$17,Paramètres!$A$1:$I$89,3,0)*0.475*44/12</f>
        <v>7.4247327534860696</v>
      </c>
      <c r="GN103" s="21">
        <f>EXP(-LN(2)/2)*GN102+(1-EXP(-LN(2)/2))/(LN(2)/2)*GH103*GK103*VLOOKUP('Données projet'!$B$17,Paramètres!$A$1:$I$89,3,0)*0.475*44/12</f>
        <v>2.1874146536044638E-11</v>
      </c>
      <c r="GO103" s="21">
        <f t="shared" si="81"/>
        <v>114.434617512202</v>
      </c>
      <c r="GP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>
        <f>VLOOKUP(A103,'Données projet'!$A$269:$I$289,2,0)</f>
        <v>632</v>
      </c>
      <c r="GS103" s="12">
        <f>VLOOKUP(A103,'Données projet'!$A$269:$I$289,9,0)</f>
        <v>6.6</v>
      </c>
      <c r="GT103" s="12">
        <f t="array" ref="GT103">INDEX(GS:GS,MIN(IF(ISNUMBER(GS103:GS299),ROW(GS103:GS299),"")))</f>
        <v>6.6</v>
      </c>
      <c r="GU103" s="12">
        <f>IF('Données projet'!$A$270&gt;35,GU102+GT103-HC102,IF(A103&lt;'Données projet'!$A$270,$GR$205^A103,IF(A103='Données projet'!$A$270,'Données projet'!$B$270,GU102+GT103-HC102)))</f>
        <v>631.99999999999989</v>
      </c>
      <c r="GV103" s="17">
        <f>GU103*VLOOKUP('Données projet'!$B$18,Paramètres!$A$1:$I$89,3,0)*VLOOKUP('Données projet'!$B$18,Paramètres!$A$1:$I$89,5,0)</f>
        <v>361.50399999999991</v>
      </c>
      <c r="GW103" s="13">
        <f t="shared" si="105"/>
        <v>83.926827409276797</v>
      </c>
      <c r="GX103" s="20">
        <f t="shared" si="82"/>
        <v>775.79202440449023</v>
      </c>
      <c r="GY103" s="59">
        <f t="shared" si="83"/>
        <v>1069.1253577378236</v>
      </c>
      <c r="GZ103" s="59">
        <f ca="1">AVERAGE(OFFSET($GY$3,0,0,'Données projet'!$E$18+1,1))-AVERAGE(OFFSET($H$3,0,0,'Données projet'!$E$18+1,1))</f>
        <v>362.57172983134313</v>
      </c>
      <c r="HA103" s="59">
        <f t="shared" si="106"/>
        <v>232.03250917542471</v>
      </c>
      <c r="HB103" s="15">
        <f>IF(ISNA(VLOOKUP(A103,'Données projet'!$A$269:$I$289,3,0)),0,VLOOKUP(A103,'Données projet'!$A$269:$I$289,3,0))</f>
        <v>17</v>
      </c>
      <c r="HC103" s="15">
        <f>IF(ISNA(VLOOKUP(A103,'Données projet'!$A$269:$I$289,4,0)),0,VLOOKUP(A103,'Données projet'!$A$269:$I$289,4,0))</f>
        <v>17</v>
      </c>
      <c r="HD103" s="16">
        <f>IF(ISNA(VLOOKUP(A103,'Données projet'!$A$269:$I$289,5,0)),0%,VLOOKUP(A103,'Données projet'!$A$269:$I$289,5,0)*VLOOKUP('Données projet'!$B$18,Paramètres!$A$1:$I$89,7,0))</f>
        <v>0.45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86.970182958884365</v>
      </c>
      <c r="HH103" s="21">
        <f>EXP(-LN(2)/25)*HH102+(1-EXP(-LN(2)/25))/(LN(2)/25)*Calculateur!HC103*Calculateur!HE103*VLOOKUP('Données projet'!$B$18,Paramètres!$A$1:$I$89,3,0)*0.475*44/12</f>
        <v>4.4761546743504539</v>
      </c>
      <c r="HI103" s="21">
        <f>EXP(-LN(2)/2)*HI102+(1-EXP(-LN(2)/2))/(LN(2)/2)*HC103*HF103*VLOOKUP('Données projet'!$B$18,Paramètres!$A$1:$I$89,3,0)*0.475*44/12</f>
        <v>2.1793825312534065E-11</v>
      </c>
      <c r="HJ103" s="22">
        <f t="shared" si="84"/>
        <v>91.446337633256618</v>
      </c>
    </row>
    <row r="104" spans="1:218" x14ac:dyDescent="0.3">
      <c r="A104" s="10">
        <f t="shared" si="85"/>
        <v>101</v>
      </c>
      <c r="B104" s="71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5">
        <f t="shared" si="56"/>
        <v>402.75821794154609</v>
      </c>
      <c r="I104" s="6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266.99999999999983</v>
      </c>
      <c r="O104" s="13">
        <f>N104*VLOOKUP('Données projet'!$B$9,Paramètres!$A$1:$I$89,3,0)*VLOOKUP('Données projet'!$B$9,Paramètres!$A$1:$I$89,5,0)</f>
        <v>212.42519999999985</v>
      </c>
      <c r="P104" s="13">
        <f t="shared" si="87"/>
        <v>52.465198231787184</v>
      </c>
      <c r="Q104" s="20">
        <f t="shared" si="107"/>
        <v>461.35077692036231</v>
      </c>
      <c r="R104" s="59">
        <f t="shared" si="55"/>
        <v>754.68411025369562</v>
      </c>
      <c r="S104" s="59">
        <f ca="1">AVERAGE(OFFSET($R$3,0,0,'Données projet'!$E$9+1,1))-AVERAGE(OFFSET($H$3,0,0,'Données projet'!$E$9+1,1))</f>
        <v>225.2323446080772</v>
      </c>
      <c r="T104" s="59">
        <f t="shared" si="88"/>
        <v>222.29030402759292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28.624597672490331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28.624597672490331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732.99999999999966</v>
      </c>
      <c r="AJ104" s="13">
        <f>AI104*VLOOKUP('Données projet'!$B$10,Paramètres!$A$1:$I$89,3,0)*VLOOKUP('Données projet'!$B$10,Paramètres!$A$1:$I$89,5,0)</f>
        <v>362.1019999999998</v>
      </c>
      <c r="AK104" s="13">
        <f t="shared" si="89"/>
        <v>84.049487364732272</v>
      </c>
      <c r="AL104" s="20">
        <f t="shared" si="58"/>
        <v>777.04717382690842</v>
      </c>
      <c r="AM104" s="59">
        <f t="shared" si="59"/>
        <v>1070.3805071602417</v>
      </c>
      <c r="AN104" s="59">
        <f ca="1">AVERAGE(OFFSET($AM$3,0,0,'Données projet'!$E$10+1,1))-AVERAGE(OFFSET($H$3,0,0,'Données projet'!$E$10+1,1))</f>
        <v>360.05819346986135</v>
      </c>
      <c r="AO104" s="59">
        <f t="shared" si="90"/>
        <v>300.47468388351081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85.720489494723239</v>
      </c>
      <c r="AV104" s="21">
        <f>EXP(-LN(2)/25)*AV103+(1-EXP(-LN(2)/25))/(LN(2)/25)*Calculateur!AQ104*Calculateur!AS104*VLOOKUP('Données projet'!$B$10,Paramètres!$A$1:$I$89,3,0)*0.475*44/12</f>
        <v>5.9086661284573028</v>
      </c>
      <c r="AW104" s="21">
        <f>EXP(-LN(2)/2)*AW103+(1-EXP(-LN(2)/2))/(LN(2)/2)*AQ104*AT104*VLOOKUP('Données projet'!$B$10,Paramètres!$A$1:$I$89,3,0)*0.475*44/12</f>
        <v>1.0791179545329342E-12</v>
      </c>
      <c r="AX104" s="21">
        <f t="shared" si="60"/>
        <v>91.629155623181617</v>
      </c>
      <c r="AY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465.00000000000006</v>
      </c>
      <c r="BE104" s="13">
        <f>BD104*VLOOKUP('Données projet'!$B$11,Paramètres!$A$1:$I$89,3,0)*VLOOKUP('Données projet'!$B$11,Paramètres!$A$1:$I$89,5,0)</f>
        <v>265.98</v>
      </c>
      <c r="BF104" s="13">
        <f t="shared" si="91"/>
        <v>63.995380422211589</v>
      </c>
      <c r="BG104" s="20">
        <f t="shared" si="61"/>
        <v>574.70712090201857</v>
      </c>
      <c r="BH104" s="59">
        <f t="shared" si="62"/>
        <v>868.04045423535194</v>
      </c>
      <c r="BI104" s="59">
        <f ca="1">AVERAGE(OFFSET($BH$3,0,0,'Données projet'!$E$11+1,1))-AVERAGE(OFFSET($H$3,0,0,'Données projet'!$E$11+1,1))</f>
        <v>250.90038883668348</v>
      </c>
      <c r="BJ104" s="59">
        <f t="shared" si="92"/>
        <v>141.96132114475608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65.652029457387741</v>
      </c>
      <c r="BQ104" s="21">
        <f>EXP(-LN(2)/25)*BQ103+(1-EXP(-LN(2)/25))/(LN(2)/25)*Calculateur!BL104*Calculateur!BN104*VLOOKUP('Données projet'!$B$11,Paramètres!$A$1:$I$89,3,0)*0.475*44/12</f>
        <v>1.6625181586407149</v>
      </c>
      <c r="BR104" s="21">
        <f>EXP(-LN(2)/2)*BR103+(1-EXP(-LN(2)/2))/(LN(2)/2)*BL104*BO104*VLOOKUP('Données projet'!$B$11,Paramètres!$A$1:$I$89,3,0)*0.475*44/12</f>
        <v>7.7750944358229982E-11</v>
      </c>
      <c r="BS104" s="22">
        <f t="shared" si="63"/>
        <v>67.314547616106196</v>
      </c>
      <c r="BT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319</v>
      </c>
      <c r="BZ104" s="13">
        <f>BY104*VLOOKUP('Données projet'!$B$12,Paramètres!$A$1:$I$89,3,0)*VLOOKUP('Données projet'!$B$12,Paramètres!$A$1:$I$89,5,0)</f>
        <v>253.79640000000001</v>
      </c>
      <c r="CA104" s="13">
        <f t="shared" si="93"/>
        <v>61.39816832228076</v>
      </c>
      <c r="CB104" s="20">
        <f t="shared" si="64"/>
        <v>548.96387316130563</v>
      </c>
      <c r="CC104" s="59">
        <f t="shared" si="65"/>
        <v>842.29720649463889</v>
      </c>
      <c r="CD104" s="59">
        <f ca="1">AVERAGE(OFFSET($CC$3,0,0,'Données projet'!$E$12+1,1))-AVERAGE(OFFSET($H$3,0,0,'Données projet'!$E$12+1,1))</f>
        <v>279.49721661620544</v>
      </c>
      <c r="CE104" s="59">
        <f t="shared" si="94"/>
        <v>275.18739333988754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35.077955087094359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35.077955087094359</v>
      </c>
      <c r="CO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789</v>
      </c>
      <c r="CU104" s="17">
        <f>CT104*VLOOKUP('Données projet'!$B$13,Paramètres!$A$1:$I$89,3,0)*VLOOKUP('Données projet'!$B$13,Paramètres!$A$1:$I$89,5,0)</f>
        <v>389.76600000000002</v>
      </c>
      <c r="CV104" s="13">
        <f t="shared" si="95"/>
        <v>89.698759503620408</v>
      </c>
      <c r="CW104" s="20">
        <f t="shared" si="67"/>
        <v>835.06778946880547</v>
      </c>
      <c r="CX104" s="59">
        <f t="shared" si="68"/>
        <v>1128.4011228021388</v>
      </c>
      <c r="CY104" s="59">
        <f ca="1">AVERAGE(OFFSET($CX$3,0,0,'Données projet'!$E$13+1,1))-AVERAGE(OFFSET($H$3,0,0,'Données projet'!$E$13+1,1))</f>
        <v>396.27049617044378</v>
      </c>
      <c r="CZ104" s="59">
        <f t="shared" si="96"/>
        <v>335.2680289568774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95.089403481817257</v>
      </c>
      <c r="DG104" s="21">
        <f>EXP(-LN(2)/25)*DG103+(1-EXP(-LN(2)/25))/(LN(2)/25)*Calculateur!DB104*Calculateur!DD104*VLOOKUP('Données projet'!$B$13,Paramètres!$A$1:$I$89,3,0)*0.475*44/12</f>
        <v>6.5651845871747829</v>
      </c>
      <c r="DH104" s="21">
        <f>EXP(-LN(2)/2)*DH103+(1-EXP(-LN(2)/2))/(LN(2)/2)*DB104*DE104*VLOOKUP('Données projet'!$B$13,Paramètres!$A$1:$I$89,3,0)*0.475*44/12</f>
        <v>7.9135316665748559E-12</v>
      </c>
      <c r="DI104" s="22">
        <f t="shared" si="69"/>
        <v>101.65458806899996</v>
      </c>
      <c r="DJ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541.99999999999989</v>
      </c>
      <c r="DP104" s="17">
        <f>DO104*VLOOKUP('Données projet'!$B$14,Paramètres!$A$1:$I$89,3,0)*VLOOKUP('Données projet'!$B$14,Paramètres!$A$1:$I$89,5,0)</f>
        <v>310.02399999999994</v>
      </c>
      <c r="DQ104" s="13">
        <f t="shared" si="97"/>
        <v>73.27384230442388</v>
      </c>
      <c r="DR104" s="20">
        <f t="shared" si="70"/>
        <v>667.57707534687154</v>
      </c>
      <c r="DS104" s="59">
        <f t="shared" si="71"/>
        <v>960.91040868020491</v>
      </c>
      <c r="DT104" s="59">
        <f ca="1">AVERAGE(OFFSET($DS$3,0,0,'Données projet'!$E$14+1,1))-AVERAGE(OFFSET($H$3,0,0,'Données projet'!$E$14+1,1))</f>
        <v>307.43900954374504</v>
      </c>
      <c r="DU104" s="59">
        <f t="shared" si="98"/>
        <v>185.25270859048999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75.609767435620938</v>
      </c>
      <c r="EB104" s="21">
        <f>EXP(-LN(2)/25)*EB103+(1-EXP(-LN(2)/25))/(LN(2)/25)*Calculateur!DW104*Calculateur!DY104*VLOOKUP('Données projet'!$B$14,Paramètres!$A$1:$I$89,3,0)*0.475*44/12</f>
        <v>3.7317891337625069</v>
      </c>
      <c r="EC104" s="21">
        <f>EXP(-LN(2)/2)*EC103+(1-EXP(-LN(2)/2))/(LN(2)/2)*DW104*DZ104*VLOOKUP('Données projet'!$B$14,Paramètres!$A$1:$I$89,3,0)*0.475*44/12</f>
        <v>7.497029999913018E-12</v>
      </c>
      <c r="ED104" s="22">
        <f t="shared" si="72"/>
        <v>79.341556569390946</v>
      </c>
      <c r="EE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401</v>
      </c>
      <c r="EK104" s="17">
        <f>EJ104*VLOOKUP('Données projet'!$B$15,Paramètres!$A$1:$I$89,3,0)*VLOOKUP('Données projet'!$B$15,Paramètres!$A$1:$I$89,5,0)</f>
        <v>250.22399999999999</v>
      </c>
      <c r="EL104" s="13">
        <f t="shared" si="99"/>
        <v>60.633904580527918</v>
      </c>
      <c r="EM104" s="20">
        <f t="shared" si="73"/>
        <v>541.41085047775289</v>
      </c>
      <c r="EN104" s="59">
        <f t="shared" si="74"/>
        <v>834.74418381108626</v>
      </c>
      <c r="EO104" s="59">
        <f ca="1">AVERAGE(OFFSET($EN$3,0,0,'Données projet'!$E$15+1,1))-AVERAGE(OFFSET($H$3,0,0,'Données projet'!$E$15+1,1))</f>
        <v>269.77739619445515</v>
      </c>
      <c r="EP104" s="59">
        <f t="shared" si="100"/>
        <v>347.56964743629885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33.999370580204186</v>
      </c>
      <c r="EW104" s="21">
        <f>EXP(-LN(2)/25)*EW103+(1-EXP(-LN(2)/25))/(LN(2)/25)*Calculateur!ER104*Calculateur!ET104*VLOOKUP('Données projet'!$B$15,Paramètres!$A$1:$I$89,3,0)*0.475*44/12</f>
        <v>12.812796387119219</v>
      </c>
      <c r="EX104" s="21">
        <f>EXP(-LN(2)/2)*EX103+(1-EXP(-LN(2)/2))/(LN(2)/2)*ER104*EU104*VLOOKUP('Données projet'!$B$15,Paramètres!$A$1:$I$89,3,0)*0.475*44/12</f>
        <v>5.1116113635770585E-13</v>
      </c>
      <c r="EY104" s="22">
        <f t="shared" si="75"/>
        <v>46.812166967323918</v>
      </c>
      <c r="EZ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367.99999999999972</v>
      </c>
      <c r="FF104" s="17">
        <f>FE104*VLOOKUP('Données projet'!$B$16,Paramètres!$A$1:$I$89,3,0)*VLOOKUP('Données projet'!$B$16,Paramètres!$A$1:$I$89,5,0)</f>
        <v>292.78079999999977</v>
      </c>
      <c r="FG104" s="13">
        <f t="shared" si="101"/>
        <v>69.660903052386217</v>
      </c>
      <c r="FH104" s="20">
        <f t="shared" si="76"/>
        <v>631.25263281623893</v>
      </c>
      <c r="FI104" s="59">
        <f t="shared" si="77"/>
        <v>924.58596614957219</v>
      </c>
      <c r="FJ104" s="59">
        <f ca="1">AVERAGE(OFFSET($FI$3,0,0,'Données projet'!$E$16+1,1))-AVERAGE(OFFSET($H$3,0,0,'Données projet'!$E$16+1,1))</f>
        <v>331.52724290297675</v>
      </c>
      <c r="FK104" s="59">
        <f t="shared" si="102"/>
        <v>322.79102610158054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40.662410447061511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40.662410447061511</v>
      </c>
      <c r="FU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852.00000000000011</v>
      </c>
      <c r="GA104" s="17">
        <f>FZ104*VLOOKUP('Données projet'!$B$17,Paramètres!$A$1:$I$89,3,0)*VLOOKUP('Données projet'!$B$17,Paramètres!$A$1:$I$89,5,0)</f>
        <v>420.88800000000009</v>
      </c>
      <c r="GB104" s="13">
        <f t="shared" si="103"/>
        <v>95.998759891259041</v>
      </c>
      <c r="GC104" s="20">
        <f t="shared" si="79"/>
        <v>900.24444014394294</v>
      </c>
      <c r="GD104" s="59">
        <f t="shared" si="80"/>
        <v>1193.5777734772762</v>
      </c>
      <c r="GE104" s="59">
        <f ca="1">AVERAGE(OFFSET($GD$3,0,0,'Données projet'!$E$17+1,1))-AVERAGE(OFFSET($H$3,0,0,'Données projet'!$E$17+1,1))</f>
        <v>434.08297999735811</v>
      </c>
      <c r="GF104" s="59">
        <f t="shared" si="104"/>
        <v>371.04090283546122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104.91148618816094</v>
      </c>
      <c r="GM104" s="21">
        <f>EXP(-LN(2)/25)*GM103+(1-EXP(-LN(2)/25))/(LN(2)/25)*Calculateur!GH104*Calculateur!GJ104*VLOOKUP('Données projet'!$B$17,Paramètres!$A$1:$I$89,3,0)*0.475*44/12</f>
        <v>7.2217030458922666</v>
      </c>
      <c r="GN104" s="21">
        <f>EXP(-LN(2)/2)*GN103+(1-EXP(-LN(2)/2))/(LN(2)/2)*GH104*GK104*VLOOKUP('Données projet'!$B$17,Paramètres!$A$1:$I$89,3,0)*0.475*44/12</f>
        <v>1.5467357348305392E-11</v>
      </c>
      <c r="GO104" s="21">
        <f t="shared" si="81"/>
        <v>112.13318923406867</v>
      </c>
      <c r="GP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614.99999999999989</v>
      </c>
      <c r="GV104" s="17">
        <f>GU104*VLOOKUP('Données projet'!$B$18,Paramètres!$A$1:$I$89,3,0)*VLOOKUP('Données projet'!$B$18,Paramètres!$A$1:$I$89,5,0)</f>
        <v>351.78</v>
      </c>
      <c r="GW104" s="13">
        <f t="shared" si="105"/>
        <v>81.92892344316067</v>
      </c>
      <c r="GX104" s="20">
        <f t="shared" si="82"/>
        <v>755.37637499683808</v>
      </c>
      <c r="GY104" s="59">
        <f t="shared" si="83"/>
        <v>1048.7097083301715</v>
      </c>
      <c r="GZ104" s="59">
        <f ca="1">AVERAGE(OFFSET($GY$3,0,0,'Données projet'!$E$18+1,1))-AVERAGE(OFFSET($H$3,0,0,'Données projet'!$E$18+1,1))</f>
        <v>362.57172983134313</v>
      </c>
      <c r="HA104" s="59">
        <f t="shared" si="106"/>
        <v>232.03250917542471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85.264750717634328</v>
      </c>
      <c r="HH104" s="21">
        <f>EXP(-LN(2)/25)*HH103+(1-EXP(-LN(2)/25))/(LN(2)/25)*Calculateur!HC104*Calculateur!HE104*VLOOKUP('Données projet'!$B$18,Paramètres!$A$1:$I$89,3,0)*0.475*44/12</f>
        <v>4.3537539893895971</v>
      </c>
      <c r="HI104" s="21">
        <f>EXP(-LN(2)/2)*HI103+(1-EXP(-LN(2)/2))/(LN(2)/2)*HC104*HF104*VLOOKUP('Données projet'!$B$18,Paramètres!$A$1:$I$89,3,0)*0.475*44/12</f>
        <v>1.5410561666487866E-11</v>
      </c>
      <c r="HJ104" s="22">
        <f t="shared" si="84"/>
        <v>89.618504707039335</v>
      </c>
    </row>
    <row r="105" spans="1:218" x14ac:dyDescent="0.3">
      <c r="A105" s="10">
        <f t="shared" si="85"/>
        <v>102</v>
      </c>
      <c r="B105" s="71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5">
        <f t="shared" si="56"/>
        <v>403.81291167039103</v>
      </c>
      <c r="I105" s="6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266.99999999999983</v>
      </c>
      <c r="O105" s="13">
        <f>N105*VLOOKUP('Données projet'!$B$9,Paramètres!$A$1:$I$89,3,0)*VLOOKUP('Données projet'!$B$9,Paramètres!$A$1:$I$89,5,0)</f>
        <v>212.42519999999985</v>
      </c>
      <c r="P105" s="13">
        <f t="shared" si="87"/>
        <v>52.465198231787184</v>
      </c>
      <c r="Q105" s="20">
        <f t="shared" si="107"/>
        <v>461.35077692036231</v>
      </c>
      <c r="R105" s="59">
        <f t="shared" si="55"/>
        <v>754.68411025369562</v>
      </c>
      <c r="S105" s="59">
        <f ca="1">AVERAGE(OFFSET($R$3,0,0,'Données projet'!$E$9+1,1))-AVERAGE(OFFSET($H$3,0,0,'Données projet'!$E$9+1,1))</f>
        <v>225.2323446080772</v>
      </c>
      <c r="T105" s="59">
        <f t="shared" si="88"/>
        <v>222.29030402759292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28.063286771413416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28.063286771413416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732.99999999999966</v>
      </c>
      <c r="AJ105" s="13">
        <f>AI105*VLOOKUP('Données projet'!$B$10,Paramètres!$A$1:$I$89,3,0)*VLOOKUP('Données projet'!$B$10,Paramètres!$A$1:$I$89,5,0)</f>
        <v>362.1019999999998</v>
      </c>
      <c r="AK105" s="13">
        <f t="shared" si="89"/>
        <v>84.049487364732272</v>
      </c>
      <c r="AL105" s="20">
        <f t="shared" si="58"/>
        <v>777.04717382690842</v>
      </c>
      <c r="AM105" s="59">
        <f t="shared" si="59"/>
        <v>1070.3805071602417</v>
      </c>
      <c r="AN105" s="59">
        <f ca="1">AVERAGE(OFFSET($AM$3,0,0,'Données projet'!$E$10+1,1))-AVERAGE(OFFSET($H$3,0,0,'Données projet'!$E$10+1,1))</f>
        <v>360.05819346986135</v>
      </c>
      <c r="AO105" s="59">
        <f t="shared" si="90"/>
        <v>300.47468388351081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84.039562980067657</v>
      </c>
      <c r="AV105" s="21">
        <f>EXP(-LN(2)/25)*AV104+(1-EXP(-LN(2)/25))/(LN(2)/25)*Calculateur!AQ105*Calculateur!AS105*VLOOKUP('Données projet'!$B$10,Paramètres!$A$1:$I$89,3,0)*0.475*44/12</f>
        <v>5.7470933424513904</v>
      </c>
      <c r="AW105" s="21">
        <f>EXP(-LN(2)/2)*AW104+(1-EXP(-LN(2)/2))/(LN(2)/2)*AQ105*AT105*VLOOKUP('Données projet'!$B$10,Paramètres!$A$1:$I$89,3,0)*0.475*44/12</f>
        <v>7.6305162335039425E-13</v>
      </c>
      <c r="AX105" s="21">
        <f t="shared" si="60"/>
        <v>89.786656322519818</v>
      </c>
      <c r="AY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465.00000000000006</v>
      </c>
      <c r="BE105" s="13">
        <f>BD105*VLOOKUP('Données projet'!$B$11,Paramètres!$A$1:$I$89,3,0)*VLOOKUP('Données projet'!$B$11,Paramètres!$A$1:$I$89,5,0)</f>
        <v>265.98</v>
      </c>
      <c r="BF105" s="13">
        <f t="shared" si="91"/>
        <v>63.995380422211589</v>
      </c>
      <c r="BG105" s="20">
        <f t="shared" si="61"/>
        <v>574.70712090201857</v>
      </c>
      <c r="BH105" s="59">
        <f t="shared" si="62"/>
        <v>868.04045423535194</v>
      </c>
      <c r="BI105" s="59">
        <f ca="1">AVERAGE(OFFSET($BH$3,0,0,'Données projet'!$E$11+1,1))-AVERAGE(OFFSET($H$3,0,0,'Données projet'!$E$11+1,1))</f>
        <v>250.90038883668348</v>
      </c>
      <c r="BJ105" s="59">
        <f t="shared" si="92"/>
        <v>141.96132114475608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64.364633203512341</v>
      </c>
      <c r="BQ105" s="21">
        <f>EXP(-LN(2)/25)*BQ104+(1-EXP(-LN(2)/25))/(LN(2)/25)*Calculateur!BL105*Calculateur!BN105*VLOOKUP('Données projet'!$B$11,Paramètres!$A$1:$I$89,3,0)*0.475*44/12</f>
        <v>1.6170565121646543</v>
      </c>
      <c r="BR105" s="21">
        <f>EXP(-LN(2)/2)*BR104+(1-EXP(-LN(2)/2))/(LN(2)/2)*BL105*BO105*VLOOKUP('Données projet'!$B$11,Paramètres!$A$1:$I$89,3,0)*0.475*44/12</f>
        <v>5.497821999936236E-11</v>
      </c>
      <c r="BS105" s="22">
        <f t="shared" si="63"/>
        <v>65.981689715731974</v>
      </c>
      <c r="BT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319</v>
      </c>
      <c r="BZ105" s="13">
        <f>BY105*VLOOKUP('Données projet'!$B$12,Paramètres!$A$1:$I$89,3,0)*VLOOKUP('Données projet'!$B$12,Paramètres!$A$1:$I$89,5,0)</f>
        <v>253.79640000000001</v>
      </c>
      <c r="CA105" s="13">
        <f t="shared" si="93"/>
        <v>61.39816832228076</v>
      </c>
      <c r="CB105" s="20">
        <f t="shared" si="64"/>
        <v>548.96387316130563</v>
      </c>
      <c r="CC105" s="59">
        <f t="shared" si="65"/>
        <v>842.29720649463889</v>
      </c>
      <c r="CD105" s="59">
        <f ca="1">AVERAGE(OFFSET($CC$3,0,0,'Données projet'!$E$12+1,1))-AVERAGE(OFFSET($H$3,0,0,'Données projet'!$E$12+1,1))</f>
        <v>279.49721661620544</v>
      </c>
      <c r="CE105" s="59">
        <f t="shared" si="94"/>
        <v>275.18739333988754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34.390097783276417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34.390097783276417</v>
      </c>
      <c r="CO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789</v>
      </c>
      <c r="CU105" s="17">
        <f>CT105*VLOOKUP('Données projet'!$B$13,Paramètres!$A$1:$I$89,3,0)*VLOOKUP('Données projet'!$B$13,Paramètres!$A$1:$I$89,5,0)</f>
        <v>389.76600000000002</v>
      </c>
      <c r="CV105" s="13">
        <f t="shared" si="95"/>
        <v>89.698759503620408</v>
      </c>
      <c r="CW105" s="20">
        <f t="shared" si="67"/>
        <v>835.06778946880547</v>
      </c>
      <c r="CX105" s="59">
        <f t="shared" si="68"/>
        <v>1128.4011228021388</v>
      </c>
      <c r="CY105" s="59">
        <f ca="1">AVERAGE(OFFSET($CX$3,0,0,'Données projet'!$E$13+1,1))-AVERAGE(OFFSET($H$3,0,0,'Données projet'!$E$13+1,1))</f>
        <v>396.27049617044378</v>
      </c>
      <c r="CZ105" s="59">
        <f t="shared" si="96"/>
        <v>335.2680289568774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93.224758278348034</v>
      </c>
      <c r="DG105" s="21">
        <f>EXP(-LN(2)/25)*DG104+(1-EXP(-LN(2)/25))/(LN(2)/25)*Calculateur!DB105*Calculateur!DD105*VLOOKUP('Données projet'!$B$13,Paramètres!$A$1:$I$89,3,0)*0.475*44/12</f>
        <v>6.3856592693904357</v>
      </c>
      <c r="DH105" s="21">
        <f>EXP(-LN(2)/2)*DH104+(1-EXP(-LN(2)/2))/(LN(2)/2)*DB105*DE105*VLOOKUP('Données projet'!$B$13,Paramètres!$A$1:$I$89,3,0)*0.475*44/12</f>
        <v>5.5957119045695615E-12</v>
      </c>
      <c r="DI105" s="22">
        <f t="shared" si="69"/>
        <v>99.610417547744063</v>
      </c>
      <c r="DJ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541.99999999999989</v>
      </c>
      <c r="DP105" s="17">
        <f>DO105*VLOOKUP('Données projet'!$B$14,Paramètres!$A$1:$I$89,3,0)*VLOOKUP('Données projet'!$B$14,Paramètres!$A$1:$I$89,5,0)</f>
        <v>310.02399999999994</v>
      </c>
      <c r="DQ105" s="13">
        <f t="shared" si="97"/>
        <v>73.27384230442388</v>
      </c>
      <c r="DR105" s="20">
        <f t="shared" si="70"/>
        <v>667.57707534687154</v>
      </c>
      <c r="DS105" s="59">
        <f t="shared" si="71"/>
        <v>960.91040868020491</v>
      </c>
      <c r="DT105" s="59">
        <f ca="1">AVERAGE(OFFSET($DS$3,0,0,'Données projet'!$E$14+1,1))-AVERAGE(OFFSET($H$3,0,0,'Données projet'!$E$14+1,1))</f>
        <v>307.43900954374504</v>
      </c>
      <c r="DU105" s="59">
        <f t="shared" si="98"/>
        <v>185.25270859048999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74.127106013612831</v>
      </c>
      <c r="EB105" s="21">
        <f>EXP(-LN(2)/25)*EB104+(1-EXP(-LN(2)/25))/(LN(2)/25)*Calculateur!DW105*Calculateur!DY105*VLOOKUP('Données projet'!$B$14,Paramètres!$A$1:$I$89,3,0)*0.475*44/12</f>
        <v>3.6297431636535098</v>
      </c>
      <c r="EC105" s="21">
        <f>EXP(-LN(2)/2)*EC104+(1-EXP(-LN(2)/2))/(LN(2)/2)*DW105*DZ105*VLOOKUP('Données projet'!$B$14,Paramètres!$A$1:$I$89,3,0)*0.475*44/12</f>
        <v>5.3012007516974769E-12</v>
      </c>
      <c r="ED105" s="22">
        <f t="shared" si="72"/>
        <v>77.756849177271647</v>
      </c>
      <c r="EE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401</v>
      </c>
      <c r="EK105" s="17">
        <f>EJ105*VLOOKUP('Données projet'!$B$15,Paramètres!$A$1:$I$89,3,0)*VLOOKUP('Données projet'!$B$15,Paramètres!$A$1:$I$89,5,0)</f>
        <v>250.22399999999999</v>
      </c>
      <c r="EL105" s="13">
        <f t="shared" si="99"/>
        <v>60.633904580527918</v>
      </c>
      <c r="EM105" s="20">
        <f t="shared" si="73"/>
        <v>541.41085047775289</v>
      </c>
      <c r="EN105" s="59">
        <f t="shared" si="74"/>
        <v>834.74418381108626</v>
      </c>
      <c r="EO105" s="59">
        <f ca="1">AVERAGE(OFFSET($EN$3,0,0,'Données projet'!$E$15+1,1))-AVERAGE(OFFSET($H$3,0,0,'Données projet'!$E$15+1,1))</f>
        <v>269.77739619445515</v>
      </c>
      <c r="EP105" s="59">
        <f t="shared" si="100"/>
        <v>347.56964743629885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33.33266366069477</v>
      </c>
      <c r="EW105" s="21">
        <f>EXP(-LN(2)/25)*EW104+(1-EXP(-LN(2)/25))/(LN(2)/25)*Calculateur!ER105*Calculateur!ET105*VLOOKUP('Données projet'!$B$15,Paramètres!$A$1:$I$89,3,0)*0.475*44/12</f>
        <v>12.462429796117766</v>
      </c>
      <c r="EX105" s="21">
        <f>EXP(-LN(2)/2)*EX104+(1-EXP(-LN(2)/2))/(LN(2)/2)*ER105*EU105*VLOOKUP('Données projet'!$B$15,Paramètres!$A$1:$I$89,3,0)*0.475*44/12</f>
        <v>3.614455057975553E-13</v>
      </c>
      <c r="EY105" s="22">
        <f t="shared" si="75"/>
        <v>45.7950934568129</v>
      </c>
      <c r="EZ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367.99999999999972</v>
      </c>
      <c r="FF105" s="17">
        <f>FE105*VLOOKUP('Données projet'!$B$16,Paramètres!$A$1:$I$89,3,0)*VLOOKUP('Données projet'!$B$16,Paramètres!$A$1:$I$89,5,0)</f>
        <v>292.78079999999977</v>
      </c>
      <c r="FG105" s="13">
        <f t="shared" si="101"/>
        <v>69.660903052386217</v>
      </c>
      <c r="FH105" s="20">
        <f t="shared" si="76"/>
        <v>631.25263281623893</v>
      </c>
      <c r="FI105" s="59">
        <f t="shared" si="77"/>
        <v>924.58596614957219</v>
      </c>
      <c r="FJ105" s="59">
        <f ca="1">AVERAGE(OFFSET($FI$3,0,0,'Données projet'!$E$16+1,1))-AVERAGE(OFFSET($H$3,0,0,'Données projet'!$E$16+1,1))</f>
        <v>331.52724290297675</v>
      </c>
      <c r="FK105" s="59">
        <f t="shared" si="102"/>
        <v>322.79102610158054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39.865045379816053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39.865045379816053</v>
      </c>
      <c r="FU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852.00000000000011</v>
      </c>
      <c r="GA105" s="17">
        <f>FZ105*VLOOKUP('Données projet'!$B$17,Paramètres!$A$1:$I$89,3,0)*VLOOKUP('Données projet'!$B$17,Paramètres!$A$1:$I$89,5,0)</f>
        <v>420.88800000000009</v>
      </c>
      <c r="GB105" s="13">
        <f t="shared" si="103"/>
        <v>95.998759891259041</v>
      </c>
      <c r="GC105" s="20">
        <f t="shared" si="79"/>
        <v>900.24444014394294</v>
      </c>
      <c r="GD105" s="59">
        <f t="shared" si="80"/>
        <v>1193.5777734772762</v>
      </c>
      <c r="GE105" s="59">
        <f ca="1">AVERAGE(OFFSET($GD$3,0,0,'Données projet'!$E$17+1,1))-AVERAGE(OFFSET($H$3,0,0,'Données projet'!$E$17+1,1))</f>
        <v>434.08297999735811</v>
      </c>
      <c r="GF105" s="59">
        <f t="shared" si="104"/>
        <v>371.04090283546122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102.85423593369921</v>
      </c>
      <c r="GM105" s="21">
        <f>EXP(-LN(2)/25)*GM104+(1-EXP(-LN(2)/25))/(LN(2)/25)*Calculateur!GH105*Calculateur!GJ105*VLOOKUP('Données projet'!$B$17,Paramètres!$A$1:$I$89,3,0)*0.475*44/12</f>
        <v>7.0242251963294846</v>
      </c>
      <c r="GN105" s="21">
        <f>EXP(-LN(2)/2)*GN104+(1-EXP(-LN(2)/2))/(LN(2)/2)*GH105*GK105*VLOOKUP('Données projet'!$B$17,Paramètres!$A$1:$I$89,3,0)*0.475*44/12</f>
        <v>1.0937073268022319E-11</v>
      </c>
      <c r="GO105" s="21">
        <f t="shared" si="81"/>
        <v>109.87846113003964</v>
      </c>
      <c r="GP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614.99999999999989</v>
      </c>
      <c r="GV105" s="17">
        <f>GU105*VLOOKUP('Données projet'!$B$18,Paramètres!$A$1:$I$89,3,0)*VLOOKUP('Données projet'!$B$18,Paramètres!$A$1:$I$89,5,0)</f>
        <v>351.78</v>
      </c>
      <c r="GW105" s="13">
        <f t="shared" si="105"/>
        <v>81.92892344316067</v>
      </c>
      <c r="GX105" s="20">
        <f t="shared" si="82"/>
        <v>755.37637499683808</v>
      </c>
      <c r="GY105" s="59">
        <f t="shared" si="83"/>
        <v>1048.7097083301715</v>
      </c>
      <c r="GZ105" s="59">
        <f ca="1">AVERAGE(OFFSET($GY$3,0,0,'Données projet'!$E$18+1,1))-AVERAGE(OFFSET($H$3,0,0,'Données projet'!$E$18+1,1))</f>
        <v>362.57172983134313</v>
      </c>
      <c r="HA105" s="59">
        <f t="shared" si="106"/>
        <v>232.03250917542471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83.592760962424251</v>
      </c>
      <c r="HH105" s="21">
        <f>EXP(-LN(2)/25)*HH104+(1-EXP(-LN(2)/25))/(LN(2)/25)*Calculateur!HC105*Calculateur!HE105*VLOOKUP('Données projet'!$B$18,Paramètres!$A$1:$I$89,3,0)*0.475*44/12</f>
        <v>4.2347003575957674</v>
      </c>
      <c r="HI105" s="21">
        <f>EXP(-LN(2)/2)*HI104+(1-EXP(-LN(2)/2))/(LN(2)/2)*HC105*HF105*VLOOKUP('Données projet'!$B$18,Paramètres!$A$1:$I$89,3,0)*0.475*44/12</f>
        <v>1.0896912656267033E-11</v>
      </c>
      <c r="HJ105" s="22">
        <f t="shared" si="84"/>
        <v>87.82746132003092</v>
      </c>
    </row>
    <row r="106" spans="1:218" x14ac:dyDescent="0.3">
      <c r="A106" s="10">
        <f t="shared" si="85"/>
        <v>103</v>
      </c>
      <c r="B106" s="71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5">
        <f t="shared" si="56"/>
        <v>404.8673579556679</v>
      </c>
      <c r="I106" s="6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266.99999999999983</v>
      </c>
      <c r="O106" s="13">
        <f>N106*VLOOKUP('Données projet'!$B$9,Paramètres!$A$1:$I$89,3,0)*VLOOKUP('Données projet'!$B$9,Paramètres!$A$1:$I$89,5,0)</f>
        <v>212.42519999999985</v>
      </c>
      <c r="P106" s="13">
        <f t="shared" si="87"/>
        <v>52.465198231787184</v>
      </c>
      <c r="Q106" s="20">
        <f t="shared" si="107"/>
        <v>461.35077692036231</v>
      </c>
      <c r="R106" s="59">
        <f t="shared" si="55"/>
        <v>754.68411025369562</v>
      </c>
      <c r="S106" s="59">
        <f ca="1">AVERAGE(OFFSET($R$3,0,0,'Données projet'!$E$9+1,1))-AVERAGE(OFFSET($H$3,0,0,'Données projet'!$E$9+1,1))</f>
        <v>225.2323446080772</v>
      </c>
      <c r="T106" s="59">
        <f t="shared" si="88"/>
        <v>222.29030402759292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27.512982834740775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27.512982834740775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732.99999999999966</v>
      </c>
      <c r="AJ106" s="13">
        <f>AI106*VLOOKUP('Données projet'!$B$10,Paramètres!$A$1:$I$89,3,0)*VLOOKUP('Données projet'!$B$10,Paramètres!$A$1:$I$89,5,0)</f>
        <v>362.1019999999998</v>
      </c>
      <c r="AK106" s="13">
        <f t="shared" si="89"/>
        <v>84.049487364732272</v>
      </c>
      <c r="AL106" s="20">
        <f t="shared" si="58"/>
        <v>777.04717382690842</v>
      </c>
      <c r="AM106" s="59">
        <f t="shared" si="59"/>
        <v>1070.3805071602417</v>
      </c>
      <c r="AN106" s="59">
        <f ca="1">AVERAGE(OFFSET($AM$3,0,0,'Données projet'!$E$10+1,1))-AVERAGE(OFFSET($H$3,0,0,'Données projet'!$E$10+1,1))</f>
        <v>360.05819346986135</v>
      </c>
      <c r="AO106" s="59">
        <f t="shared" si="90"/>
        <v>300.47468388351081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82.391598409100538</v>
      </c>
      <c r="AV106" s="21">
        <f>EXP(-LN(2)/25)*AV105+(1-EXP(-LN(2)/25))/(LN(2)/25)*Calculateur!AQ106*Calculateur!AS106*VLOOKUP('Données projet'!$B$10,Paramètres!$A$1:$I$89,3,0)*0.475*44/12</f>
        <v>5.589938772775553</v>
      </c>
      <c r="AW106" s="21">
        <f>EXP(-LN(2)/2)*AW105+(1-EXP(-LN(2)/2))/(LN(2)/2)*AQ106*AT106*VLOOKUP('Données projet'!$B$10,Paramètres!$A$1:$I$89,3,0)*0.475*44/12</f>
        <v>5.3955897726646709E-13</v>
      </c>
      <c r="AX106" s="21">
        <f t="shared" si="60"/>
        <v>87.981537181876632</v>
      </c>
      <c r="AY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465.00000000000006</v>
      </c>
      <c r="BE106" s="13">
        <f>BD106*VLOOKUP('Données projet'!$B$11,Paramètres!$A$1:$I$89,3,0)*VLOOKUP('Données projet'!$B$11,Paramètres!$A$1:$I$89,5,0)</f>
        <v>265.98</v>
      </c>
      <c r="BF106" s="13">
        <f t="shared" si="91"/>
        <v>63.995380422211589</v>
      </c>
      <c r="BG106" s="20">
        <f t="shared" si="61"/>
        <v>574.70712090201857</v>
      </c>
      <c r="BH106" s="59">
        <f t="shared" si="62"/>
        <v>868.04045423535194</v>
      </c>
      <c r="BI106" s="59">
        <f ca="1">AVERAGE(OFFSET($BH$3,0,0,'Données projet'!$E$11+1,1))-AVERAGE(OFFSET($H$3,0,0,'Données projet'!$E$11+1,1))</f>
        <v>250.90038883668348</v>
      </c>
      <c r="BJ106" s="59">
        <f t="shared" si="92"/>
        <v>141.96132114475608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63.102482004941258</v>
      </c>
      <c r="BQ106" s="21">
        <f>EXP(-LN(2)/25)*BQ105+(1-EXP(-LN(2)/25))/(LN(2)/25)*Calculateur!BL106*Calculateur!BN106*VLOOKUP('Données projet'!$B$11,Paramètres!$A$1:$I$89,3,0)*0.475*44/12</f>
        <v>1.5728380168022056</v>
      </c>
      <c r="BR106" s="21">
        <f>EXP(-LN(2)/2)*BR105+(1-EXP(-LN(2)/2))/(LN(2)/2)*BL106*BO106*VLOOKUP('Données projet'!$B$11,Paramètres!$A$1:$I$89,3,0)*0.475*44/12</f>
        <v>3.8875472179114991E-11</v>
      </c>
      <c r="BS106" s="22">
        <f t="shared" si="63"/>
        <v>64.675320021782341</v>
      </c>
      <c r="BT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319</v>
      </c>
      <c r="BZ106" s="13">
        <f>BY106*VLOOKUP('Données projet'!$B$12,Paramètres!$A$1:$I$89,3,0)*VLOOKUP('Données projet'!$B$12,Paramètres!$A$1:$I$89,5,0)</f>
        <v>253.79640000000001</v>
      </c>
      <c r="CA106" s="13">
        <f t="shared" si="93"/>
        <v>61.39816832228076</v>
      </c>
      <c r="CB106" s="20">
        <f t="shared" si="64"/>
        <v>548.96387316130563</v>
      </c>
      <c r="CC106" s="59">
        <f t="shared" si="65"/>
        <v>842.29720649463889</v>
      </c>
      <c r="CD106" s="59">
        <f ca="1">AVERAGE(OFFSET($CC$3,0,0,'Données projet'!$E$12+1,1))-AVERAGE(OFFSET($H$3,0,0,'Données projet'!$E$12+1,1))</f>
        <v>279.49721661620544</v>
      </c>
      <c r="CE106" s="59">
        <f t="shared" si="94"/>
        <v>275.18739333988754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33.715728941634815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33.715728941634815</v>
      </c>
      <c r="CO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789</v>
      </c>
      <c r="CU106" s="17">
        <f>CT106*VLOOKUP('Données projet'!$B$13,Paramètres!$A$1:$I$89,3,0)*VLOOKUP('Données projet'!$B$13,Paramètres!$A$1:$I$89,5,0)</f>
        <v>389.76600000000002</v>
      </c>
      <c r="CV106" s="13">
        <f t="shared" si="95"/>
        <v>89.698759503620408</v>
      </c>
      <c r="CW106" s="20">
        <f t="shared" si="67"/>
        <v>835.06778946880547</v>
      </c>
      <c r="CX106" s="59">
        <f t="shared" si="68"/>
        <v>1128.4011228021388</v>
      </c>
      <c r="CY106" s="59">
        <f ca="1">AVERAGE(OFFSET($CX$3,0,0,'Données projet'!$E$13+1,1))-AVERAGE(OFFSET($H$3,0,0,'Données projet'!$E$13+1,1))</f>
        <v>396.27049617044378</v>
      </c>
      <c r="CZ106" s="59">
        <f t="shared" si="96"/>
        <v>335.2680289568774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91.396677629997569</v>
      </c>
      <c r="DG106" s="21">
        <f>EXP(-LN(2)/25)*DG105+(1-EXP(-LN(2)/25))/(LN(2)/25)*Calculateur!DB106*Calculateur!DD106*VLOOKUP('Données projet'!$B$13,Paramètres!$A$1:$I$89,3,0)*0.475*44/12</f>
        <v>6.2110430808617281</v>
      </c>
      <c r="DH106" s="21">
        <f>EXP(-LN(2)/2)*DH105+(1-EXP(-LN(2)/2))/(LN(2)/2)*DB106*DE106*VLOOKUP('Données projet'!$B$13,Paramètres!$A$1:$I$89,3,0)*0.475*44/12</f>
        <v>3.956765833287428E-12</v>
      </c>
      <c r="DI106" s="22">
        <f t="shared" si="69"/>
        <v>97.607720710863248</v>
      </c>
      <c r="DJ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541.99999999999989</v>
      </c>
      <c r="DP106" s="17">
        <f>DO106*VLOOKUP('Données projet'!$B$14,Paramètres!$A$1:$I$89,3,0)*VLOOKUP('Données projet'!$B$14,Paramètres!$A$1:$I$89,5,0)</f>
        <v>310.02399999999994</v>
      </c>
      <c r="DQ106" s="13">
        <f t="shared" si="97"/>
        <v>73.27384230442388</v>
      </c>
      <c r="DR106" s="20">
        <f t="shared" si="70"/>
        <v>667.57707534687154</v>
      </c>
      <c r="DS106" s="59">
        <f t="shared" si="71"/>
        <v>960.91040868020491</v>
      </c>
      <c r="DT106" s="59">
        <f ca="1">AVERAGE(OFFSET($DS$3,0,0,'Données projet'!$E$14+1,1))-AVERAGE(OFFSET($H$3,0,0,'Données projet'!$E$14+1,1))</f>
        <v>307.43900954374504</v>
      </c>
      <c r="DU106" s="59">
        <f t="shared" si="98"/>
        <v>185.25270859048999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72.673518677756135</v>
      </c>
      <c r="EB106" s="21">
        <f>EXP(-LN(2)/25)*EB105+(1-EXP(-LN(2)/25))/(LN(2)/25)*Calculateur!DW106*Calculateur!DY106*VLOOKUP('Données projet'!$B$14,Paramètres!$A$1:$I$89,3,0)*0.475*44/12</f>
        <v>3.5304876459635075</v>
      </c>
      <c r="EC106" s="21">
        <f>EXP(-LN(2)/2)*EC105+(1-EXP(-LN(2)/2))/(LN(2)/2)*DW106*DZ106*VLOOKUP('Données projet'!$B$14,Paramètres!$A$1:$I$89,3,0)*0.475*44/12</f>
        <v>3.748514999956509E-12</v>
      </c>
      <c r="ED106" s="22">
        <f t="shared" si="72"/>
        <v>76.204006323723391</v>
      </c>
      <c r="EE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401</v>
      </c>
      <c r="EK106" s="17">
        <f>EJ106*VLOOKUP('Données projet'!$B$15,Paramètres!$A$1:$I$89,3,0)*VLOOKUP('Données projet'!$B$15,Paramètres!$A$1:$I$89,5,0)</f>
        <v>250.22399999999999</v>
      </c>
      <c r="EL106" s="13">
        <f t="shared" si="99"/>
        <v>60.633904580527918</v>
      </c>
      <c r="EM106" s="20">
        <f t="shared" si="73"/>
        <v>541.41085047775289</v>
      </c>
      <c r="EN106" s="59">
        <f t="shared" si="74"/>
        <v>834.74418381108626</v>
      </c>
      <c r="EO106" s="59">
        <f ca="1">AVERAGE(OFFSET($EN$3,0,0,'Données projet'!$E$15+1,1))-AVERAGE(OFFSET($H$3,0,0,'Données projet'!$E$15+1,1))</f>
        <v>269.77739619445515</v>
      </c>
      <c r="EP106" s="59">
        <f t="shared" si="100"/>
        <v>347.56964743629885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32.679030457225871</v>
      </c>
      <c r="EW106" s="21">
        <f>EXP(-LN(2)/25)*EW105+(1-EXP(-LN(2)/25))/(LN(2)/25)*Calculateur!ER106*Calculateur!ET106*VLOOKUP('Données projet'!$B$15,Paramètres!$A$1:$I$89,3,0)*0.475*44/12</f>
        <v>12.121643997972226</v>
      </c>
      <c r="EX106" s="21">
        <f>EXP(-LN(2)/2)*EX105+(1-EXP(-LN(2)/2))/(LN(2)/2)*ER106*EU106*VLOOKUP('Données projet'!$B$15,Paramètres!$A$1:$I$89,3,0)*0.475*44/12</f>
        <v>2.5558056817885292E-13</v>
      </c>
      <c r="EY106" s="22">
        <f t="shared" si="75"/>
        <v>44.800674455198354</v>
      </c>
      <c r="EZ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367.99999999999972</v>
      </c>
      <c r="FF106" s="17">
        <f>FE106*VLOOKUP('Données projet'!$B$16,Paramètres!$A$1:$I$89,3,0)*VLOOKUP('Données projet'!$B$16,Paramètres!$A$1:$I$89,5,0)</f>
        <v>292.78079999999977</v>
      </c>
      <c r="FG106" s="13">
        <f t="shared" si="101"/>
        <v>69.660903052386217</v>
      </c>
      <c r="FH106" s="20">
        <f t="shared" si="76"/>
        <v>631.25263281623893</v>
      </c>
      <c r="FI106" s="59">
        <f t="shared" si="77"/>
        <v>924.58596614957219</v>
      </c>
      <c r="FJ106" s="59">
        <f ca="1">AVERAGE(OFFSET($FI$3,0,0,'Données projet'!$E$16+1,1))-AVERAGE(OFFSET($H$3,0,0,'Données projet'!$E$16+1,1))</f>
        <v>331.52724290297675</v>
      </c>
      <c r="FK106" s="59">
        <f t="shared" si="102"/>
        <v>322.79102610158054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39.083316155194609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39.083316155194609</v>
      </c>
      <c r="FU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852.00000000000011</v>
      </c>
      <c r="GA106" s="17">
        <f>FZ106*VLOOKUP('Données projet'!$B$17,Paramètres!$A$1:$I$89,3,0)*VLOOKUP('Données projet'!$B$17,Paramètres!$A$1:$I$89,5,0)</f>
        <v>420.88800000000009</v>
      </c>
      <c r="GB106" s="13">
        <f t="shared" si="103"/>
        <v>95.998759891259041</v>
      </c>
      <c r="GC106" s="20">
        <f t="shared" si="79"/>
        <v>900.24444014394294</v>
      </c>
      <c r="GD106" s="59">
        <f t="shared" si="80"/>
        <v>1193.5777734772762</v>
      </c>
      <c r="GE106" s="59">
        <f ca="1">AVERAGE(OFFSET($GD$3,0,0,'Données projet'!$E$17+1,1))-AVERAGE(OFFSET($H$3,0,0,'Données projet'!$E$17+1,1))</f>
        <v>434.08297999735811</v>
      </c>
      <c r="GF106" s="59">
        <f t="shared" si="104"/>
        <v>371.04090283546122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100.83732710192874</v>
      </c>
      <c r="GM106" s="21">
        <f>EXP(-LN(2)/25)*GM105+(1-EXP(-LN(2)/25))/(LN(2)/25)*Calculateur!GH106*Calculateur!GJ106*VLOOKUP('Données projet'!$B$17,Paramètres!$A$1:$I$89,3,0)*0.475*44/12</f>
        <v>6.8321473889479059</v>
      </c>
      <c r="GN106" s="21">
        <f>EXP(-LN(2)/2)*GN105+(1-EXP(-LN(2)/2))/(LN(2)/2)*GH106*GK106*VLOOKUP('Données projet'!$B$17,Paramètres!$A$1:$I$89,3,0)*0.475*44/12</f>
        <v>7.7336786741526959E-12</v>
      </c>
      <c r="GO106" s="21">
        <f t="shared" si="81"/>
        <v>107.66947449088437</v>
      </c>
      <c r="GP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614.99999999999989</v>
      </c>
      <c r="GV106" s="17">
        <f>GU106*VLOOKUP('Données projet'!$B$18,Paramètres!$A$1:$I$89,3,0)*VLOOKUP('Données projet'!$B$18,Paramètres!$A$1:$I$89,5,0)</f>
        <v>351.78</v>
      </c>
      <c r="GW106" s="13">
        <f t="shared" si="105"/>
        <v>81.92892344316067</v>
      </c>
      <c r="GX106" s="20">
        <f t="shared" si="82"/>
        <v>755.37637499683808</v>
      </c>
      <c r="GY106" s="59">
        <f t="shared" si="83"/>
        <v>1048.7097083301715</v>
      </c>
      <c r="GZ106" s="59">
        <f ca="1">AVERAGE(OFFSET($GY$3,0,0,'Données projet'!$E$18+1,1))-AVERAGE(OFFSET($H$3,0,0,'Données projet'!$E$18+1,1))</f>
        <v>362.57172983134313</v>
      </c>
      <c r="HA106" s="59">
        <f t="shared" si="106"/>
        <v>232.03250917542471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81.953557906500791</v>
      </c>
      <c r="HH106" s="21">
        <f>EXP(-LN(2)/25)*HH105+(1-EXP(-LN(2)/25))/(LN(2)/25)*Calculateur!HC106*Calculateur!HE106*VLOOKUP('Données projet'!$B$18,Paramètres!$A$1:$I$89,3,0)*0.475*44/12</f>
        <v>4.118902253624098</v>
      </c>
      <c r="HI106" s="21">
        <f>EXP(-LN(2)/2)*HI105+(1-EXP(-LN(2)/2))/(LN(2)/2)*HC106*HF106*VLOOKUP('Données projet'!$B$18,Paramètres!$A$1:$I$89,3,0)*0.475*44/12</f>
        <v>7.7052808332439329E-12</v>
      </c>
      <c r="HJ106" s="22">
        <f t="shared" si="84"/>
        <v>86.072460160132593</v>
      </c>
    </row>
    <row r="107" spans="1:218" x14ac:dyDescent="0.3">
      <c r="A107" s="10">
        <f t="shared" si="85"/>
        <v>104</v>
      </c>
      <c r="B107" s="71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5">
        <f t="shared" si="56"/>
        <v>405.92155947794635</v>
      </c>
      <c r="I107" s="6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266.99999999999983</v>
      </c>
      <c r="O107" s="13">
        <f>N107*VLOOKUP('Données projet'!$B$9,Paramètres!$A$1:$I$89,3,0)*VLOOKUP('Données projet'!$B$9,Paramètres!$A$1:$I$89,5,0)</f>
        <v>212.42519999999985</v>
      </c>
      <c r="P107" s="13">
        <f t="shared" si="87"/>
        <v>52.465198231787184</v>
      </c>
      <c r="Q107" s="20">
        <f t="shared" si="107"/>
        <v>461.35077692036231</v>
      </c>
      <c r="R107" s="59">
        <f t="shared" si="55"/>
        <v>754.68411025369562</v>
      </c>
      <c r="S107" s="59">
        <f ca="1">AVERAGE(OFFSET($R$3,0,0,'Données projet'!$E$9+1,1))-AVERAGE(OFFSET($H$3,0,0,'Données projet'!$E$9+1,1))</f>
        <v>225.2323446080772</v>
      </c>
      <c r="T107" s="59">
        <f t="shared" si="88"/>
        <v>222.29030402759292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26.973470022614027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26.973470022614027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732.99999999999966</v>
      </c>
      <c r="AJ107" s="13">
        <f>AI107*VLOOKUP('Données projet'!$B$10,Paramètres!$A$1:$I$89,3,0)*VLOOKUP('Données projet'!$B$10,Paramètres!$A$1:$I$89,5,0)</f>
        <v>362.1019999999998</v>
      </c>
      <c r="AK107" s="13">
        <f t="shared" si="89"/>
        <v>84.049487364732272</v>
      </c>
      <c r="AL107" s="20">
        <f t="shared" si="58"/>
        <v>777.04717382690842</v>
      </c>
      <c r="AM107" s="59">
        <f t="shared" si="59"/>
        <v>1070.3805071602417</v>
      </c>
      <c r="AN107" s="59">
        <f ca="1">AVERAGE(OFFSET($AM$3,0,0,'Données projet'!$E$10+1,1))-AVERAGE(OFFSET($H$3,0,0,'Données projet'!$E$10+1,1))</f>
        <v>360.05819346986135</v>
      </c>
      <c r="AO107" s="59">
        <f t="shared" si="90"/>
        <v>300.47468388351081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80.775949418210942</v>
      </c>
      <c r="AV107" s="21">
        <f>EXP(-LN(2)/25)*AV106+(1-EXP(-LN(2)/25))/(LN(2)/25)*Calculateur!AQ107*Calculateur!AS107*VLOOKUP('Données projet'!$B$10,Paramètres!$A$1:$I$89,3,0)*0.475*44/12</f>
        <v>5.4370816030719018</v>
      </c>
      <c r="AW107" s="21">
        <f>EXP(-LN(2)/2)*AW106+(1-EXP(-LN(2)/2))/(LN(2)/2)*AQ107*AT107*VLOOKUP('Données projet'!$B$10,Paramètres!$A$1:$I$89,3,0)*0.475*44/12</f>
        <v>3.8152581167519712E-13</v>
      </c>
      <c r="AX107" s="21">
        <f t="shared" si="60"/>
        <v>86.213031021283228</v>
      </c>
      <c r="AY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465.00000000000006</v>
      </c>
      <c r="BE107" s="13">
        <f>BD107*VLOOKUP('Données projet'!$B$11,Paramètres!$A$1:$I$89,3,0)*VLOOKUP('Données projet'!$B$11,Paramètres!$A$1:$I$89,5,0)</f>
        <v>265.98</v>
      </c>
      <c r="BF107" s="13">
        <f t="shared" si="91"/>
        <v>63.995380422211589</v>
      </c>
      <c r="BG107" s="20">
        <f t="shared" si="61"/>
        <v>574.70712090201857</v>
      </c>
      <c r="BH107" s="59">
        <f t="shared" si="62"/>
        <v>868.04045423535194</v>
      </c>
      <c r="BI107" s="59">
        <f ca="1">AVERAGE(OFFSET($BH$3,0,0,'Données projet'!$E$11+1,1))-AVERAGE(OFFSET($H$3,0,0,'Données projet'!$E$11+1,1))</f>
        <v>250.90038883668348</v>
      </c>
      <c r="BJ107" s="59">
        <f t="shared" si="92"/>
        <v>141.96132114475608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61.865080821537937</v>
      </c>
      <c r="BQ107" s="21">
        <f>EXP(-LN(2)/25)*BQ106+(1-EXP(-LN(2)/25))/(LN(2)/25)*Calculateur!BL107*Calculateur!BN107*VLOOKUP('Données projet'!$B$11,Paramètres!$A$1:$I$89,3,0)*0.475*44/12</f>
        <v>1.5298286785207929</v>
      </c>
      <c r="BR107" s="21">
        <f>EXP(-LN(2)/2)*BR106+(1-EXP(-LN(2)/2))/(LN(2)/2)*BL107*BO107*VLOOKUP('Données projet'!$B$11,Paramètres!$A$1:$I$89,3,0)*0.475*44/12</f>
        <v>2.748910999968118E-11</v>
      </c>
      <c r="BS107" s="22">
        <f t="shared" si="63"/>
        <v>63.394909500086221</v>
      </c>
      <c r="BT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319</v>
      </c>
      <c r="BZ107" s="13">
        <f>BY107*VLOOKUP('Données projet'!$B$12,Paramètres!$A$1:$I$89,3,0)*VLOOKUP('Données projet'!$B$12,Paramètres!$A$1:$I$89,5,0)</f>
        <v>253.79640000000001</v>
      </c>
      <c r="CA107" s="13">
        <f t="shared" si="93"/>
        <v>61.39816832228076</v>
      </c>
      <c r="CB107" s="20">
        <f t="shared" si="64"/>
        <v>548.96387316130563</v>
      </c>
      <c r="CC107" s="59">
        <f t="shared" si="65"/>
        <v>842.29720649463889</v>
      </c>
      <c r="CD107" s="59">
        <f ca="1">AVERAGE(OFFSET($CC$3,0,0,'Données projet'!$E$12+1,1))-AVERAGE(OFFSET($H$3,0,0,'Données projet'!$E$12+1,1))</f>
        <v>279.49721661620544</v>
      </c>
      <c r="CE107" s="59">
        <f t="shared" si="94"/>
        <v>275.18739333988754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33.054584061653429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33.054584061653429</v>
      </c>
      <c r="CO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789</v>
      </c>
      <c r="CU107" s="17">
        <f>CT107*VLOOKUP('Données projet'!$B$13,Paramètres!$A$1:$I$89,3,0)*VLOOKUP('Données projet'!$B$13,Paramètres!$A$1:$I$89,5,0)</f>
        <v>389.76600000000002</v>
      </c>
      <c r="CV107" s="13">
        <f t="shared" si="95"/>
        <v>89.698759503620408</v>
      </c>
      <c r="CW107" s="20">
        <f t="shared" si="67"/>
        <v>835.06778946880547</v>
      </c>
      <c r="CX107" s="59">
        <f t="shared" si="68"/>
        <v>1128.4011228021388</v>
      </c>
      <c r="CY107" s="59">
        <f ca="1">AVERAGE(OFFSET($CX$3,0,0,'Données projet'!$E$13+1,1))-AVERAGE(OFFSET($H$3,0,0,'Données projet'!$E$13+1,1))</f>
        <v>396.27049617044378</v>
      </c>
      <c r="CZ107" s="59">
        <f t="shared" si="96"/>
        <v>335.2680289568774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89.604444528142167</v>
      </c>
      <c r="DG107" s="21">
        <f>EXP(-LN(2)/25)*DG106+(1-EXP(-LN(2)/25))/(LN(2)/25)*Calculateur!DB107*Calculateur!DD107*VLOOKUP('Données projet'!$B$13,Paramètres!$A$1:$I$89,3,0)*0.475*44/12</f>
        <v>6.0412017811910044</v>
      </c>
      <c r="DH107" s="21">
        <f>EXP(-LN(2)/2)*DH106+(1-EXP(-LN(2)/2))/(LN(2)/2)*DB107*DE107*VLOOKUP('Données projet'!$B$13,Paramètres!$A$1:$I$89,3,0)*0.475*44/12</f>
        <v>2.7978559522847807E-12</v>
      </c>
      <c r="DI107" s="22">
        <f t="shared" si="69"/>
        <v>95.645646309335973</v>
      </c>
      <c r="DJ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541.99999999999989</v>
      </c>
      <c r="DP107" s="17">
        <f>DO107*VLOOKUP('Données projet'!$B$14,Paramètres!$A$1:$I$89,3,0)*VLOOKUP('Données projet'!$B$14,Paramètres!$A$1:$I$89,5,0)</f>
        <v>310.02399999999994</v>
      </c>
      <c r="DQ107" s="13">
        <f t="shared" si="97"/>
        <v>73.27384230442388</v>
      </c>
      <c r="DR107" s="20">
        <f t="shared" si="70"/>
        <v>667.57707534687154</v>
      </c>
      <c r="DS107" s="59">
        <f t="shared" si="71"/>
        <v>960.91040868020491</v>
      </c>
      <c r="DT107" s="59">
        <f ca="1">AVERAGE(OFFSET($DS$3,0,0,'Données projet'!$E$14+1,1))-AVERAGE(OFFSET($H$3,0,0,'Données projet'!$E$14+1,1))</f>
        <v>307.43900954374504</v>
      </c>
      <c r="DU107" s="59">
        <f t="shared" si="98"/>
        <v>185.25270859048999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71.24843530295486</v>
      </c>
      <c r="EB107" s="21">
        <f>EXP(-LN(2)/25)*EB106+(1-EXP(-LN(2)/25))/(LN(2)/25)*Calculateur!DW107*Calculateur!DY107*VLOOKUP('Données projet'!$B$14,Paramètres!$A$1:$I$89,3,0)*0.475*44/12</f>
        <v>3.4339462756243591</v>
      </c>
      <c r="EC107" s="21">
        <f>EXP(-LN(2)/2)*EC106+(1-EXP(-LN(2)/2))/(LN(2)/2)*DW107*DZ107*VLOOKUP('Données projet'!$B$14,Paramètres!$A$1:$I$89,3,0)*0.475*44/12</f>
        <v>2.6506003758487385E-12</v>
      </c>
      <c r="ED107" s="22">
        <f t="shared" si="72"/>
        <v>74.682381578581882</v>
      </c>
      <c r="EE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401</v>
      </c>
      <c r="EK107" s="17">
        <f>EJ107*VLOOKUP('Données projet'!$B$15,Paramètres!$A$1:$I$89,3,0)*VLOOKUP('Données projet'!$B$15,Paramètres!$A$1:$I$89,5,0)</f>
        <v>250.22399999999999</v>
      </c>
      <c r="EL107" s="13">
        <f t="shared" si="99"/>
        <v>60.633904580527918</v>
      </c>
      <c r="EM107" s="20">
        <f t="shared" si="73"/>
        <v>541.41085047775289</v>
      </c>
      <c r="EN107" s="59">
        <f t="shared" si="74"/>
        <v>834.74418381108626</v>
      </c>
      <c r="EO107" s="59">
        <f ca="1">AVERAGE(OFFSET($EN$3,0,0,'Données projet'!$E$15+1,1))-AVERAGE(OFFSET($H$3,0,0,'Données projet'!$E$15+1,1))</f>
        <v>269.77739619445515</v>
      </c>
      <c r="EP107" s="59">
        <f t="shared" si="100"/>
        <v>347.56964743629885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32.038214602200107</v>
      </c>
      <c r="EW107" s="21">
        <f>EXP(-LN(2)/25)*EW106+(1-EXP(-LN(2)/25))/(LN(2)/25)*Calculateur!ER107*Calculateur!ET107*VLOOKUP('Données projet'!$B$15,Paramètres!$A$1:$I$89,3,0)*0.475*44/12</f>
        <v>11.790177005398123</v>
      </c>
      <c r="EX107" s="21">
        <f>EXP(-LN(2)/2)*EX106+(1-EXP(-LN(2)/2))/(LN(2)/2)*ER107*EU107*VLOOKUP('Données projet'!$B$15,Paramètres!$A$1:$I$89,3,0)*0.475*44/12</f>
        <v>1.8072275289877765E-13</v>
      </c>
      <c r="EY107" s="22">
        <f t="shared" si="75"/>
        <v>43.828391607598405</v>
      </c>
      <c r="EZ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367.99999999999972</v>
      </c>
      <c r="FF107" s="17">
        <f>FE107*VLOOKUP('Données projet'!$B$16,Paramètres!$A$1:$I$89,3,0)*VLOOKUP('Données projet'!$B$16,Paramètres!$A$1:$I$89,5,0)</f>
        <v>292.78079999999977</v>
      </c>
      <c r="FG107" s="13">
        <f t="shared" si="101"/>
        <v>69.660903052386217</v>
      </c>
      <c r="FH107" s="20">
        <f t="shared" si="76"/>
        <v>631.25263281623893</v>
      </c>
      <c r="FI107" s="59">
        <f t="shared" si="77"/>
        <v>924.58596614957219</v>
      </c>
      <c r="FJ107" s="59">
        <f ca="1">AVERAGE(OFFSET($FI$3,0,0,'Données projet'!$E$16+1,1))-AVERAGE(OFFSET($H$3,0,0,'Données projet'!$E$16+1,1))</f>
        <v>331.52724290297675</v>
      </c>
      <c r="FK107" s="59">
        <f t="shared" si="102"/>
        <v>322.79102610158054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38.316916163860242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38.316916163860242</v>
      </c>
      <c r="FU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852.00000000000011</v>
      </c>
      <c r="GA107" s="17">
        <f>FZ107*VLOOKUP('Données projet'!$B$17,Paramètres!$A$1:$I$89,3,0)*VLOOKUP('Données projet'!$B$17,Paramètres!$A$1:$I$89,5,0)</f>
        <v>420.88800000000009</v>
      </c>
      <c r="GB107" s="13">
        <f t="shared" si="103"/>
        <v>95.998759891259041</v>
      </c>
      <c r="GC107" s="20">
        <f t="shared" si="79"/>
        <v>900.24444014394294</v>
      </c>
      <c r="GD107" s="59">
        <f t="shared" si="80"/>
        <v>1193.5777734772762</v>
      </c>
      <c r="GE107" s="59">
        <f ca="1">AVERAGE(OFFSET($GD$3,0,0,'Données projet'!$E$17+1,1))-AVERAGE(OFFSET($H$3,0,0,'Données projet'!$E$17+1,1))</f>
        <v>434.08297999735811</v>
      </c>
      <c r="GF107" s="59">
        <f t="shared" si="104"/>
        <v>371.04090283546122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98.859968622156359</v>
      </c>
      <c r="GM107" s="21">
        <f>EXP(-LN(2)/25)*GM106+(1-EXP(-LN(2)/25))/(LN(2)/25)*Calculateur!GH107*Calculateur!GJ107*VLOOKUP('Données projet'!$B$17,Paramètres!$A$1:$I$89,3,0)*0.475*44/12</f>
        <v>6.6453219593101096</v>
      </c>
      <c r="GN107" s="21">
        <f>EXP(-LN(2)/2)*GN106+(1-EXP(-LN(2)/2))/(LN(2)/2)*GH107*GK107*VLOOKUP('Données projet'!$B$17,Paramètres!$A$1:$I$89,3,0)*0.475*44/12</f>
        <v>5.4685366340111595E-12</v>
      </c>
      <c r="GO107" s="21">
        <f t="shared" si="81"/>
        <v>105.50529058147194</v>
      </c>
      <c r="GP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614.99999999999989</v>
      </c>
      <c r="GV107" s="17">
        <f>GU107*VLOOKUP('Données projet'!$B$18,Paramètres!$A$1:$I$89,3,0)*VLOOKUP('Données projet'!$B$18,Paramètres!$A$1:$I$89,5,0)</f>
        <v>351.78</v>
      </c>
      <c r="GW107" s="13">
        <f t="shared" si="105"/>
        <v>81.92892344316067</v>
      </c>
      <c r="GX107" s="20">
        <f t="shared" si="82"/>
        <v>755.37637499683808</v>
      </c>
      <c r="GY107" s="59">
        <f t="shared" si="83"/>
        <v>1048.7097083301715</v>
      </c>
      <c r="GZ107" s="59">
        <f ca="1">AVERAGE(OFFSET($GY$3,0,0,'Données projet'!$E$18+1,1))-AVERAGE(OFFSET($H$3,0,0,'Données projet'!$E$18+1,1))</f>
        <v>362.57172983134313</v>
      </c>
      <c r="HA107" s="59">
        <f t="shared" si="106"/>
        <v>232.03250917542471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80.346498622688856</v>
      </c>
      <c r="HH107" s="21">
        <f>EXP(-LN(2)/25)*HH106+(1-EXP(-LN(2)/25))/(LN(2)/25)*Calculateur!HC107*Calculateur!HE107*VLOOKUP('Données projet'!$B$18,Paramètres!$A$1:$I$89,3,0)*0.475*44/12</f>
        <v>4.0062706548950917</v>
      </c>
      <c r="HI107" s="21">
        <f>EXP(-LN(2)/2)*HI106+(1-EXP(-LN(2)/2))/(LN(2)/2)*HC107*HF107*VLOOKUP('Données projet'!$B$18,Paramètres!$A$1:$I$89,3,0)*0.475*44/12</f>
        <v>5.4484563281335164E-12</v>
      </c>
      <c r="HJ107" s="22">
        <f t="shared" si="84"/>
        <v>84.352769277589388</v>
      </c>
    </row>
    <row r="108" spans="1:218" x14ac:dyDescent="0.3">
      <c r="A108" s="10">
        <f t="shared" si="85"/>
        <v>105</v>
      </c>
      <c r="B108" s="71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5">
        <f t="shared" si="56"/>
        <v>406.9755188632746</v>
      </c>
      <c r="I108" s="6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266.99999999999983</v>
      </c>
      <c r="O108" s="13">
        <f>N108*VLOOKUP('Données projet'!$B$9,Paramètres!$A$1:$I$89,3,0)*VLOOKUP('Données projet'!$B$9,Paramètres!$A$1:$I$89,5,0)</f>
        <v>212.42519999999985</v>
      </c>
      <c r="P108" s="13">
        <f t="shared" si="87"/>
        <v>52.465198231787184</v>
      </c>
      <c r="Q108" s="20">
        <f t="shared" si="107"/>
        <v>461.35077692036231</v>
      </c>
      <c r="R108" s="59">
        <f t="shared" si="55"/>
        <v>754.68411025369562</v>
      </c>
      <c r="S108" s="59">
        <f ca="1">AVERAGE(OFFSET($R$3,0,0,'Données projet'!$E$9+1,1))-AVERAGE(OFFSET($H$3,0,0,'Données projet'!$E$9+1,1))</f>
        <v>225.2323446080772</v>
      </c>
      <c r="T108" s="59">
        <f t="shared" si="88"/>
        <v>222.29030402759292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26.444536727662761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26.444536727662761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732.99999999999966</v>
      </c>
      <c r="AJ108" s="13">
        <f>AI108*VLOOKUP('Données projet'!$B$10,Paramètres!$A$1:$I$89,3,0)*VLOOKUP('Données projet'!$B$10,Paramètres!$A$1:$I$89,5,0)</f>
        <v>362.1019999999998</v>
      </c>
      <c r="AK108" s="13">
        <f t="shared" si="89"/>
        <v>84.049487364732272</v>
      </c>
      <c r="AL108" s="20">
        <f t="shared" si="58"/>
        <v>777.04717382690842</v>
      </c>
      <c r="AM108" s="59">
        <f t="shared" si="59"/>
        <v>1070.3805071602417</v>
      </c>
      <c r="AN108" s="59">
        <f ca="1">AVERAGE(OFFSET($AM$3,0,0,'Données projet'!$E$10+1,1))-AVERAGE(OFFSET($H$3,0,0,'Données projet'!$E$10+1,1))</f>
        <v>360.05819346986135</v>
      </c>
      <c r="AO108" s="59">
        <f t="shared" si="90"/>
        <v>300.47468388351081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79.19198231858411</v>
      </c>
      <c r="AV108" s="21">
        <f>EXP(-LN(2)/25)*AV107+(1-EXP(-LN(2)/25))/(LN(2)/25)*Calculateur!AQ108*Calculateur!AS108*VLOOKUP('Données projet'!$B$10,Paramètres!$A$1:$I$89,3,0)*0.475*44/12</f>
        <v>5.288404320712206</v>
      </c>
      <c r="AW108" s="21">
        <f>EXP(-LN(2)/2)*AW107+(1-EXP(-LN(2)/2))/(LN(2)/2)*AQ108*AT108*VLOOKUP('Données projet'!$B$10,Paramètres!$A$1:$I$89,3,0)*0.475*44/12</f>
        <v>2.6977948863323355E-13</v>
      </c>
      <c r="AX108" s="21">
        <f t="shared" si="60"/>
        <v>84.480386639296583</v>
      </c>
      <c r="AY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465.00000000000006</v>
      </c>
      <c r="BE108" s="13">
        <f>BD108*VLOOKUP('Données projet'!$B$11,Paramètres!$A$1:$I$89,3,0)*VLOOKUP('Données projet'!$B$11,Paramètres!$A$1:$I$89,5,0)</f>
        <v>265.98</v>
      </c>
      <c r="BF108" s="13">
        <f t="shared" si="91"/>
        <v>63.995380422211589</v>
      </c>
      <c r="BG108" s="20">
        <f t="shared" si="61"/>
        <v>574.70712090201857</v>
      </c>
      <c r="BH108" s="59">
        <f t="shared" si="62"/>
        <v>868.04045423535194</v>
      </c>
      <c r="BI108" s="59">
        <f ca="1">AVERAGE(OFFSET($BH$3,0,0,'Données projet'!$E$11+1,1))-AVERAGE(OFFSET($H$3,0,0,'Données projet'!$E$11+1,1))</f>
        <v>250.90038883668348</v>
      </c>
      <c r="BJ108" s="59">
        <f t="shared" si="92"/>
        <v>141.96132114475608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60.651944320600961</v>
      </c>
      <c r="BQ108" s="21">
        <f>EXP(-LN(2)/25)*BQ107+(1-EXP(-LN(2)/25))/(LN(2)/25)*Calculateur!BL108*Calculateur!BN108*VLOOKUP('Données projet'!$B$11,Paramètres!$A$1:$I$89,3,0)*0.475*44/12</f>
        <v>1.487995432856448</v>
      </c>
      <c r="BR108" s="21">
        <f>EXP(-LN(2)/2)*BR107+(1-EXP(-LN(2)/2))/(LN(2)/2)*BL108*BO108*VLOOKUP('Données projet'!$B$11,Paramètres!$A$1:$I$89,3,0)*0.475*44/12</f>
        <v>1.9437736089557496E-11</v>
      </c>
      <c r="BS108" s="22">
        <f t="shared" si="63"/>
        <v>62.139939753476853</v>
      </c>
      <c r="BT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319</v>
      </c>
      <c r="BZ108" s="13">
        <f>BY108*VLOOKUP('Données projet'!$B$12,Paramètres!$A$1:$I$89,3,0)*VLOOKUP('Données projet'!$B$12,Paramètres!$A$1:$I$89,5,0)</f>
        <v>253.79640000000001</v>
      </c>
      <c r="CA108" s="13">
        <f t="shared" si="93"/>
        <v>61.39816832228076</v>
      </c>
      <c r="CB108" s="20">
        <f t="shared" si="64"/>
        <v>548.96387316130563</v>
      </c>
      <c r="CC108" s="59">
        <f t="shared" si="65"/>
        <v>842.29720649463889</v>
      </c>
      <c r="CD108" s="59">
        <f ca="1">AVERAGE(OFFSET($CC$3,0,0,'Données projet'!$E$12+1,1))-AVERAGE(OFFSET($H$3,0,0,'Données projet'!$E$12+1,1))</f>
        <v>279.49721661620544</v>
      </c>
      <c r="CE108" s="59">
        <f t="shared" si="94"/>
        <v>275.18739333988754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32.406403829509919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32.406403829509919</v>
      </c>
      <c r="CO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789</v>
      </c>
      <c r="CU108" s="17">
        <f>CT108*VLOOKUP('Données projet'!$B$13,Paramètres!$A$1:$I$89,3,0)*VLOOKUP('Données projet'!$B$13,Paramètres!$A$1:$I$89,5,0)</f>
        <v>389.76600000000002</v>
      </c>
      <c r="CV108" s="13">
        <f t="shared" si="95"/>
        <v>89.698759503620408</v>
      </c>
      <c r="CW108" s="20">
        <f t="shared" si="67"/>
        <v>835.06778946880547</v>
      </c>
      <c r="CX108" s="59">
        <f t="shared" si="68"/>
        <v>1128.4011228021388</v>
      </c>
      <c r="CY108" s="59">
        <f ca="1">AVERAGE(OFFSET($CX$3,0,0,'Données projet'!$E$13+1,1))-AVERAGE(OFFSET($H$3,0,0,'Données projet'!$E$13+1,1))</f>
        <v>396.27049617044378</v>
      </c>
      <c r="CZ108" s="59">
        <f t="shared" si="96"/>
        <v>335.2680289568774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87.847356024259895</v>
      </c>
      <c r="DG108" s="21">
        <f>EXP(-LN(2)/25)*DG107+(1-EXP(-LN(2)/25))/(LN(2)/25)*Calculateur!DB108*Calculateur!DD108*VLOOKUP('Données projet'!$B$13,Paramètres!$A$1:$I$89,3,0)*0.475*44/12</f>
        <v>5.8760048007913417</v>
      </c>
      <c r="DH108" s="21">
        <f>EXP(-LN(2)/2)*DH107+(1-EXP(-LN(2)/2))/(LN(2)/2)*DB108*DE108*VLOOKUP('Données projet'!$B$13,Paramètres!$A$1:$I$89,3,0)*0.475*44/12</f>
        <v>1.978382916643714E-12</v>
      </c>
      <c r="DI108" s="22">
        <f t="shared" si="69"/>
        <v>93.723360825053206</v>
      </c>
      <c r="DJ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541.99999999999989</v>
      </c>
      <c r="DP108" s="17">
        <f>DO108*VLOOKUP('Données projet'!$B$14,Paramètres!$A$1:$I$89,3,0)*VLOOKUP('Données projet'!$B$14,Paramètres!$A$1:$I$89,5,0)</f>
        <v>310.02399999999994</v>
      </c>
      <c r="DQ108" s="13">
        <f t="shared" si="97"/>
        <v>73.27384230442388</v>
      </c>
      <c r="DR108" s="20">
        <f t="shared" si="70"/>
        <v>667.57707534687154</v>
      </c>
      <c r="DS108" s="59">
        <f t="shared" si="71"/>
        <v>960.91040868020491</v>
      </c>
      <c r="DT108" s="59">
        <f ca="1">AVERAGE(OFFSET($DS$3,0,0,'Données projet'!$E$14+1,1))-AVERAGE(OFFSET($H$3,0,0,'Données projet'!$E$14+1,1))</f>
        <v>307.43900954374504</v>
      </c>
      <c r="DU108" s="59">
        <f t="shared" si="98"/>
        <v>185.25270859048999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69.851296943918399</v>
      </c>
      <c r="EB108" s="21">
        <f>EXP(-LN(2)/25)*EB107+(1-EXP(-LN(2)/25))/(LN(2)/25)*Calculateur!DW108*Calculateur!DY108*VLOOKUP('Données projet'!$B$14,Paramètres!$A$1:$I$89,3,0)*0.475*44/12</f>
        <v>3.3400448341340248</v>
      </c>
      <c r="EC108" s="21">
        <f>EXP(-LN(2)/2)*EC107+(1-EXP(-LN(2)/2))/(LN(2)/2)*DW108*DZ108*VLOOKUP('Données projet'!$B$14,Paramètres!$A$1:$I$89,3,0)*0.475*44/12</f>
        <v>1.8742574999782545E-12</v>
      </c>
      <c r="ED108" s="22">
        <f t="shared" si="72"/>
        <v>73.191341778054294</v>
      </c>
      <c r="EE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401</v>
      </c>
      <c r="EK108" s="17">
        <f>EJ108*VLOOKUP('Données projet'!$B$15,Paramètres!$A$1:$I$89,3,0)*VLOOKUP('Données projet'!$B$15,Paramètres!$A$1:$I$89,5,0)</f>
        <v>250.22399999999999</v>
      </c>
      <c r="EL108" s="13">
        <f t="shared" si="99"/>
        <v>60.633904580527918</v>
      </c>
      <c r="EM108" s="20">
        <f t="shared" si="73"/>
        <v>541.41085047775289</v>
      </c>
      <c r="EN108" s="59">
        <f t="shared" si="74"/>
        <v>834.74418381108626</v>
      </c>
      <c r="EO108" s="59">
        <f ca="1">AVERAGE(OFFSET($EN$3,0,0,'Données projet'!$E$15+1,1))-AVERAGE(OFFSET($H$3,0,0,'Données projet'!$E$15+1,1))</f>
        <v>269.77739619445515</v>
      </c>
      <c r="EP108" s="59">
        <f t="shared" si="100"/>
        <v>347.56964743629885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31.40996475523232</v>
      </c>
      <c r="EW108" s="21">
        <f>EXP(-LN(2)/25)*EW107+(1-EXP(-LN(2)/25))/(LN(2)/25)*Calculateur!ER108*Calculateur!ET108*VLOOKUP('Données projet'!$B$15,Paramètres!$A$1:$I$89,3,0)*0.475*44/12</f>
        <v>11.467773995167049</v>
      </c>
      <c r="EX108" s="21">
        <f>EXP(-LN(2)/2)*EX107+(1-EXP(-LN(2)/2))/(LN(2)/2)*ER108*EU108*VLOOKUP('Données projet'!$B$15,Paramètres!$A$1:$I$89,3,0)*0.475*44/12</f>
        <v>1.2779028408942646E-13</v>
      </c>
      <c r="EY108" s="22">
        <f t="shared" si="75"/>
        <v>42.877738750399494</v>
      </c>
      <c r="EZ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367.99999999999972</v>
      </c>
      <c r="FF108" s="17">
        <f>FE108*VLOOKUP('Données projet'!$B$16,Paramètres!$A$1:$I$89,3,0)*VLOOKUP('Données projet'!$B$16,Paramètres!$A$1:$I$89,5,0)</f>
        <v>292.78079999999977</v>
      </c>
      <c r="FG108" s="13">
        <f t="shared" si="101"/>
        <v>69.660903052386217</v>
      </c>
      <c r="FH108" s="20">
        <f t="shared" si="76"/>
        <v>631.25263281623893</v>
      </c>
      <c r="FI108" s="59">
        <f t="shared" si="77"/>
        <v>924.58596614957219</v>
      </c>
      <c r="FJ108" s="59">
        <f ca="1">AVERAGE(OFFSET($FI$3,0,0,'Données projet'!$E$16+1,1))-AVERAGE(OFFSET($H$3,0,0,'Données projet'!$E$16+1,1))</f>
        <v>331.52724290297675</v>
      </c>
      <c r="FK108" s="59">
        <f t="shared" si="102"/>
        <v>322.79102610158054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37.565544808898103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37.565544808898103</v>
      </c>
      <c r="FU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852.00000000000011</v>
      </c>
      <c r="GA108" s="17">
        <f>FZ108*VLOOKUP('Données projet'!$B$17,Paramètres!$A$1:$I$89,3,0)*VLOOKUP('Données projet'!$B$17,Paramètres!$A$1:$I$89,5,0)</f>
        <v>420.88800000000009</v>
      </c>
      <c r="GB108" s="13">
        <f t="shared" si="103"/>
        <v>95.998759891259041</v>
      </c>
      <c r="GC108" s="20">
        <f t="shared" si="79"/>
        <v>900.24444014394294</v>
      </c>
      <c r="GD108" s="59">
        <f t="shared" si="80"/>
        <v>1193.5777734772762</v>
      </c>
      <c r="GE108" s="59">
        <f ca="1">AVERAGE(OFFSET($GD$3,0,0,'Données projet'!$E$17+1,1))-AVERAGE(OFFSET($H$3,0,0,'Données projet'!$E$17+1,1))</f>
        <v>434.08297999735811</v>
      </c>
      <c r="GF108" s="59">
        <f t="shared" si="104"/>
        <v>371.04090283546122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96.92138493610274</v>
      </c>
      <c r="GM108" s="21">
        <f>EXP(-LN(2)/25)*GM107+(1-EXP(-LN(2)/25))/(LN(2)/25)*Calculateur!GH108*Calculateur!GJ108*VLOOKUP('Données projet'!$B$17,Paramètres!$A$1:$I$89,3,0)*0.475*44/12</f>
        <v>6.4636052808704809</v>
      </c>
      <c r="GN108" s="21">
        <f>EXP(-LN(2)/2)*GN107+(1-EXP(-LN(2)/2))/(LN(2)/2)*GH108*GK108*VLOOKUP('Données projet'!$B$17,Paramètres!$A$1:$I$89,3,0)*0.475*44/12</f>
        <v>3.8668393370763479E-12</v>
      </c>
      <c r="GO108" s="21">
        <f t="shared" si="81"/>
        <v>103.38499021697709</v>
      </c>
      <c r="GP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614.99999999999989</v>
      </c>
      <c r="GV108" s="17">
        <f>GU108*VLOOKUP('Données projet'!$B$18,Paramètres!$A$1:$I$89,3,0)*VLOOKUP('Données projet'!$B$18,Paramètres!$A$1:$I$89,5,0)</f>
        <v>351.78</v>
      </c>
      <c r="GW108" s="13">
        <f t="shared" si="105"/>
        <v>81.92892344316067</v>
      </c>
      <c r="GX108" s="20">
        <f t="shared" si="82"/>
        <v>755.37637499683808</v>
      </c>
      <c r="GY108" s="59">
        <f t="shared" si="83"/>
        <v>1048.7097083301715</v>
      </c>
      <c r="GZ108" s="59">
        <f ca="1">AVERAGE(OFFSET($GY$3,0,0,'Données projet'!$E$18+1,1))-AVERAGE(OFFSET($H$3,0,0,'Données projet'!$E$18+1,1))</f>
        <v>362.57172983134313</v>
      </c>
      <c r="HA108" s="59">
        <f t="shared" si="106"/>
        <v>232.03250917542471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78.770952791223095</v>
      </c>
      <c r="HH108" s="21">
        <f>EXP(-LN(2)/25)*HH107+(1-EXP(-LN(2)/25))/(LN(2)/25)*Calculateur!HC108*Calculateur!HE108*VLOOKUP('Données projet'!$B$18,Paramètres!$A$1:$I$89,3,0)*0.475*44/12</f>
        <v>3.8967189731563683</v>
      </c>
      <c r="HI108" s="21">
        <f>EXP(-LN(2)/2)*HI107+(1-EXP(-LN(2)/2))/(LN(2)/2)*HC108*HF108*VLOOKUP('Données projet'!$B$18,Paramètres!$A$1:$I$89,3,0)*0.475*44/12</f>
        <v>3.8526404166219665E-12</v>
      </c>
      <c r="HJ108" s="22">
        <f t="shared" si="84"/>
        <v>82.667671764383314</v>
      </c>
    </row>
    <row r="109" spans="1:218" x14ac:dyDescent="0.3">
      <c r="A109" s="10">
        <f t="shared" si="85"/>
        <v>106</v>
      </c>
      <c r="B109" s="71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5">
        <f t="shared" si="56"/>
        <v>408.0292386847965</v>
      </c>
      <c r="I109" s="6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266.99999999999983</v>
      </c>
      <c r="O109" s="13">
        <f>N109*VLOOKUP('Données projet'!$B$9,Paramètres!$A$1:$I$89,3,0)*VLOOKUP('Données projet'!$B$9,Paramètres!$A$1:$I$89,5,0)</f>
        <v>212.42519999999985</v>
      </c>
      <c r="P109" s="13">
        <f t="shared" si="87"/>
        <v>52.465198231787184</v>
      </c>
      <c r="Q109" s="20">
        <f t="shared" si="107"/>
        <v>461.35077692036231</v>
      </c>
      <c r="R109" s="59">
        <f t="shared" si="55"/>
        <v>754.68411025369562</v>
      </c>
      <c r="S109" s="59">
        <f ca="1">AVERAGE(OFFSET($R$3,0,0,'Données projet'!$E$9+1,1))-AVERAGE(OFFSET($H$3,0,0,'Données projet'!$E$9+1,1))</f>
        <v>225.2323446080772</v>
      </c>
      <c r="T109" s="59">
        <f t="shared" si="88"/>
        <v>222.29030402759292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25.925975492008035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25.925975492008035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732.99999999999966</v>
      </c>
      <c r="AJ109" s="13">
        <f>AI109*VLOOKUP('Données projet'!$B$10,Paramètres!$A$1:$I$89,3,0)*VLOOKUP('Données projet'!$B$10,Paramètres!$A$1:$I$89,5,0)</f>
        <v>362.1019999999998</v>
      </c>
      <c r="AK109" s="13">
        <f t="shared" si="89"/>
        <v>84.049487364732272</v>
      </c>
      <c r="AL109" s="20">
        <f t="shared" si="58"/>
        <v>777.04717382690842</v>
      </c>
      <c r="AM109" s="59">
        <f t="shared" si="59"/>
        <v>1070.3805071602417</v>
      </c>
      <c r="AN109" s="59">
        <f ca="1">AVERAGE(OFFSET($AM$3,0,0,'Données projet'!$E$10+1,1))-AVERAGE(OFFSET($H$3,0,0,'Données projet'!$E$10+1,1))</f>
        <v>360.05819346986135</v>
      </c>
      <c r="AO109" s="59">
        <f t="shared" si="90"/>
        <v>300.47468388351081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77.639075847656429</v>
      </c>
      <c r="AV109" s="21">
        <f>EXP(-LN(2)/25)*AV108+(1-EXP(-LN(2)/25))/(LN(2)/25)*Calculateur!AQ109*Calculateur!AS109*VLOOKUP('Données projet'!$B$10,Paramètres!$A$1:$I$89,3,0)*0.475*44/12</f>
        <v>5.143792626457234</v>
      </c>
      <c r="AW109" s="21">
        <f>EXP(-LN(2)/2)*AW108+(1-EXP(-LN(2)/2))/(LN(2)/2)*AQ109*AT109*VLOOKUP('Données projet'!$B$10,Paramètres!$A$1:$I$89,3,0)*0.475*44/12</f>
        <v>1.9076290583759856E-13</v>
      </c>
      <c r="AX109" s="21">
        <f t="shared" si="60"/>
        <v>82.78286847411384</v>
      </c>
      <c r="AY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465.00000000000006</v>
      </c>
      <c r="BE109" s="13">
        <f>BD109*VLOOKUP('Données projet'!$B$11,Paramètres!$A$1:$I$89,3,0)*VLOOKUP('Données projet'!$B$11,Paramètres!$A$1:$I$89,5,0)</f>
        <v>265.98</v>
      </c>
      <c r="BF109" s="13">
        <f t="shared" si="91"/>
        <v>63.995380422211589</v>
      </c>
      <c r="BG109" s="20">
        <f t="shared" si="61"/>
        <v>574.70712090201857</v>
      </c>
      <c r="BH109" s="59">
        <f t="shared" si="62"/>
        <v>868.04045423535194</v>
      </c>
      <c r="BI109" s="59">
        <f ca="1">AVERAGE(OFFSET($BH$3,0,0,'Données projet'!$E$11+1,1))-AVERAGE(OFFSET($H$3,0,0,'Données projet'!$E$11+1,1))</f>
        <v>250.90038883668348</v>
      </c>
      <c r="BJ109" s="59">
        <f t="shared" si="92"/>
        <v>141.96132114475608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59.462596686507155</v>
      </c>
      <c r="BQ109" s="21">
        <f>EXP(-LN(2)/25)*BQ108+(1-EXP(-LN(2)/25))/(LN(2)/25)*Calculateur!BL109*Calculateur!BN109*VLOOKUP('Données projet'!$B$11,Paramètres!$A$1:$I$89,3,0)*0.475*44/12</f>
        <v>1.4473061194947094</v>
      </c>
      <c r="BR109" s="21">
        <f>EXP(-LN(2)/2)*BR108+(1-EXP(-LN(2)/2))/(LN(2)/2)*BL109*BO109*VLOOKUP('Données projet'!$B$11,Paramètres!$A$1:$I$89,3,0)*0.475*44/12</f>
        <v>1.374455499984059E-11</v>
      </c>
      <c r="BS109" s="22">
        <f t="shared" si="63"/>
        <v>60.909902806015609</v>
      </c>
      <c r="BT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319</v>
      </c>
      <c r="BZ109" s="13">
        <f>BY109*VLOOKUP('Données projet'!$B$12,Paramètres!$A$1:$I$89,3,0)*VLOOKUP('Données projet'!$B$12,Paramètres!$A$1:$I$89,5,0)</f>
        <v>253.79640000000001</v>
      </c>
      <c r="CA109" s="13">
        <f t="shared" si="93"/>
        <v>61.39816832228076</v>
      </c>
      <c r="CB109" s="20">
        <f t="shared" si="64"/>
        <v>548.96387316130563</v>
      </c>
      <c r="CC109" s="59">
        <f t="shared" si="65"/>
        <v>842.29720649463889</v>
      </c>
      <c r="CD109" s="59">
        <f ca="1">AVERAGE(OFFSET($CC$3,0,0,'Données projet'!$E$12+1,1))-AVERAGE(OFFSET($H$3,0,0,'Données projet'!$E$12+1,1))</f>
        <v>279.49721661620544</v>
      </c>
      <c r="CE109" s="59">
        <f t="shared" si="94"/>
        <v>275.18739333988754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31.770934016367839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31.770934016367839</v>
      </c>
      <c r="CO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789</v>
      </c>
      <c r="CU109" s="17">
        <f>CT109*VLOOKUP('Données projet'!$B$13,Paramètres!$A$1:$I$89,3,0)*VLOOKUP('Données projet'!$B$13,Paramètres!$A$1:$I$89,5,0)</f>
        <v>389.76600000000002</v>
      </c>
      <c r="CV109" s="13">
        <f t="shared" si="95"/>
        <v>89.698759503620408</v>
      </c>
      <c r="CW109" s="20">
        <f t="shared" si="67"/>
        <v>835.06778946880547</v>
      </c>
      <c r="CX109" s="59">
        <f t="shared" si="68"/>
        <v>1128.4011228021388</v>
      </c>
      <c r="CY109" s="59">
        <f ca="1">AVERAGE(OFFSET($CX$3,0,0,'Données projet'!$E$13+1,1))-AVERAGE(OFFSET($H$3,0,0,'Données projet'!$E$13+1,1))</f>
        <v>396.27049617044378</v>
      </c>
      <c r="CZ109" s="59">
        <f t="shared" si="96"/>
        <v>335.2680289568774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86.124722954220587</v>
      </c>
      <c r="DG109" s="21">
        <f>EXP(-LN(2)/25)*DG108+(1-EXP(-LN(2)/25))/(LN(2)/25)*Calculateur!DB109*Calculateur!DD109*VLOOKUP('Données projet'!$B$13,Paramètres!$A$1:$I$89,3,0)*0.475*44/12</f>
        <v>5.7153251405080399</v>
      </c>
      <c r="DH109" s="21">
        <f>EXP(-LN(2)/2)*DH108+(1-EXP(-LN(2)/2))/(LN(2)/2)*DB109*DE109*VLOOKUP('Données projet'!$B$13,Paramètres!$A$1:$I$89,3,0)*0.475*44/12</f>
        <v>1.3989279761423904E-12</v>
      </c>
      <c r="DI109" s="22">
        <f t="shared" si="69"/>
        <v>91.840048094730022</v>
      </c>
      <c r="DJ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541.99999999999989</v>
      </c>
      <c r="DP109" s="17">
        <f>DO109*VLOOKUP('Données projet'!$B$14,Paramètres!$A$1:$I$89,3,0)*VLOOKUP('Données projet'!$B$14,Paramètres!$A$1:$I$89,5,0)</f>
        <v>310.02399999999994</v>
      </c>
      <c r="DQ109" s="13">
        <f t="shared" si="97"/>
        <v>73.27384230442388</v>
      </c>
      <c r="DR109" s="20">
        <f t="shared" si="70"/>
        <v>667.57707534687154</v>
      </c>
      <c r="DS109" s="59">
        <f t="shared" si="71"/>
        <v>960.91040868020491</v>
      </c>
      <c r="DT109" s="59">
        <f ca="1">AVERAGE(OFFSET($DS$3,0,0,'Données projet'!$E$14+1,1))-AVERAGE(OFFSET($H$3,0,0,'Données projet'!$E$14+1,1))</f>
        <v>307.43900954374504</v>
      </c>
      <c r="DU109" s="59">
        <f t="shared" si="98"/>
        <v>185.25270859048999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68.481555615932393</v>
      </c>
      <c r="EB109" s="21">
        <f>EXP(-LN(2)/25)*EB108+(1-EXP(-LN(2)/25))/(LN(2)/25)*Calculateur!DW109*Calculateur!DY109*VLOOKUP('Données projet'!$B$14,Paramètres!$A$1:$I$89,3,0)*0.475*44/12</f>
        <v>3.2487111324993059</v>
      </c>
      <c r="EC109" s="21">
        <f>EXP(-LN(2)/2)*EC108+(1-EXP(-LN(2)/2))/(LN(2)/2)*DW109*DZ109*VLOOKUP('Données projet'!$B$14,Paramètres!$A$1:$I$89,3,0)*0.475*44/12</f>
        <v>1.3253001879243692E-12</v>
      </c>
      <c r="ED109" s="22">
        <f t="shared" si="72"/>
        <v>71.730266748433024</v>
      </c>
      <c r="EE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401</v>
      </c>
      <c r="EK109" s="17">
        <f>EJ109*VLOOKUP('Données projet'!$B$15,Paramètres!$A$1:$I$89,3,0)*VLOOKUP('Données projet'!$B$15,Paramètres!$A$1:$I$89,5,0)</f>
        <v>250.22399999999999</v>
      </c>
      <c r="EL109" s="13">
        <f t="shared" si="99"/>
        <v>60.633904580527918</v>
      </c>
      <c r="EM109" s="20">
        <f t="shared" si="73"/>
        <v>541.41085047775289</v>
      </c>
      <c r="EN109" s="59">
        <f t="shared" si="74"/>
        <v>834.74418381108626</v>
      </c>
      <c r="EO109" s="59">
        <f ca="1">AVERAGE(OFFSET($EN$3,0,0,'Données projet'!$E$15+1,1))-AVERAGE(OFFSET($H$3,0,0,'Données projet'!$E$15+1,1))</f>
        <v>269.77739619445515</v>
      </c>
      <c r="EP109" s="59">
        <f t="shared" si="100"/>
        <v>347.56964743629885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30.794034504569002</v>
      </c>
      <c r="EW109" s="21">
        <f>EXP(-LN(2)/25)*EW108+(1-EXP(-LN(2)/25))/(LN(2)/25)*Calculateur!ER109*Calculateur!ET109*VLOOKUP('Données projet'!$B$15,Paramètres!$A$1:$I$89,3,0)*0.475*44/12</f>
        <v>11.154187112205181</v>
      </c>
      <c r="EX109" s="21">
        <f>EXP(-LN(2)/2)*EX108+(1-EXP(-LN(2)/2))/(LN(2)/2)*ER109*EU109*VLOOKUP('Données projet'!$B$15,Paramètres!$A$1:$I$89,3,0)*0.475*44/12</f>
        <v>9.0361376449388825E-14</v>
      </c>
      <c r="EY109" s="22">
        <f t="shared" si="75"/>
        <v>41.948221616774276</v>
      </c>
      <c r="EZ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367.99999999999972</v>
      </c>
      <c r="FF109" s="17">
        <f>FE109*VLOOKUP('Données projet'!$B$16,Paramètres!$A$1:$I$89,3,0)*VLOOKUP('Données projet'!$B$16,Paramètres!$A$1:$I$89,5,0)</f>
        <v>292.78079999999977</v>
      </c>
      <c r="FG109" s="13">
        <f t="shared" si="101"/>
        <v>69.660903052386217</v>
      </c>
      <c r="FH109" s="20">
        <f t="shared" si="76"/>
        <v>631.25263281623893</v>
      </c>
      <c r="FI109" s="59">
        <f t="shared" si="77"/>
        <v>924.58596614957219</v>
      </c>
      <c r="FJ109" s="59">
        <f ca="1">AVERAGE(OFFSET($FI$3,0,0,'Données projet'!$E$16+1,1))-AVERAGE(OFFSET($H$3,0,0,'Données projet'!$E$16+1,1))</f>
        <v>331.52724290297675</v>
      </c>
      <c r="FK109" s="59">
        <f t="shared" si="102"/>
        <v>322.79102610158054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36.8289073879155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36.8289073879155</v>
      </c>
      <c r="FU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852.00000000000011</v>
      </c>
      <c r="GA109" s="17">
        <f>FZ109*VLOOKUP('Données projet'!$B$17,Paramètres!$A$1:$I$89,3,0)*VLOOKUP('Données projet'!$B$17,Paramètres!$A$1:$I$89,5,0)</f>
        <v>420.88800000000009</v>
      </c>
      <c r="GB109" s="13">
        <f t="shared" si="103"/>
        <v>95.998759891259041</v>
      </c>
      <c r="GC109" s="20">
        <f t="shared" si="79"/>
        <v>900.24444014394294</v>
      </c>
      <c r="GD109" s="59">
        <f t="shared" si="80"/>
        <v>1193.5777734772762</v>
      </c>
      <c r="GE109" s="59">
        <f ca="1">AVERAGE(OFFSET($GD$3,0,0,'Données projet'!$E$17+1,1))-AVERAGE(OFFSET($H$3,0,0,'Données projet'!$E$17+1,1))</f>
        <v>434.08297999735811</v>
      </c>
      <c r="GF109" s="59">
        <f t="shared" si="104"/>
        <v>371.04090283546122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95.020815693713331</v>
      </c>
      <c r="GM109" s="21">
        <f>EXP(-LN(2)/25)*GM108+(1-EXP(-LN(2)/25))/(LN(2)/25)*Calculateur!GH109*Calculateur!GJ109*VLOOKUP('Données projet'!$B$17,Paramètres!$A$1:$I$89,3,0)*0.475*44/12</f>
        <v>6.2868576545588484</v>
      </c>
      <c r="GN109" s="21">
        <f>EXP(-LN(2)/2)*GN108+(1-EXP(-LN(2)/2))/(LN(2)/2)*GH109*GK109*VLOOKUP('Données projet'!$B$17,Paramètres!$A$1:$I$89,3,0)*0.475*44/12</f>
        <v>2.7342683170055797E-12</v>
      </c>
      <c r="GO109" s="21">
        <f t="shared" si="81"/>
        <v>101.3076733482749</v>
      </c>
      <c r="GP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614.99999999999989</v>
      </c>
      <c r="GV109" s="17">
        <f>GU109*VLOOKUP('Données projet'!$B$18,Paramètres!$A$1:$I$89,3,0)*VLOOKUP('Données projet'!$B$18,Paramètres!$A$1:$I$89,5,0)</f>
        <v>351.78</v>
      </c>
      <c r="GW109" s="13">
        <f t="shared" si="105"/>
        <v>81.92892344316067</v>
      </c>
      <c r="GX109" s="20">
        <f t="shared" si="82"/>
        <v>755.37637499683808</v>
      </c>
      <c r="GY109" s="59">
        <f t="shared" si="83"/>
        <v>1048.7097083301715</v>
      </c>
      <c r="GZ109" s="59">
        <f ca="1">AVERAGE(OFFSET($GY$3,0,0,'Données projet'!$E$18+1,1))-AVERAGE(OFFSET($H$3,0,0,'Données projet'!$E$18+1,1))</f>
        <v>362.57172983134313</v>
      </c>
      <c r="HA109" s="59">
        <f t="shared" si="106"/>
        <v>232.03250917542471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77.226302452524308</v>
      </c>
      <c r="HH109" s="21">
        <f>EXP(-LN(2)/25)*HH108+(1-EXP(-LN(2)/25))/(LN(2)/25)*Calculateur!HC109*Calculateur!HE109*VLOOKUP('Données projet'!$B$18,Paramètres!$A$1:$I$89,3,0)*0.475*44/12</f>
        <v>3.7901629879158625</v>
      </c>
      <c r="HI109" s="21">
        <f>EXP(-LN(2)/2)*HI108+(1-EXP(-LN(2)/2))/(LN(2)/2)*HC109*HF109*VLOOKUP('Données projet'!$B$18,Paramètres!$A$1:$I$89,3,0)*0.475*44/12</f>
        <v>2.7242281640667582E-12</v>
      </c>
      <c r="HJ109" s="22">
        <f t="shared" si="84"/>
        <v>81.0164654404429</v>
      </c>
    </row>
    <row r="110" spans="1:218" x14ac:dyDescent="0.3">
      <c r="A110" s="10">
        <f t="shared" si="85"/>
        <v>107</v>
      </c>
      <c r="B110" s="71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5">
        <f t="shared" si="56"/>
        <v>409.08272146430653</v>
      </c>
      <c r="I110" s="6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266.99999999999983</v>
      </c>
      <c r="O110" s="13">
        <f>N110*VLOOKUP('Données projet'!$B$9,Paramètres!$A$1:$I$89,3,0)*VLOOKUP('Données projet'!$B$9,Paramètres!$A$1:$I$89,5,0)</f>
        <v>212.42519999999985</v>
      </c>
      <c r="P110" s="13">
        <f t="shared" si="87"/>
        <v>52.465198231787184</v>
      </c>
      <c r="Q110" s="20">
        <f t="shared" si="107"/>
        <v>461.35077692036231</v>
      </c>
      <c r="R110" s="59">
        <f t="shared" si="55"/>
        <v>754.68411025369562</v>
      </c>
      <c r="S110" s="59">
        <f ca="1">AVERAGE(OFFSET($R$3,0,0,'Données projet'!$E$9+1,1))-AVERAGE(OFFSET($H$3,0,0,'Données projet'!$E$9+1,1))</f>
        <v>225.2323446080772</v>
      </c>
      <c r="T110" s="59">
        <f t="shared" si="88"/>
        <v>222.29030402759292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25.417582925893377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25.417582925893377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732.99999999999966</v>
      </c>
      <c r="AJ110" s="13">
        <f>AI110*VLOOKUP('Données projet'!$B$10,Paramètres!$A$1:$I$89,3,0)*VLOOKUP('Données projet'!$B$10,Paramètres!$A$1:$I$89,5,0)</f>
        <v>362.1019999999998</v>
      </c>
      <c r="AK110" s="13">
        <f t="shared" si="89"/>
        <v>84.049487364732272</v>
      </c>
      <c r="AL110" s="20">
        <f t="shared" si="58"/>
        <v>777.04717382690842</v>
      </c>
      <c r="AM110" s="59">
        <f t="shared" si="59"/>
        <v>1070.3805071602417</v>
      </c>
      <c r="AN110" s="59">
        <f ca="1">AVERAGE(OFFSET($AM$3,0,0,'Données projet'!$E$10+1,1))-AVERAGE(OFFSET($H$3,0,0,'Données projet'!$E$10+1,1))</f>
        <v>360.05819346986135</v>
      </c>
      <c r="AO110" s="59">
        <f t="shared" si="90"/>
        <v>300.47468388351081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76.116620925444224</v>
      </c>
      <c r="AV110" s="21">
        <f>EXP(-LN(2)/25)*AV109+(1-EXP(-LN(2)/25))/(LN(2)/25)*Calculateur!AQ110*Calculateur!AS110*VLOOKUP('Données projet'!$B$10,Paramètres!$A$1:$I$89,3,0)*0.475*44/12</f>
        <v>5.003135346586463</v>
      </c>
      <c r="AW110" s="21">
        <f>EXP(-LN(2)/2)*AW109+(1-EXP(-LN(2)/2))/(LN(2)/2)*AQ110*AT110*VLOOKUP('Données projet'!$B$10,Paramètres!$A$1:$I$89,3,0)*0.475*44/12</f>
        <v>1.3488974431661677E-13</v>
      </c>
      <c r="AX110" s="21">
        <f t="shared" si="60"/>
        <v>81.119756272030813</v>
      </c>
      <c r="AY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465.00000000000006</v>
      </c>
      <c r="BE110" s="13">
        <f>BD110*VLOOKUP('Données projet'!$B$11,Paramètres!$A$1:$I$89,3,0)*VLOOKUP('Données projet'!$B$11,Paramètres!$A$1:$I$89,5,0)</f>
        <v>265.98</v>
      </c>
      <c r="BF110" s="13">
        <f t="shared" si="91"/>
        <v>63.995380422211589</v>
      </c>
      <c r="BG110" s="20">
        <f t="shared" si="61"/>
        <v>574.70712090201857</v>
      </c>
      <c r="BH110" s="59">
        <f t="shared" si="62"/>
        <v>868.04045423535194</v>
      </c>
      <c r="BI110" s="59">
        <f ca="1">AVERAGE(OFFSET($BH$3,0,0,'Données projet'!$E$11+1,1))-AVERAGE(OFFSET($H$3,0,0,'Données projet'!$E$11+1,1))</f>
        <v>250.90038883668348</v>
      </c>
      <c r="BJ110" s="59">
        <f t="shared" si="92"/>
        <v>141.96132114475608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58.296571434087504</v>
      </c>
      <c r="BQ110" s="21">
        <f>EXP(-LN(2)/25)*BQ109+(1-EXP(-LN(2)/25))/(LN(2)/25)*Calculateur!BL110*Calculateur!BN110*VLOOKUP('Données projet'!$B$11,Paramètres!$A$1:$I$89,3,0)*0.475*44/12</f>
        <v>1.4077294575466057</v>
      </c>
      <c r="BR110" s="21">
        <f>EXP(-LN(2)/2)*BR109+(1-EXP(-LN(2)/2))/(LN(2)/2)*BL110*BO110*VLOOKUP('Données projet'!$B$11,Paramètres!$A$1:$I$89,3,0)*0.475*44/12</f>
        <v>9.7188680447787478E-12</v>
      </c>
      <c r="BS110" s="22">
        <f t="shared" si="63"/>
        <v>59.704300891643832</v>
      </c>
      <c r="BT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319</v>
      </c>
      <c r="BZ110" s="13">
        <f>BY110*VLOOKUP('Données projet'!$B$12,Paramètres!$A$1:$I$89,3,0)*VLOOKUP('Données projet'!$B$12,Paramètres!$A$1:$I$89,5,0)</f>
        <v>253.79640000000001</v>
      </c>
      <c r="CA110" s="13">
        <f t="shared" si="93"/>
        <v>61.39816832228076</v>
      </c>
      <c r="CB110" s="20">
        <f t="shared" si="64"/>
        <v>548.96387316130563</v>
      </c>
      <c r="CC110" s="59">
        <f t="shared" si="65"/>
        <v>842.29720649463889</v>
      </c>
      <c r="CD110" s="59">
        <f ca="1">AVERAGE(OFFSET($CC$3,0,0,'Données projet'!$E$12+1,1))-AVERAGE(OFFSET($H$3,0,0,'Données projet'!$E$12+1,1))</f>
        <v>279.49721661620544</v>
      </c>
      <c r="CE110" s="59">
        <f t="shared" si="94"/>
        <v>275.18739333988754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31.14792537866316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31.14792537866316</v>
      </c>
      <c r="CO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789</v>
      </c>
      <c r="CU110" s="17">
        <f>CT110*VLOOKUP('Données projet'!$B$13,Paramètres!$A$1:$I$89,3,0)*VLOOKUP('Données projet'!$B$13,Paramètres!$A$1:$I$89,5,0)</f>
        <v>389.76600000000002</v>
      </c>
      <c r="CV110" s="13">
        <f t="shared" si="95"/>
        <v>89.698759503620408</v>
      </c>
      <c r="CW110" s="20">
        <f t="shared" si="67"/>
        <v>835.06778946880547</v>
      </c>
      <c r="CX110" s="59">
        <f t="shared" si="68"/>
        <v>1128.4011228021388</v>
      </c>
      <c r="CY110" s="59">
        <f ca="1">AVERAGE(OFFSET($CX$3,0,0,'Données projet'!$E$13+1,1))-AVERAGE(OFFSET($H$3,0,0,'Données projet'!$E$13+1,1))</f>
        <v>396.27049617044378</v>
      </c>
      <c r="CZ110" s="59">
        <f t="shared" si="96"/>
        <v>335.2680289568774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84.435869667982331</v>
      </c>
      <c r="DG110" s="21">
        <f>EXP(-LN(2)/25)*DG109+(1-EXP(-LN(2)/25))/(LN(2)/25)*Calculateur!DB110*Calculateur!DD110*VLOOKUP('Données projet'!$B$13,Paramètres!$A$1:$I$89,3,0)*0.475*44/12</f>
        <v>5.5590392739849612</v>
      </c>
      <c r="DH110" s="21">
        <f>EXP(-LN(2)/2)*DH109+(1-EXP(-LN(2)/2))/(LN(2)/2)*DB110*DE110*VLOOKUP('Données projet'!$B$13,Paramètres!$A$1:$I$89,3,0)*0.475*44/12</f>
        <v>9.8919145832185699E-13</v>
      </c>
      <c r="DI110" s="22">
        <f t="shared" si="69"/>
        <v>89.994908941968291</v>
      </c>
      <c r="DJ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541.99999999999989</v>
      </c>
      <c r="DP110" s="17">
        <f>DO110*VLOOKUP('Données projet'!$B$14,Paramètres!$A$1:$I$89,3,0)*VLOOKUP('Données projet'!$B$14,Paramètres!$A$1:$I$89,5,0)</f>
        <v>310.02399999999994</v>
      </c>
      <c r="DQ110" s="13">
        <f t="shared" si="97"/>
        <v>73.27384230442388</v>
      </c>
      <c r="DR110" s="20">
        <f t="shared" si="70"/>
        <v>667.57707534687154</v>
      </c>
      <c r="DS110" s="59">
        <f t="shared" si="71"/>
        <v>960.91040868020491</v>
      </c>
      <c r="DT110" s="59">
        <f ca="1">AVERAGE(OFFSET($DS$3,0,0,'Données projet'!$E$14+1,1))-AVERAGE(OFFSET($H$3,0,0,'Données projet'!$E$14+1,1))</f>
        <v>307.43900954374504</v>
      </c>
      <c r="DU110" s="59">
        <f t="shared" si="98"/>
        <v>185.25270859048999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67.138674079928478</v>
      </c>
      <c r="EB110" s="21">
        <f>EXP(-LN(2)/25)*EB109+(1-EXP(-LN(2)/25))/(LN(2)/25)*Calculateur!DW110*Calculateur!DY110*VLOOKUP('Données projet'!$B$14,Paramètres!$A$1:$I$89,3,0)*0.475*44/12</f>
        <v>3.159874955738819</v>
      </c>
      <c r="EC110" s="21">
        <f>EXP(-LN(2)/2)*EC109+(1-EXP(-LN(2)/2))/(LN(2)/2)*DW110*DZ110*VLOOKUP('Données projet'!$B$14,Paramètres!$A$1:$I$89,3,0)*0.475*44/12</f>
        <v>9.3712874998912725E-13</v>
      </c>
      <c r="ED110" s="22">
        <f t="shared" si="72"/>
        <v>70.298549035668231</v>
      </c>
      <c r="EE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401</v>
      </c>
      <c r="EK110" s="17">
        <f>EJ110*VLOOKUP('Données projet'!$B$15,Paramètres!$A$1:$I$89,3,0)*VLOOKUP('Données projet'!$B$15,Paramètres!$A$1:$I$89,5,0)</f>
        <v>250.22399999999999</v>
      </c>
      <c r="EL110" s="13">
        <f t="shared" si="99"/>
        <v>60.633904580527918</v>
      </c>
      <c r="EM110" s="20">
        <f t="shared" si="73"/>
        <v>541.41085047775289</v>
      </c>
      <c r="EN110" s="59">
        <f t="shared" si="74"/>
        <v>834.74418381108626</v>
      </c>
      <c r="EO110" s="59">
        <f ca="1">AVERAGE(OFFSET($EN$3,0,0,'Données projet'!$E$15+1,1))-AVERAGE(OFFSET($H$3,0,0,'Données projet'!$E$15+1,1))</f>
        <v>269.77739619445515</v>
      </c>
      <c r="EP110" s="59">
        <f t="shared" si="100"/>
        <v>347.56964743629885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30.190182270440832</v>
      </c>
      <c r="EW110" s="21">
        <f>EXP(-LN(2)/25)*EW109+(1-EXP(-LN(2)/25))/(LN(2)/25)*Calculateur!ER110*Calculateur!ET110*VLOOKUP('Données projet'!$B$15,Paramètres!$A$1:$I$89,3,0)*0.475*44/12</f>
        <v>10.849175279048723</v>
      </c>
      <c r="EX110" s="21">
        <f>EXP(-LN(2)/2)*EX109+(1-EXP(-LN(2)/2))/(LN(2)/2)*ER110*EU110*VLOOKUP('Données projet'!$B$15,Paramètres!$A$1:$I$89,3,0)*0.475*44/12</f>
        <v>6.3895142044713231E-14</v>
      </c>
      <c r="EY110" s="22">
        <f t="shared" si="75"/>
        <v>41.039357549489615</v>
      </c>
      <c r="EZ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367.99999999999972</v>
      </c>
      <c r="FF110" s="17">
        <f>FE110*VLOOKUP('Données projet'!$B$16,Paramètres!$A$1:$I$89,3,0)*VLOOKUP('Données projet'!$B$16,Paramètres!$A$1:$I$89,5,0)</f>
        <v>292.78079999999977</v>
      </c>
      <c r="FG110" s="13">
        <f t="shared" si="101"/>
        <v>69.660903052386217</v>
      </c>
      <c r="FH110" s="20">
        <f t="shared" si="76"/>
        <v>631.25263281623893</v>
      </c>
      <c r="FI110" s="59">
        <f t="shared" si="77"/>
        <v>924.58596614957219</v>
      </c>
      <c r="FJ110" s="59">
        <f ca="1">AVERAGE(OFFSET($FI$3,0,0,'Données projet'!$E$16+1,1))-AVERAGE(OFFSET($H$3,0,0,'Données projet'!$E$16+1,1))</f>
        <v>331.52724290297675</v>
      </c>
      <c r="FK110" s="59">
        <f t="shared" si="102"/>
        <v>322.79102610158054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36.106714977453905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36.106714977453905</v>
      </c>
      <c r="FU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852.00000000000011</v>
      </c>
      <c r="GA110" s="17">
        <f>FZ110*VLOOKUP('Données projet'!$B$17,Paramètres!$A$1:$I$89,3,0)*VLOOKUP('Données projet'!$B$17,Paramètres!$A$1:$I$89,5,0)</f>
        <v>420.88800000000009</v>
      </c>
      <c r="GB110" s="13">
        <f t="shared" si="103"/>
        <v>95.998759891259041</v>
      </c>
      <c r="GC110" s="20">
        <f t="shared" si="79"/>
        <v>900.24444014394294</v>
      </c>
      <c r="GD110" s="59">
        <f t="shared" si="80"/>
        <v>1193.5777734772762</v>
      </c>
      <c r="GE110" s="59">
        <f ca="1">AVERAGE(OFFSET($GD$3,0,0,'Données projet'!$E$17+1,1))-AVERAGE(OFFSET($H$3,0,0,'Données projet'!$E$17+1,1))</f>
        <v>434.08297999735811</v>
      </c>
      <c r="GF110" s="59">
        <f t="shared" si="104"/>
        <v>371.04090283546122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93.157515454934412</v>
      </c>
      <c r="GM110" s="21">
        <f>EXP(-LN(2)/25)*GM109+(1-EXP(-LN(2)/25))/(LN(2)/25)*Calculateur!GH110*Calculateur!GJ110*VLOOKUP('Données projet'!$B$17,Paramètres!$A$1:$I$89,3,0)*0.475*44/12</f>
        <v>6.1149432013834613</v>
      </c>
      <c r="GN110" s="21">
        <f>EXP(-LN(2)/2)*GN109+(1-EXP(-LN(2)/2))/(LN(2)/2)*GH110*GK110*VLOOKUP('Données projet'!$B$17,Paramètres!$A$1:$I$89,3,0)*0.475*44/12</f>
        <v>1.933419668538174E-12</v>
      </c>
      <c r="GO110" s="21">
        <f t="shared" si="81"/>
        <v>99.272458656319799</v>
      </c>
      <c r="GP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614.99999999999989</v>
      </c>
      <c r="GV110" s="17">
        <f>GU110*VLOOKUP('Données projet'!$B$18,Paramètres!$A$1:$I$89,3,0)*VLOOKUP('Données projet'!$B$18,Paramètres!$A$1:$I$89,5,0)</f>
        <v>351.78</v>
      </c>
      <c r="GW110" s="13">
        <f t="shared" si="105"/>
        <v>81.92892344316067</v>
      </c>
      <c r="GX110" s="20">
        <f t="shared" si="82"/>
        <v>755.37637499683808</v>
      </c>
      <c r="GY110" s="59">
        <f t="shared" si="83"/>
        <v>1048.7097083301715</v>
      </c>
      <c r="GZ110" s="59">
        <f ca="1">AVERAGE(OFFSET($GY$3,0,0,'Données projet'!$E$18+1,1))-AVERAGE(OFFSET($H$3,0,0,'Données projet'!$E$18+1,1))</f>
        <v>362.57172983134313</v>
      </c>
      <c r="HA110" s="59">
        <f t="shared" si="106"/>
        <v>232.03250917542471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75.711941764823735</v>
      </c>
      <c r="HH110" s="21">
        <f>EXP(-LN(2)/25)*HH109+(1-EXP(-LN(2)/25))/(LN(2)/25)*Calculateur!HC110*Calculateur!HE110*VLOOKUP('Données projet'!$B$18,Paramètres!$A$1:$I$89,3,0)*0.475*44/12</f>
        <v>3.6865207816952941</v>
      </c>
      <c r="HI110" s="21">
        <f>EXP(-LN(2)/2)*HI109+(1-EXP(-LN(2)/2))/(LN(2)/2)*HC110*HF110*VLOOKUP('Données projet'!$B$18,Paramètres!$A$1:$I$89,3,0)*0.475*44/12</f>
        <v>1.9263202083109832E-12</v>
      </c>
      <c r="HJ110" s="22">
        <f t="shared" si="84"/>
        <v>79.39846254652096</v>
      </c>
    </row>
    <row r="111" spans="1:218" x14ac:dyDescent="0.3">
      <c r="A111" s="10">
        <f t="shared" si="85"/>
        <v>108</v>
      </c>
      <c r="B111" s="71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5">
        <f t="shared" si="56"/>
        <v>410.13596967374428</v>
      </c>
      <c r="I111" s="6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266.99999999999983</v>
      </c>
      <c r="O111" s="13">
        <f>N111*VLOOKUP('Données projet'!$B$9,Paramètres!$A$1:$I$89,3,0)*VLOOKUP('Données projet'!$B$9,Paramètres!$A$1:$I$89,5,0)</f>
        <v>212.42519999999985</v>
      </c>
      <c r="P111" s="13">
        <f t="shared" si="87"/>
        <v>52.465198231787184</v>
      </c>
      <c r="Q111" s="20">
        <f t="shared" si="107"/>
        <v>461.35077692036231</v>
      </c>
      <c r="R111" s="59">
        <f t="shared" si="55"/>
        <v>754.68411025369562</v>
      </c>
      <c r="S111" s="59">
        <f ca="1">AVERAGE(OFFSET($R$3,0,0,'Données projet'!$E$9+1,1))-AVERAGE(OFFSET($H$3,0,0,'Données projet'!$E$9+1,1))</f>
        <v>225.2323446080772</v>
      </c>
      <c r="T111" s="59">
        <f t="shared" si="88"/>
        <v>222.29030402759292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24.91915962791138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24.91915962791138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732.99999999999966</v>
      </c>
      <c r="AJ111" s="13">
        <f>AI111*VLOOKUP('Données projet'!$B$10,Paramètres!$A$1:$I$89,3,0)*VLOOKUP('Données projet'!$B$10,Paramètres!$A$1:$I$89,5,0)</f>
        <v>362.1019999999998</v>
      </c>
      <c r="AK111" s="13">
        <f t="shared" si="89"/>
        <v>84.049487364732272</v>
      </c>
      <c r="AL111" s="20">
        <f t="shared" si="58"/>
        <v>777.04717382690842</v>
      </c>
      <c r="AM111" s="59">
        <f t="shared" si="59"/>
        <v>1070.3805071602417</v>
      </c>
      <c r="AN111" s="59">
        <f ca="1">AVERAGE(OFFSET($AM$3,0,0,'Données projet'!$E$10+1,1))-AVERAGE(OFFSET($H$3,0,0,'Données projet'!$E$10+1,1))</f>
        <v>360.05819346986135</v>
      </c>
      <c r="AO111" s="59">
        <f t="shared" si="90"/>
        <v>300.47468388351081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74.62402041565079</v>
      </c>
      <c r="AV111" s="21">
        <f>EXP(-LN(2)/25)*AV110+(1-EXP(-LN(2)/25))/(LN(2)/25)*Calculateur!AQ111*Calculateur!AS111*VLOOKUP('Données projet'!$B$10,Paramètres!$A$1:$I$89,3,0)*0.475*44/12</f>
        <v>4.866324347430603</v>
      </c>
      <c r="AW111" s="21">
        <f>EXP(-LN(2)/2)*AW110+(1-EXP(-LN(2)/2))/(LN(2)/2)*AQ111*AT111*VLOOKUP('Données projet'!$B$10,Paramètres!$A$1:$I$89,3,0)*0.475*44/12</f>
        <v>9.5381452918799281E-14</v>
      </c>
      <c r="AX111" s="21">
        <f t="shared" si="60"/>
        <v>79.490344763081495</v>
      </c>
      <c r="AY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465.00000000000006</v>
      </c>
      <c r="BE111" s="13">
        <f>BD111*VLOOKUP('Données projet'!$B$11,Paramètres!$A$1:$I$89,3,0)*VLOOKUP('Données projet'!$B$11,Paramètres!$A$1:$I$89,5,0)</f>
        <v>265.98</v>
      </c>
      <c r="BF111" s="13">
        <f t="shared" si="91"/>
        <v>63.995380422211589</v>
      </c>
      <c r="BG111" s="20">
        <f t="shared" si="61"/>
        <v>574.70712090201857</v>
      </c>
      <c r="BH111" s="59">
        <f t="shared" si="62"/>
        <v>868.04045423535194</v>
      </c>
      <c r="BI111" s="59">
        <f ca="1">AVERAGE(OFFSET($BH$3,0,0,'Données projet'!$E$11+1,1))-AVERAGE(OFFSET($H$3,0,0,'Données projet'!$E$11+1,1))</f>
        <v>250.90038883668348</v>
      </c>
      <c r="BJ111" s="59">
        <f t="shared" si="92"/>
        <v>141.96132114475608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57.153411225662623</v>
      </c>
      <c r="BQ111" s="21">
        <f>EXP(-LN(2)/25)*BQ110+(1-EXP(-LN(2)/25))/(LN(2)/25)*Calculateur!BL111*Calculateur!BN111*VLOOKUP('Données projet'!$B$11,Paramètres!$A$1:$I$89,3,0)*0.475*44/12</f>
        <v>1.369235021500719</v>
      </c>
      <c r="BR111" s="21">
        <f>EXP(-LN(2)/2)*BR110+(1-EXP(-LN(2)/2))/(LN(2)/2)*BL111*BO111*VLOOKUP('Données projet'!$B$11,Paramètres!$A$1:$I$89,3,0)*0.475*44/12</f>
        <v>6.8722774999202951E-12</v>
      </c>
      <c r="BS111" s="22">
        <f t="shared" si="63"/>
        <v>58.522646247170215</v>
      </c>
      <c r="BT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319</v>
      </c>
      <c r="BZ111" s="13">
        <f>BY111*VLOOKUP('Données projet'!$B$12,Paramètres!$A$1:$I$89,3,0)*VLOOKUP('Données projet'!$B$12,Paramètres!$A$1:$I$89,5,0)</f>
        <v>253.79640000000001</v>
      </c>
      <c r="CA111" s="13">
        <f t="shared" si="93"/>
        <v>61.39816832228076</v>
      </c>
      <c r="CB111" s="20">
        <f t="shared" si="64"/>
        <v>548.96387316130563</v>
      </c>
      <c r="CC111" s="59">
        <f t="shared" si="65"/>
        <v>842.29720649463889</v>
      </c>
      <c r="CD111" s="59">
        <f ca="1">AVERAGE(OFFSET($CC$3,0,0,'Données projet'!$E$12+1,1))-AVERAGE(OFFSET($H$3,0,0,'Données projet'!$E$12+1,1))</f>
        <v>279.49721661620544</v>
      </c>
      <c r="CE111" s="59">
        <f t="shared" si="94"/>
        <v>275.18739333988754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30.537133560346124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30.537133560346124</v>
      </c>
      <c r="CO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789</v>
      </c>
      <c r="CU111" s="17">
        <f>CT111*VLOOKUP('Données projet'!$B$13,Paramètres!$A$1:$I$89,3,0)*VLOOKUP('Données projet'!$B$13,Paramètres!$A$1:$I$89,5,0)</f>
        <v>389.76600000000002</v>
      </c>
      <c r="CV111" s="13">
        <f t="shared" si="95"/>
        <v>89.698759503620408</v>
      </c>
      <c r="CW111" s="20">
        <f t="shared" si="67"/>
        <v>835.06778946880547</v>
      </c>
      <c r="CX111" s="59">
        <f t="shared" si="68"/>
        <v>1128.4011228021388</v>
      </c>
      <c r="CY111" s="59">
        <f ca="1">AVERAGE(OFFSET($CX$3,0,0,'Données projet'!$E$13+1,1))-AVERAGE(OFFSET($H$3,0,0,'Données projet'!$E$13+1,1))</f>
        <v>396.27049617044378</v>
      </c>
      <c r="CZ111" s="59">
        <f t="shared" si="96"/>
        <v>335.2680289568774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82.780133764588413</v>
      </c>
      <c r="DG111" s="21">
        <f>EXP(-LN(2)/25)*DG110+(1-EXP(-LN(2)/25))/(LN(2)/25)*Calculateur!DB111*Calculateur!DD111*VLOOKUP('Données projet'!$B$13,Paramètres!$A$1:$I$89,3,0)*0.475*44/12</f>
        <v>5.4070270527006725</v>
      </c>
      <c r="DH111" s="21">
        <f>EXP(-LN(2)/2)*DH110+(1-EXP(-LN(2)/2))/(LN(2)/2)*DB111*DE111*VLOOKUP('Données projet'!$B$13,Paramètres!$A$1:$I$89,3,0)*0.475*44/12</f>
        <v>6.9946398807119518E-13</v>
      </c>
      <c r="DI111" s="22">
        <f t="shared" si="69"/>
        <v>88.187160817289779</v>
      </c>
      <c r="DJ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541.99999999999989</v>
      </c>
      <c r="DP111" s="17">
        <f>DO111*VLOOKUP('Données projet'!$B$14,Paramètres!$A$1:$I$89,3,0)*VLOOKUP('Données projet'!$B$14,Paramètres!$A$1:$I$89,5,0)</f>
        <v>310.02399999999994</v>
      </c>
      <c r="DQ111" s="13">
        <f t="shared" si="97"/>
        <v>73.27384230442388</v>
      </c>
      <c r="DR111" s="20">
        <f t="shared" si="70"/>
        <v>667.57707534687154</v>
      </c>
      <c r="DS111" s="59">
        <f t="shared" si="71"/>
        <v>960.91040868020491</v>
      </c>
      <c r="DT111" s="59">
        <f ca="1">AVERAGE(OFFSET($DS$3,0,0,'Données projet'!$E$14+1,1))-AVERAGE(OFFSET($H$3,0,0,'Données projet'!$E$14+1,1))</f>
        <v>307.43900954374504</v>
      </c>
      <c r="DU111" s="59">
        <f t="shared" si="98"/>
        <v>185.25270859048999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65.822125631768742</v>
      </c>
      <c r="EB111" s="21">
        <f>EXP(-LN(2)/25)*EB110+(1-EXP(-LN(2)/25))/(LN(2)/25)*Calculateur!DW111*Calculateur!DY111*VLOOKUP('Données projet'!$B$14,Paramètres!$A$1:$I$89,3,0)*0.475*44/12</f>
        <v>3.0734680089035393</v>
      </c>
      <c r="EC111" s="21">
        <f>EXP(-LN(2)/2)*EC110+(1-EXP(-LN(2)/2))/(LN(2)/2)*DW111*DZ111*VLOOKUP('Données projet'!$B$14,Paramètres!$A$1:$I$89,3,0)*0.475*44/12</f>
        <v>6.6265009396218461E-13</v>
      </c>
      <c r="ED111" s="22">
        <f t="shared" si="72"/>
        <v>68.895593640672942</v>
      </c>
      <c r="EE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401</v>
      </c>
      <c r="EK111" s="17">
        <f>EJ111*VLOOKUP('Données projet'!$B$15,Paramètres!$A$1:$I$89,3,0)*VLOOKUP('Données projet'!$B$15,Paramètres!$A$1:$I$89,5,0)</f>
        <v>250.22399999999999</v>
      </c>
      <c r="EL111" s="13">
        <f t="shared" si="99"/>
        <v>60.633904580527918</v>
      </c>
      <c r="EM111" s="20">
        <f t="shared" si="73"/>
        <v>541.41085047775289</v>
      </c>
      <c r="EN111" s="59">
        <f t="shared" si="74"/>
        <v>834.74418381108626</v>
      </c>
      <c r="EO111" s="59">
        <f ca="1">AVERAGE(OFFSET($EN$3,0,0,'Données projet'!$E$15+1,1))-AVERAGE(OFFSET($H$3,0,0,'Données projet'!$E$15+1,1))</f>
        <v>269.77739619445515</v>
      </c>
      <c r="EP111" s="59">
        <f t="shared" si="100"/>
        <v>347.56964743629885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29.598171210310422</v>
      </c>
      <c r="EW111" s="21">
        <f>EXP(-LN(2)/25)*EW110+(1-EXP(-LN(2)/25))/(LN(2)/25)*Calculateur!ER111*Calculateur!ET111*VLOOKUP('Données projet'!$B$15,Paramètres!$A$1:$I$89,3,0)*0.475*44/12</f>
        <v>10.552504010509804</v>
      </c>
      <c r="EX111" s="21">
        <f>EXP(-LN(2)/2)*EX110+(1-EXP(-LN(2)/2))/(LN(2)/2)*ER111*EU111*VLOOKUP('Données projet'!$B$15,Paramètres!$A$1:$I$89,3,0)*0.475*44/12</f>
        <v>4.5180688224694412E-14</v>
      </c>
      <c r="EY111" s="22">
        <f t="shared" si="75"/>
        <v>40.150675220820268</v>
      </c>
      <c r="EZ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367.99999999999972</v>
      </c>
      <c r="FF111" s="17">
        <f>FE111*VLOOKUP('Données projet'!$B$16,Paramètres!$A$1:$I$89,3,0)*VLOOKUP('Données projet'!$B$16,Paramètres!$A$1:$I$89,5,0)</f>
        <v>292.78079999999977</v>
      </c>
      <c r="FG111" s="13">
        <f t="shared" si="101"/>
        <v>69.660903052386217</v>
      </c>
      <c r="FH111" s="20">
        <f t="shared" si="76"/>
        <v>631.25263281623893</v>
      </c>
      <c r="FI111" s="59">
        <f t="shared" si="77"/>
        <v>924.58596614957219</v>
      </c>
      <c r="FJ111" s="59">
        <f ca="1">AVERAGE(OFFSET($FI$3,0,0,'Données projet'!$E$16+1,1))-AVERAGE(OFFSET($H$3,0,0,'Données projet'!$E$16+1,1))</f>
        <v>331.52724290297675</v>
      </c>
      <c r="FK111" s="59">
        <f t="shared" si="102"/>
        <v>322.79102610158054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35.398684319667588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35.398684319667588</v>
      </c>
      <c r="FU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852.00000000000011</v>
      </c>
      <c r="GA111" s="17">
        <f>FZ111*VLOOKUP('Données projet'!$B$17,Paramètres!$A$1:$I$89,3,0)*VLOOKUP('Données projet'!$B$17,Paramètres!$A$1:$I$89,5,0)</f>
        <v>420.88800000000009</v>
      </c>
      <c r="GB111" s="13">
        <f t="shared" si="103"/>
        <v>95.998759891259041</v>
      </c>
      <c r="GC111" s="20">
        <f t="shared" si="79"/>
        <v>900.24444014394294</v>
      </c>
      <c r="GD111" s="59">
        <f t="shared" si="80"/>
        <v>1193.5777734772762</v>
      </c>
      <c r="GE111" s="59">
        <f ca="1">AVERAGE(OFFSET($GD$3,0,0,'Données projet'!$E$17+1,1))-AVERAGE(OFFSET($H$3,0,0,'Données projet'!$E$17+1,1))</f>
        <v>434.08297999735811</v>
      </c>
      <c r="GF111" s="59">
        <f t="shared" si="104"/>
        <v>371.04090283546122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91.33075339733702</v>
      </c>
      <c r="GM111" s="21">
        <f>EXP(-LN(2)/25)*GM110+(1-EXP(-LN(2)/25))/(LN(2)/25)*Calculateur!GH111*Calculateur!GJ111*VLOOKUP('Données projet'!$B$17,Paramètres!$A$1:$I$89,3,0)*0.475*44/12</f>
        <v>5.9477297579707438</v>
      </c>
      <c r="GN111" s="21">
        <f>EXP(-LN(2)/2)*GN110+(1-EXP(-LN(2)/2))/(LN(2)/2)*GH111*GK111*VLOOKUP('Données projet'!$B$17,Paramètres!$A$1:$I$89,3,0)*0.475*44/12</f>
        <v>1.3671341585027899E-12</v>
      </c>
      <c r="GO111" s="21">
        <f t="shared" si="81"/>
        <v>97.278483155309132</v>
      </c>
      <c r="GP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614.99999999999989</v>
      </c>
      <c r="GV111" s="17">
        <f>GU111*VLOOKUP('Données projet'!$B$18,Paramètres!$A$1:$I$89,3,0)*VLOOKUP('Données projet'!$B$18,Paramètres!$A$1:$I$89,5,0)</f>
        <v>351.78</v>
      </c>
      <c r="GW111" s="13">
        <f t="shared" si="105"/>
        <v>81.92892344316067</v>
      </c>
      <c r="GX111" s="20">
        <f t="shared" si="82"/>
        <v>755.37637499683808</v>
      </c>
      <c r="GY111" s="59">
        <f t="shared" si="83"/>
        <v>1048.7097083301715</v>
      </c>
      <c r="GZ111" s="59">
        <f ca="1">AVERAGE(OFFSET($GY$3,0,0,'Données projet'!$E$18+1,1))-AVERAGE(OFFSET($H$3,0,0,'Données projet'!$E$18+1,1))</f>
        <v>362.57172983134313</v>
      </c>
      <c r="HA111" s="59">
        <f t="shared" si="106"/>
        <v>232.03250917542471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74.227276766540143</v>
      </c>
      <c r="HH111" s="21">
        <f>EXP(-LN(2)/25)*HH110+(1-EXP(-LN(2)/25))/(LN(2)/25)*Calculateur!HC111*Calculateur!HE111*VLOOKUP('Données projet'!$B$18,Paramètres!$A$1:$I$89,3,0)*0.475*44/12</f>
        <v>3.5857126770541341</v>
      </c>
      <c r="HI111" s="21">
        <f>EXP(-LN(2)/2)*HI110+(1-EXP(-LN(2)/2))/(LN(2)/2)*HC111*HF111*VLOOKUP('Données projet'!$B$18,Paramètres!$A$1:$I$89,3,0)*0.475*44/12</f>
        <v>1.3621140820333791E-12</v>
      </c>
      <c r="HJ111" s="22">
        <f t="shared" si="84"/>
        <v>77.81298944359564</v>
      </c>
    </row>
    <row r="112" spans="1:218" x14ac:dyDescent="0.3">
      <c r="A112" s="10">
        <f t="shared" si="85"/>
        <v>109</v>
      </c>
      <c r="B112" s="71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5">
        <f t="shared" si="56"/>
        <v>411.18898573663273</v>
      </c>
      <c r="I112" s="6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266.99999999999983</v>
      </c>
      <c r="O112" s="13">
        <f>N112*VLOOKUP('Données projet'!$B$9,Paramètres!$A$1:$I$89,3,0)*VLOOKUP('Données projet'!$B$9,Paramètres!$A$1:$I$89,5,0)</f>
        <v>212.42519999999985</v>
      </c>
      <c r="P112" s="13">
        <f t="shared" si="87"/>
        <v>52.465198231787184</v>
      </c>
      <c r="Q112" s="20">
        <f t="shared" si="107"/>
        <v>461.35077692036231</v>
      </c>
      <c r="R112" s="59">
        <f t="shared" si="55"/>
        <v>754.68411025369562</v>
      </c>
      <c r="S112" s="59">
        <f ca="1">AVERAGE(OFFSET($R$3,0,0,'Données projet'!$E$9+1,1))-AVERAGE(OFFSET($H$3,0,0,'Données projet'!$E$9+1,1))</f>
        <v>225.2323446080772</v>
      </c>
      <c r="T112" s="59">
        <f t="shared" si="88"/>
        <v>222.29030402759292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24.430510106794618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24.430510106794618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732.99999999999966</v>
      </c>
      <c r="AJ112" s="13">
        <f>AI112*VLOOKUP('Données projet'!$B$10,Paramètres!$A$1:$I$89,3,0)*VLOOKUP('Données projet'!$B$10,Paramètres!$A$1:$I$89,5,0)</f>
        <v>362.1019999999998</v>
      </c>
      <c r="AK112" s="13">
        <f t="shared" si="89"/>
        <v>84.049487364732272</v>
      </c>
      <c r="AL112" s="20">
        <f t="shared" si="58"/>
        <v>777.04717382690842</v>
      </c>
      <c r="AM112" s="59">
        <f t="shared" si="59"/>
        <v>1070.3805071602417</v>
      </c>
      <c r="AN112" s="59">
        <f ca="1">AVERAGE(OFFSET($AM$3,0,0,'Données projet'!$E$10+1,1))-AVERAGE(OFFSET($H$3,0,0,'Données projet'!$E$10+1,1))</f>
        <v>360.05819346986135</v>
      </c>
      <c r="AO112" s="59">
        <f t="shared" si="90"/>
        <v>300.47468388351081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73.16068889145798</v>
      </c>
      <c r="AV112" s="21">
        <f>EXP(-LN(2)/25)*AV111+(1-EXP(-LN(2)/25))/(LN(2)/25)*Calculateur!AQ112*Calculateur!AS112*VLOOKUP('Données projet'!$B$10,Paramètres!$A$1:$I$89,3,0)*0.475*44/12</f>
        <v>4.7332544522412379</v>
      </c>
      <c r="AW112" s="21">
        <f>EXP(-LN(2)/2)*AW111+(1-EXP(-LN(2)/2))/(LN(2)/2)*AQ112*AT112*VLOOKUP('Données projet'!$B$10,Paramètres!$A$1:$I$89,3,0)*0.475*44/12</f>
        <v>6.7444872158308387E-14</v>
      </c>
      <c r="AX112" s="21">
        <f t="shared" si="60"/>
        <v>77.893943343699291</v>
      </c>
      <c r="AY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465.00000000000006</v>
      </c>
      <c r="BE112" s="13">
        <f>BD112*VLOOKUP('Données projet'!$B$11,Paramètres!$A$1:$I$89,3,0)*VLOOKUP('Données projet'!$B$11,Paramètres!$A$1:$I$89,5,0)</f>
        <v>265.98</v>
      </c>
      <c r="BF112" s="13">
        <f t="shared" si="91"/>
        <v>63.995380422211589</v>
      </c>
      <c r="BG112" s="20">
        <f t="shared" si="61"/>
        <v>574.70712090201857</v>
      </c>
      <c r="BH112" s="59">
        <f t="shared" si="62"/>
        <v>868.04045423535194</v>
      </c>
      <c r="BI112" s="59">
        <f ca="1">AVERAGE(OFFSET($BH$3,0,0,'Données projet'!$E$11+1,1))-AVERAGE(OFFSET($H$3,0,0,'Données projet'!$E$11+1,1))</f>
        <v>250.90038883668348</v>
      </c>
      <c r="BJ112" s="59">
        <f t="shared" si="92"/>
        <v>141.96132114475608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56.032667691666077</v>
      </c>
      <c r="BQ112" s="21">
        <f>EXP(-LN(2)/25)*BQ111+(1-EXP(-LN(2)/25))/(LN(2)/25)*Calculateur!BL112*Calculateur!BN112*VLOOKUP('Données projet'!$B$11,Paramètres!$A$1:$I$89,3,0)*0.475*44/12</f>
        <v>1.3317932178328415</v>
      </c>
      <c r="BR112" s="21">
        <f>EXP(-LN(2)/2)*BR111+(1-EXP(-LN(2)/2))/(LN(2)/2)*BL112*BO112*VLOOKUP('Données projet'!$B$11,Paramètres!$A$1:$I$89,3,0)*0.475*44/12</f>
        <v>4.8594340223893739E-12</v>
      </c>
      <c r="BS112" s="22">
        <f t="shared" si="63"/>
        <v>57.364460909503777</v>
      </c>
      <c r="BT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319</v>
      </c>
      <c r="BZ112" s="13">
        <f>BY112*VLOOKUP('Données projet'!$B$12,Paramètres!$A$1:$I$89,3,0)*VLOOKUP('Données projet'!$B$12,Paramètres!$A$1:$I$89,5,0)</f>
        <v>253.79640000000001</v>
      </c>
      <c r="CA112" s="13">
        <f t="shared" si="93"/>
        <v>61.39816832228076</v>
      </c>
      <c r="CB112" s="20">
        <f t="shared" si="64"/>
        <v>548.96387316130563</v>
      </c>
      <c r="CC112" s="59">
        <f t="shared" si="65"/>
        <v>842.29720649463889</v>
      </c>
      <c r="CD112" s="59">
        <f ca="1">AVERAGE(OFFSET($CC$3,0,0,'Données projet'!$E$12+1,1))-AVERAGE(OFFSET($H$3,0,0,'Données projet'!$E$12+1,1))</f>
        <v>279.49721661620544</v>
      </c>
      <c r="CE112" s="59">
        <f t="shared" si="94"/>
        <v>275.18739333988754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29.938318997040064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29.938318997040064</v>
      </c>
      <c r="CO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789</v>
      </c>
      <c r="CU112" s="17">
        <f>CT112*VLOOKUP('Données projet'!$B$13,Paramètres!$A$1:$I$89,3,0)*VLOOKUP('Données projet'!$B$13,Paramètres!$A$1:$I$89,5,0)</f>
        <v>389.76600000000002</v>
      </c>
      <c r="CV112" s="13">
        <f t="shared" si="95"/>
        <v>89.698759503620408</v>
      </c>
      <c r="CW112" s="20">
        <f t="shared" si="67"/>
        <v>835.06778946880547</v>
      </c>
      <c r="CX112" s="59">
        <f t="shared" si="68"/>
        <v>1128.4011228021388</v>
      </c>
      <c r="CY112" s="59">
        <f ca="1">AVERAGE(OFFSET($CX$3,0,0,'Données projet'!$E$13+1,1))-AVERAGE(OFFSET($H$3,0,0,'Données projet'!$E$13+1,1))</f>
        <v>396.27049617044378</v>
      </c>
      <c r="CZ112" s="59">
        <f t="shared" si="96"/>
        <v>335.2680289568774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81.156865832360864</v>
      </c>
      <c r="DG112" s="21">
        <f>EXP(-LN(2)/25)*DG111+(1-EXP(-LN(2)/25))/(LN(2)/25)*Calculateur!DB112*Calculateur!DD112*VLOOKUP('Données projet'!$B$13,Paramètres!$A$1:$I$89,3,0)*0.475*44/12</f>
        <v>5.259171613601378</v>
      </c>
      <c r="DH112" s="21">
        <f>EXP(-LN(2)/2)*DH111+(1-EXP(-LN(2)/2))/(LN(2)/2)*DB112*DE112*VLOOKUP('Données projet'!$B$13,Paramètres!$A$1:$I$89,3,0)*0.475*44/12</f>
        <v>4.945957291609285E-13</v>
      </c>
      <c r="DI112" s="22">
        <f t="shared" si="69"/>
        <v>86.416037445962743</v>
      </c>
      <c r="DJ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541.99999999999989</v>
      </c>
      <c r="DP112" s="17">
        <f>DO112*VLOOKUP('Données projet'!$B$14,Paramètres!$A$1:$I$89,3,0)*VLOOKUP('Données projet'!$B$14,Paramètres!$A$1:$I$89,5,0)</f>
        <v>310.02399999999994</v>
      </c>
      <c r="DQ112" s="13">
        <f t="shared" si="97"/>
        <v>73.27384230442388</v>
      </c>
      <c r="DR112" s="20">
        <f t="shared" si="70"/>
        <v>667.57707534687154</v>
      </c>
      <c r="DS112" s="59">
        <f t="shared" si="71"/>
        <v>960.91040868020491</v>
      </c>
      <c r="DT112" s="59">
        <f ca="1">AVERAGE(OFFSET($DS$3,0,0,'Données projet'!$E$14+1,1))-AVERAGE(OFFSET($H$3,0,0,'Données projet'!$E$14+1,1))</f>
        <v>307.43900954374504</v>
      </c>
      <c r="DU112" s="59">
        <f t="shared" si="98"/>
        <v>185.25270859048999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64.531393895662148</v>
      </c>
      <c r="EB112" s="21">
        <f>EXP(-LN(2)/25)*EB111+(1-EXP(-LN(2)/25))/(LN(2)/25)*Calculateur!DW112*Calculateur!DY112*VLOOKUP('Données projet'!$B$14,Paramètres!$A$1:$I$89,3,0)*0.475*44/12</f>
        <v>2.9894238645734141</v>
      </c>
      <c r="EC112" s="21">
        <f>EXP(-LN(2)/2)*EC111+(1-EXP(-LN(2)/2))/(LN(2)/2)*DW112*DZ112*VLOOKUP('Données projet'!$B$14,Paramètres!$A$1:$I$89,3,0)*0.475*44/12</f>
        <v>4.6856437499456363E-13</v>
      </c>
      <c r="ED112" s="22">
        <f t="shared" si="72"/>
        <v>67.520817760236028</v>
      </c>
      <c r="EE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401</v>
      </c>
      <c r="EK112" s="17">
        <f>EJ112*VLOOKUP('Données projet'!$B$15,Paramètres!$A$1:$I$89,3,0)*VLOOKUP('Données projet'!$B$15,Paramètres!$A$1:$I$89,5,0)</f>
        <v>250.22399999999999</v>
      </c>
      <c r="EL112" s="13">
        <f t="shared" si="99"/>
        <v>60.633904580527918</v>
      </c>
      <c r="EM112" s="20">
        <f t="shared" si="73"/>
        <v>541.41085047775289</v>
      </c>
      <c r="EN112" s="59">
        <f t="shared" si="74"/>
        <v>834.74418381108626</v>
      </c>
      <c r="EO112" s="59">
        <f ca="1">AVERAGE(OFFSET($EN$3,0,0,'Données projet'!$E$15+1,1))-AVERAGE(OFFSET($H$3,0,0,'Données projet'!$E$15+1,1))</f>
        <v>269.77739619445515</v>
      </c>
      <c r="EP112" s="59">
        <f t="shared" si="100"/>
        <v>347.56964743629885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29.017769125978077</v>
      </c>
      <c r="EW112" s="21">
        <f>EXP(-LN(2)/25)*EW111+(1-EXP(-LN(2)/25))/(LN(2)/25)*Calculateur!ER112*Calculateur!ET112*VLOOKUP('Données projet'!$B$15,Paramètres!$A$1:$I$89,3,0)*0.475*44/12</f>
        <v>10.263945233410345</v>
      </c>
      <c r="EX112" s="21">
        <f>EXP(-LN(2)/2)*EX111+(1-EXP(-LN(2)/2))/(LN(2)/2)*ER112*EU112*VLOOKUP('Données projet'!$B$15,Paramètres!$A$1:$I$89,3,0)*0.475*44/12</f>
        <v>3.1947571022356615E-14</v>
      </c>
      <c r="EY112" s="22">
        <f t="shared" si="75"/>
        <v>39.281714359388452</v>
      </c>
      <c r="EZ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367.99999999999972</v>
      </c>
      <c r="FF112" s="17">
        <f>FE112*VLOOKUP('Données projet'!$B$16,Paramètres!$A$1:$I$89,3,0)*VLOOKUP('Données projet'!$B$16,Paramètres!$A$1:$I$89,5,0)</f>
        <v>292.78079999999977</v>
      </c>
      <c r="FG112" s="13">
        <f t="shared" si="101"/>
        <v>69.660903052386217</v>
      </c>
      <c r="FH112" s="20">
        <f t="shared" si="76"/>
        <v>631.25263281623893</v>
      </c>
      <c r="FI112" s="59">
        <f t="shared" si="77"/>
        <v>924.58596614957219</v>
      </c>
      <c r="FJ112" s="59">
        <f ca="1">AVERAGE(OFFSET($FI$3,0,0,'Données projet'!$E$16+1,1))-AVERAGE(OFFSET($H$3,0,0,'Données projet'!$E$16+1,1))</f>
        <v>331.52724290297675</v>
      </c>
      <c r="FK112" s="59">
        <f t="shared" si="102"/>
        <v>322.79102610158054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34.704537711224404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34.704537711224404</v>
      </c>
      <c r="FU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852.00000000000011</v>
      </c>
      <c r="GA112" s="17">
        <f>FZ112*VLOOKUP('Données projet'!$B$17,Paramètres!$A$1:$I$89,3,0)*VLOOKUP('Données projet'!$B$17,Paramètres!$A$1:$I$89,5,0)</f>
        <v>420.88800000000009</v>
      </c>
      <c r="GB112" s="13">
        <f t="shared" si="103"/>
        <v>95.998759891259041</v>
      </c>
      <c r="GC112" s="20">
        <f t="shared" si="79"/>
        <v>900.24444014394294</v>
      </c>
      <c r="GD112" s="59">
        <f t="shared" si="80"/>
        <v>1193.5777734772762</v>
      </c>
      <c r="GE112" s="59">
        <f ca="1">AVERAGE(OFFSET($GD$3,0,0,'Données projet'!$E$17+1,1))-AVERAGE(OFFSET($H$3,0,0,'Données projet'!$E$17+1,1))</f>
        <v>434.08297999735811</v>
      </c>
      <c r="GF112" s="59">
        <f t="shared" si="104"/>
        <v>371.04090283546122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89.539813029474274</v>
      </c>
      <c r="GM112" s="21">
        <f>EXP(-LN(2)/25)*GM111+(1-EXP(-LN(2)/25))/(LN(2)/25)*Calculateur!GH112*Calculateur!GJ112*VLOOKUP('Données projet'!$B$17,Paramètres!$A$1:$I$89,3,0)*0.475*44/12</f>
        <v>5.7850887749615199</v>
      </c>
      <c r="GN112" s="21">
        <f>EXP(-LN(2)/2)*GN111+(1-EXP(-LN(2)/2))/(LN(2)/2)*GH112*GK112*VLOOKUP('Données projet'!$B$17,Paramètres!$A$1:$I$89,3,0)*0.475*44/12</f>
        <v>9.6670983426908699E-13</v>
      </c>
      <c r="GO112" s="21">
        <f t="shared" si="81"/>
        <v>95.324901804436763</v>
      </c>
      <c r="GP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614.99999999999989</v>
      </c>
      <c r="GV112" s="17">
        <f>GU112*VLOOKUP('Données projet'!$B$18,Paramètres!$A$1:$I$89,3,0)*VLOOKUP('Données projet'!$B$18,Paramètres!$A$1:$I$89,5,0)</f>
        <v>351.78</v>
      </c>
      <c r="GW112" s="13">
        <f t="shared" si="105"/>
        <v>81.92892344316067</v>
      </c>
      <c r="GX112" s="20">
        <f t="shared" si="82"/>
        <v>755.37637499683808</v>
      </c>
      <c r="GY112" s="59">
        <f t="shared" si="83"/>
        <v>1048.7097083301715</v>
      </c>
      <c r="GZ112" s="59">
        <f ca="1">AVERAGE(OFFSET($GY$3,0,0,'Données projet'!$E$18+1,1))-AVERAGE(OFFSET($H$3,0,0,'Données projet'!$E$18+1,1))</f>
        <v>362.57172983134313</v>
      </c>
      <c r="HA112" s="59">
        <f t="shared" si="106"/>
        <v>232.03250917542471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72.771725143316672</v>
      </c>
      <c r="HH112" s="21">
        <f>EXP(-LN(2)/25)*HH111+(1-EXP(-LN(2)/25))/(LN(2)/25)*Calculateur!HC112*Calculateur!HE112*VLOOKUP('Données projet'!$B$18,Paramètres!$A$1:$I$89,3,0)*0.475*44/12</f>
        <v>3.4876611753356546</v>
      </c>
      <c r="HI112" s="21">
        <f>EXP(-LN(2)/2)*HI111+(1-EXP(-LN(2)/2))/(LN(2)/2)*HC112*HF112*VLOOKUP('Données projet'!$B$18,Paramètres!$A$1:$I$89,3,0)*0.475*44/12</f>
        <v>9.6316010415549162E-13</v>
      </c>
      <c r="HJ112" s="22">
        <f t="shared" si="84"/>
        <v>76.259386318653299</v>
      </c>
    </row>
    <row r="113" spans="1:218" x14ac:dyDescent="0.3">
      <c r="A113" s="10">
        <f t="shared" si="85"/>
        <v>110</v>
      </c>
      <c r="B113" s="71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5">
        <f t="shared" si="56"/>
        <v>412.2417720294614</v>
      </c>
      <c r="I113" s="6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266.99999999999983</v>
      </c>
      <c r="O113" s="13">
        <f>N113*VLOOKUP('Données projet'!$B$9,Paramètres!$A$1:$I$89,3,0)*VLOOKUP('Données projet'!$B$9,Paramètres!$A$1:$I$89,5,0)</f>
        <v>212.42519999999985</v>
      </c>
      <c r="P113" s="13">
        <f t="shared" si="87"/>
        <v>52.465198231787184</v>
      </c>
      <c r="Q113" s="20">
        <f t="shared" si="107"/>
        <v>461.35077692036231</v>
      </c>
      <c r="R113" s="59">
        <f t="shared" si="55"/>
        <v>754.68411025369562</v>
      </c>
      <c r="S113" s="59">
        <f ca="1">AVERAGE(OFFSET($R$3,0,0,'Données projet'!$E$9+1,1))-AVERAGE(OFFSET($H$3,0,0,'Données projet'!$E$9+1,1))</f>
        <v>225.2323446080772</v>
      </c>
      <c r="T113" s="59">
        <f t="shared" si="88"/>
        <v>222.29030402759292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23.951442704740174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23.951442704740174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732.99999999999966</v>
      </c>
      <c r="AJ113" s="13">
        <f>AI113*VLOOKUP('Données projet'!$B$10,Paramètres!$A$1:$I$89,3,0)*VLOOKUP('Données projet'!$B$10,Paramètres!$A$1:$I$89,5,0)</f>
        <v>362.1019999999998</v>
      </c>
      <c r="AK113" s="13">
        <f t="shared" si="89"/>
        <v>84.049487364732272</v>
      </c>
      <c r="AL113" s="20">
        <f t="shared" si="58"/>
        <v>777.04717382690842</v>
      </c>
      <c r="AM113" s="59">
        <f t="shared" si="59"/>
        <v>1070.3805071602417</v>
      </c>
      <c r="AN113" s="59">
        <f ca="1">AVERAGE(OFFSET($AM$3,0,0,'Données projet'!$E$10+1,1))-AVERAGE(OFFSET($H$3,0,0,'Données projet'!$E$10+1,1))</f>
        <v>360.05819346986135</v>
      </c>
      <c r="AO113" s="59">
        <f t="shared" si="90"/>
        <v>300.47468388351081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71.726052405910494</v>
      </c>
      <c r="AV113" s="21">
        <f>EXP(-LN(2)/25)*AV112+(1-EXP(-LN(2)/25))/(LN(2)/25)*Calculateur!AQ113*Calculateur!AS113*VLOOKUP('Données projet'!$B$10,Paramètres!$A$1:$I$89,3,0)*0.475*44/12</f>
        <v>4.603823360333668</v>
      </c>
      <c r="AW113" s="21">
        <f>EXP(-LN(2)/2)*AW112+(1-EXP(-LN(2)/2))/(LN(2)/2)*AQ113*AT113*VLOOKUP('Données projet'!$B$10,Paramètres!$A$1:$I$89,3,0)*0.475*44/12</f>
        <v>4.7690726459399641E-14</v>
      </c>
      <c r="AX113" s="21">
        <f t="shared" si="60"/>
        <v>76.3298757662442</v>
      </c>
      <c r="AY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465.00000000000006</v>
      </c>
      <c r="BE113" s="13">
        <f>BD113*VLOOKUP('Données projet'!$B$11,Paramètres!$A$1:$I$89,3,0)*VLOOKUP('Données projet'!$B$11,Paramètres!$A$1:$I$89,5,0)</f>
        <v>265.98</v>
      </c>
      <c r="BF113" s="13">
        <f t="shared" si="91"/>
        <v>63.995380422211589</v>
      </c>
      <c r="BG113" s="20">
        <f t="shared" si="61"/>
        <v>574.70712090201857</v>
      </c>
      <c r="BH113" s="59">
        <f t="shared" si="62"/>
        <v>868.04045423535194</v>
      </c>
      <c r="BI113" s="59">
        <f ca="1">AVERAGE(OFFSET($BH$3,0,0,'Données projet'!$E$11+1,1))-AVERAGE(OFFSET($H$3,0,0,'Données projet'!$E$11+1,1))</f>
        <v>250.90038883668348</v>
      </c>
      <c r="BJ113" s="59">
        <f t="shared" si="92"/>
        <v>141.96132114475608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54.933901254785141</v>
      </c>
      <c r="BQ113" s="21">
        <f>EXP(-LN(2)/25)*BQ112+(1-EXP(-LN(2)/25))/(LN(2)/25)*Calculateur!BL113*Calculateur!BN113*VLOOKUP('Données projet'!$B$11,Paramètres!$A$1:$I$89,3,0)*0.475*44/12</f>
        <v>1.295375262255241</v>
      </c>
      <c r="BR113" s="21">
        <f>EXP(-LN(2)/2)*BR112+(1-EXP(-LN(2)/2))/(LN(2)/2)*BL113*BO113*VLOOKUP('Données projet'!$B$11,Paramètres!$A$1:$I$89,3,0)*0.475*44/12</f>
        <v>3.4361387499601475E-12</v>
      </c>
      <c r="BS113" s="22">
        <f t="shared" si="63"/>
        <v>56.229276517043822</v>
      </c>
      <c r="BT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319</v>
      </c>
      <c r="BZ113" s="13">
        <f>BY113*VLOOKUP('Données projet'!$B$12,Paramètres!$A$1:$I$89,3,0)*VLOOKUP('Données projet'!$B$12,Paramètres!$A$1:$I$89,5,0)</f>
        <v>253.79640000000001</v>
      </c>
      <c r="CA113" s="13">
        <f t="shared" si="93"/>
        <v>61.39816832228076</v>
      </c>
      <c r="CB113" s="20">
        <f t="shared" si="64"/>
        <v>548.96387316130563</v>
      </c>
      <c r="CC113" s="59">
        <f t="shared" si="65"/>
        <v>842.29720649463889</v>
      </c>
      <c r="CD113" s="59">
        <f ca="1">AVERAGE(OFFSET($CC$3,0,0,'Données projet'!$E$12+1,1))-AVERAGE(OFFSET($H$3,0,0,'Données projet'!$E$12+1,1))</f>
        <v>279.49721661620544</v>
      </c>
      <c r="CE113" s="59">
        <f t="shared" si="94"/>
        <v>275.18739333988754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29.351246822079613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29.351246822079613</v>
      </c>
      <c r="CO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789</v>
      </c>
      <c r="CU113" s="17">
        <f>CT113*VLOOKUP('Données projet'!$B$13,Paramètres!$A$1:$I$89,3,0)*VLOOKUP('Données projet'!$B$13,Paramètres!$A$1:$I$89,5,0)</f>
        <v>389.76600000000002</v>
      </c>
      <c r="CV113" s="13">
        <f t="shared" si="95"/>
        <v>89.698759503620408</v>
      </c>
      <c r="CW113" s="20">
        <f t="shared" si="67"/>
        <v>835.06778946880547</v>
      </c>
      <c r="CX113" s="59">
        <f t="shared" si="68"/>
        <v>1128.4011228021388</v>
      </c>
      <c r="CY113" s="59">
        <f ca="1">AVERAGE(OFFSET($CX$3,0,0,'Données projet'!$E$13+1,1))-AVERAGE(OFFSET($H$3,0,0,'Données projet'!$E$13+1,1))</f>
        <v>396.27049617044378</v>
      </c>
      <c r="CZ113" s="59">
        <f t="shared" si="96"/>
        <v>335.2680289568774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79.565429194188624</v>
      </c>
      <c r="DG113" s="21">
        <f>EXP(-LN(2)/25)*DG112+(1-EXP(-LN(2)/25))/(LN(2)/25)*Calculateur!DB113*Calculateur!DD113*VLOOKUP('Données projet'!$B$13,Paramètres!$A$1:$I$89,3,0)*0.475*44/12</f>
        <v>5.1153592892596329</v>
      </c>
      <c r="DH113" s="21">
        <f>EXP(-LN(2)/2)*DH112+(1-EXP(-LN(2)/2))/(LN(2)/2)*DB113*DE113*VLOOKUP('Données projet'!$B$13,Paramètres!$A$1:$I$89,3,0)*0.475*44/12</f>
        <v>3.4973199403559759E-13</v>
      </c>
      <c r="DI113" s="22">
        <f t="shared" si="69"/>
        <v>84.680788483448609</v>
      </c>
      <c r="DJ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541.99999999999989</v>
      </c>
      <c r="DP113" s="17">
        <f>DO113*VLOOKUP('Données projet'!$B$14,Paramètres!$A$1:$I$89,3,0)*VLOOKUP('Données projet'!$B$14,Paramètres!$A$1:$I$89,5,0)</f>
        <v>310.02399999999994</v>
      </c>
      <c r="DQ113" s="13">
        <f t="shared" si="97"/>
        <v>73.27384230442388</v>
      </c>
      <c r="DR113" s="20">
        <f t="shared" si="70"/>
        <v>667.57707534687154</v>
      </c>
      <c r="DS113" s="59">
        <f t="shared" si="71"/>
        <v>960.91040868020491</v>
      </c>
      <c r="DT113" s="59">
        <f ca="1">AVERAGE(OFFSET($DS$3,0,0,'Données projet'!$E$14+1,1))-AVERAGE(OFFSET($H$3,0,0,'Données projet'!$E$14+1,1))</f>
        <v>307.43900954374504</v>
      </c>
      <c r="DU113" s="59">
        <f t="shared" si="98"/>
        <v>185.25270859048999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63.265972621631988</v>
      </c>
      <c r="EB113" s="21">
        <f>EXP(-LN(2)/25)*EB112+(1-EXP(-LN(2)/25))/(LN(2)/25)*Calculateur!DW113*Calculateur!DY113*VLOOKUP('Données projet'!$B$14,Paramètres!$A$1:$I$89,3,0)*0.475*44/12</f>
        <v>2.9076779117896856</v>
      </c>
      <c r="EC113" s="21">
        <f>EXP(-LN(2)/2)*EC112+(1-EXP(-LN(2)/2))/(LN(2)/2)*DW113*DZ113*VLOOKUP('Données projet'!$B$14,Paramètres!$A$1:$I$89,3,0)*0.475*44/12</f>
        <v>3.3132504698109231E-13</v>
      </c>
      <c r="ED113" s="22">
        <f t="shared" si="72"/>
        <v>66.173650533422006</v>
      </c>
      <c r="EE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401</v>
      </c>
      <c r="EK113" s="17">
        <f>EJ113*VLOOKUP('Données projet'!$B$15,Paramètres!$A$1:$I$89,3,0)*VLOOKUP('Données projet'!$B$15,Paramètres!$A$1:$I$89,5,0)</f>
        <v>250.22399999999999</v>
      </c>
      <c r="EL113" s="13">
        <f t="shared" si="99"/>
        <v>60.633904580527918</v>
      </c>
      <c r="EM113" s="20">
        <f t="shared" si="73"/>
        <v>541.41085047775289</v>
      </c>
      <c r="EN113" s="59">
        <f t="shared" si="74"/>
        <v>834.74418381108626</v>
      </c>
      <c r="EO113" s="59">
        <f ca="1">AVERAGE(OFFSET($EN$3,0,0,'Données projet'!$E$15+1,1))-AVERAGE(OFFSET($H$3,0,0,'Données projet'!$E$15+1,1))</f>
        <v>269.77739619445515</v>
      </c>
      <c r="EP113" s="59">
        <f t="shared" si="100"/>
        <v>347.56964743629885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28.448748372509172</v>
      </c>
      <c r="EW113" s="21">
        <f>EXP(-LN(2)/25)*EW112+(1-EXP(-LN(2)/25))/(LN(2)/25)*Calculateur!ER113*Calculateur!ET113*VLOOKUP('Données projet'!$B$15,Paramètres!$A$1:$I$89,3,0)*0.475*44/12</f>
        <v>9.983277111245318</v>
      </c>
      <c r="EX113" s="21">
        <f>EXP(-LN(2)/2)*EX112+(1-EXP(-LN(2)/2))/(LN(2)/2)*ER113*EU113*VLOOKUP('Données projet'!$B$15,Paramètres!$A$1:$I$89,3,0)*0.475*44/12</f>
        <v>2.2590344112347206E-14</v>
      </c>
      <c r="EY113" s="22">
        <f t="shared" si="75"/>
        <v>38.432025483754508</v>
      </c>
      <c r="EZ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367.99999999999972</v>
      </c>
      <c r="FF113" s="17">
        <f>FE113*VLOOKUP('Données projet'!$B$16,Paramètres!$A$1:$I$89,3,0)*VLOOKUP('Données projet'!$B$16,Paramètres!$A$1:$I$89,5,0)</f>
        <v>292.78079999999977</v>
      </c>
      <c r="FG113" s="13">
        <f t="shared" si="101"/>
        <v>69.660903052386217</v>
      </c>
      <c r="FH113" s="20">
        <f t="shared" si="76"/>
        <v>631.25263281623893</v>
      </c>
      <c r="FI113" s="59">
        <f t="shared" si="77"/>
        <v>924.58596614957219</v>
      </c>
      <c r="FJ113" s="59">
        <f ca="1">AVERAGE(OFFSET($FI$3,0,0,'Données projet'!$E$16+1,1))-AVERAGE(OFFSET($H$3,0,0,'Données projet'!$E$16+1,1))</f>
        <v>331.52724290297675</v>
      </c>
      <c r="FK113" s="59">
        <f t="shared" si="102"/>
        <v>322.79102610158054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34.024002894385163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34.024002894385163</v>
      </c>
      <c r="FU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852.00000000000011</v>
      </c>
      <c r="GA113" s="17">
        <f>FZ113*VLOOKUP('Données projet'!$B$17,Paramètres!$A$1:$I$89,3,0)*VLOOKUP('Données projet'!$B$17,Paramètres!$A$1:$I$89,5,0)</f>
        <v>420.88800000000009</v>
      </c>
      <c r="GB113" s="13">
        <f t="shared" si="103"/>
        <v>95.998759891259041</v>
      </c>
      <c r="GC113" s="20">
        <f t="shared" si="79"/>
        <v>900.24444014394294</v>
      </c>
      <c r="GD113" s="59">
        <f t="shared" si="80"/>
        <v>1193.5777734772762</v>
      </c>
      <c r="GE113" s="59">
        <f ca="1">AVERAGE(OFFSET($GD$3,0,0,'Données projet'!$E$17+1,1))-AVERAGE(OFFSET($H$3,0,0,'Données projet'!$E$17+1,1))</f>
        <v>434.08297999735811</v>
      </c>
      <c r="GF113" s="59">
        <f t="shared" si="104"/>
        <v>371.04090283546122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87.783991909859552</v>
      </c>
      <c r="GM113" s="21">
        <f>EXP(-LN(2)/25)*GM112+(1-EXP(-LN(2)/25))/(LN(2)/25)*Calculateur!GH113*Calculateur!GJ113*VLOOKUP('Données projet'!$B$17,Paramètres!$A$1:$I$89,3,0)*0.475*44/12</f>
        <v>5.6268952181856005</v>
      </c>
      <c r="GN113" s="21">
        <f>EXP(-LN(2)/2)*GN112+(1-EXP(-LN(2)/2))/(LN(2)/2)*GH113*GK113*VLOOKUP('Données projet'!$B$17,Paramètres!$A$1:$I$89,3,0)*0.475*44/12</f>
        <v>6.8356707925139494E-13</v>
      </c>
      <c r="GO113" s="21">
        <f t="shared" si="81"/>
        <v>93.410887128045829</v>
      </c>
      <c r="GP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614.99999999999989</v>
      </c>
      <c r="GV113" s="17">
        <f>GU113*VLOOKUP('Données projet'!$B$18,Paramètres!$A$1:$I$89,3,0)*VLOOKUP('Données projet'!$B$18,Paramètres!$A$1:$I$89,5,0)</f>
        <v>351.78</v>
      </c>
      <c r="GW113" s="13">
        <f t="shared" si="105"/>
        <v>81.92892344316067</v>
      </c>
      <c r="GX113" s="20">
        <f t="shared" si="82"/>
        <v>755.37637499683808</v>
      </c>
      <c r="GY113" s="59">
        <f t="shared" si="83"/>
        <v>1048.7097083301715</v>
      </c>
      <c r="GZ113" s="59">
        <f ca="1">AVERAGE(OFFSET($GY$3,0,0,'Données projet'!$E$18+1,1))-AVERAGE(OFFSET($H$3,0,0,'Données projet'!$E$18+1,1))</f>
        <v>362.57172983134313</v>
      </c>
      <c r="HA113" s="59">
        <f t="shared" si="106"/>
        <v>232.03250917542471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71.344715999625777</v>
      </c>
      <c r="HH113" s="21">
        <f>EXP(-LN(2)/25)*HH112+(1-EXP(-LN(2)/25))/(LN(2)/25)*Calculateur!HC113*Calculateur!HE113*VLOOKUP('Données projet'!$B$18,Paramètres!$A$1:$I$89,3,0)*0.475*44/12</f>
        <v>3.392290897087971</v>
      </c>
      <c r="HI113" s="21">
        <f>EXP(-LN(2)/2)*HI112+(1-EXP(-LN(2)/2))/(LN(2)/2)*HC113*HF113*VLOOKUP('Données projet'!$B$18,Paramètres!$A$1:$I$89,3,0)*0.475*44/12</f>
        <v>6.8105704101668954E-13</v>
      </c>
      <c r="HJ113" s="22">
        <f t="shared" si="84"/>
        <v>74.737006896714433</v>
      </c>
    </row>
    <row r="114" spans="1:218" x14ac:dyDescent="0.3">
      <c r="A114" s="10">
        <f t="shared" si="85"/>
        <v>111</v>
      </c>
      <c r="B114" s="71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5">
        <f t="shared" si="56"/>
        <v>413.29433088301869</v>
      </c>
      <c r="I114" s="6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266.99999999999983</v>
      </c>
      <c r="O114" s="13">
        <f>N114*VLOOKUP('Données projet'!$B$9,Paramètres!$A$1:$I$89,3,0)*VLOOKUP('Données projet'!$B$9,Paramètres!$A$1:$I$89,5,0)</f>
        <v>212.42519999999985</v>
      </c>
      <c r="P114" s="13">
        <f t="shared" si="87"/>
        <v>52.465198231787184</v>
      </c>
      <c r="Q114" s="20">
        <f t="shared" si="107"/>
        <v>461.35077692036231</v>
      </c>
      <c r="R114" s="59">
        <f t="shared" si="55"/>
        <v>754.68411025369562</v>
      </c>
      <c r="S114" s="59">
        <f ca="1">AVERAGE(OFFSET($R$3,0,0,'Données projet'!$E$9+1,1))-AVERAGE(OFFSET($H$3,0,0,'Données projet'!$E$9+1,1))</f>
        <v>225.2323446080772</v>
      </c>
      <c r="T114" s="59">
        <f t="shared" si="88"/>
        <v>222.29030402759292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23.481769522237755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23.481769522237755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732.99999999999966</v>
      </c>
      <c r="AJ114" s="13">
        <f>AI114*VLOOKUP('Données projet'!$B$10,Paramètres!$A$1:$I$89,3,0)*VLOOKUP('Données projet'!$B$10,Paramètres!$A$1:$I$89,5,0)</f>
        <v>362.1019999999998</v>
      </c>
      <c r="AK114" s="13">
        <f t="shared" si="89"/>
        <v>84.049487364732272</v>
      </c>
      <c r="AL114" s="20">
        <f t="shared" si="58"/>
        <v>777.04717382690842</v>
      </c>
      <c r="AM114" s="59">
        <f t="shared" si="59"/>
        <v>1070.3805071602417</v>
      </c>
      <c r="AN114" s="59">
        <f ca="1">AVERAGE(OFFSET($AM$3,0,0,'Données projet'!$E$10+1,1))-AVERAGE(OFFSET($H$3,0,0,'Données projet'!$E$10+1,1))</f>
        <v>360.05819346986135</v>
      </c>
      <c r="AO114" s="59">
        <f t="shared" si="90"/>
        <v>300.47468388351081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70.319548266802741</v>
      </c>
      <c r="AV114" s="21">
        <f>EXP(-LN(2)/25)*AV113+(1-EXP(-LN(2)/25))/(LN(2)/25)*Calculateur!AQ114*Calculateur!AS114*VLOOKUP('Données projet'!$B$10,Paramètres!$A$1:$I$89,3,0)*0.475*44/12</f>
        <v>4.4779315684407957</v>
      </c>
      <c r="AW114" s="21">
        <f>EXP(-LN(2)/2)*AW113+(1-EXP(-LN(2)/2))/(LN(2)/2)*AQ114*AT114*VLOOKUP('Données projet'!$B$10,Paramètres!$A$1:$I$89,3,0)*0.475*44/12</f>
        <v>3.3722436079154193E-14</v>
      </c>
      <c r="AX114" s="21">
        <f t="shared" si="60"/>
        <v>74.797479835243564</v>
      </c>
      <c r="AY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465.00000000000006</v>
      </c>
      <c r="BE114" s="13">
        <f>BD114*VLOOKUP('Données projet'!$B$11,Paramètres!$A$1:$I$89,3,0)*VLOOKUP('Données projet'!$B$11,Paramètres!$A$1:$I$89,5,0)</f>
        <v>265.98</v>
      </c>
      <c r="BF114" s="13">
        <f t="shared" si="91"/>
        <v>63.995380422211589</v>
      </c>
      <c r="BG114" s="20">
        <f t="shared" si="61"/>
        <v>574.70712090201857</v>
      </c>
      <c r="BH114" s="59">
        <f t="shared" si="62"/>
        <v>868.04045423535194</v>
      </c>
      <c r="BI114" s="59">
        <f ca="1">AVERAGE(OFFSET($BH$3,0,0,'Données projet'!$E$11+1,1))-AVERAGE(OFFSET($H$3,0,0,'Données projet'!$E$11+1,1))</f>
        <v>250.90038883668348</v>
      </c>
      <c r="BJ114" s="59">
        <f t="shared" si="92"/>
        <v>141.96132114475608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53.85668095755009</v>
      </c>
      <c r="BQ114" s="21">
        <f>EXP(-LN(2)/25)*BQ113+(1-EXP(-LN(2)/25))/(LN(2)/25)*Calculateur!BL114*Calculateur!BN114*VLOOKUP('Données projet'!$B$11,Paramètres!$A$1:$I$89,3,0)*0.475*44/12</f>
        <v>1.2599531575880469</v>
      </c>
      <c r="BR114" s="21">
        <f>EXP(-LN(2)/2)*BR113+(1-EXP(-LN(2)/2))/(LN(2)/2)*BL114*BO114*VLOOKUP('Données projet'!$B$11,Paramètres!$A$1:$I$89,3,0)*0.475*44/12</f>
        <v>2.4297170111946869E-12</v>
      </c>
      <c r="BS114" s="22">
        <f t="shared" si="63"/>
        <v>55.11663411514057</v>
      </c>
      <c r="BT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319</v>
      </c>
      <c r="BZ114" s="13">
        <f>BY114*VLOOKUP('Données projet'!$B$12,Paramètres!$A$1:$I$89,3,0)*VLOOKUP('Données projet'!$B$12,Paramètres!$A$1:$I$89,5,0)</f>
        <v>253.79640000000001</v>
      </c>
      <c r="CA114" s="13">
        <f t="shared" si="93"/>
        <v>61.39816832228076</v>
      </c>
      <c r="CB114" s="20">
        <f t="shared" si="64"/>
        <v>548.96387316130563</v>
      </c>
      <c r="CC114" s="59">
        <f t="shared" si="65"/>
        <v>842.29720649463889</v>
      </c>
      <c r="CD114" s="59">
        <f ca="1">AVERAGE(OFFSET($CC$3,0,0,'Données projet'!$E$12+1,1))-AVERAGE(OFFSET($H$3,0,0,'Données projet'!$E$12+1,1))</f>
        <v>279.49721661620544</v>
      </c>
      <c r="CE114" s="59">
        <f t="shared" si="94"/>
        <v>275.18739333988754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28.77568677439147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28.77568677439147</v>
      </c>
      <c r="CO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789</v>
      </c>
      <c r="CU114" s="17">
        <f>CT114*VLOOKUP('Données projet'!$B$13,Paramètres!$A$1:$I$89,3,0)*VLOOKUP('Données projet'!$B$13,Paramètres!$A$1:$I$89,5,0)</f>
        <v>389.76600000000002</v>
      </c>
      <c r="CV114" s="13">
        <f t="shared" si="95"/>
        <v>89.698759503620408</v>
      </c>
      <c r="CW114" s="20">
        <f t="shared" si="67"/>
        <v>835.06778946880547</v>
      </c>
      <c r="CX114" s="59">
        <f t="shared" si="68"/>
        <v>1128.4011228021388</v>
      </c>
      <c r="CY114" s="59">
        <f ca="1">AVERAGE(OFFSET($CX$3,0,0,'Données projet'!$E$13+1,1))-AVERAGE(OFFSET($H$3,0,0,'Données projet'!$E$13+1,1))</f>
        <v>396.27049617044378</v>
      </c>
      <c r="CZ114" s="59">
        <f t="shared" si="96"/>
        <v>335.2680289568774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78.005199657810437</v>
      </c>
      <c r="DG114" s="21">
        <f>EXP(-LN(2)/25)*DG113+(1-EXP(-LN(2)/25))/(LN(2)/25)*Calculateur!DB114*Calculateur!DD114*VLOOKUP('Données projet'!$B$13,Paramètres!$A$1:$I$89,3,0)*0.475*44/12</f>
        <v>4.9754795204897748</v>
      </c>
      <c r="DH114" s="21">
        <f>EXP(-LN(2)/2)*DH113+(1-EXP(-LN(2)/2))/(LN(2)/2)*DB114*DE114*VLOOKUP('Données projet'!$B$13,Paramètres!$A$1:$I$89,3,0)*0.475*44/12</f>
        <v>2.4729786458046425E-13</v>
      </c>
      <c r="DI114" s="22">
        <f t="shared" si="69"/>
        <v>82.980679178300448</v>
      </c>
      <c r="DJ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541.99999999999989</v>
      </c>
      <c r="DP114" s="17">
        <f>DO114*VLOOKUP('Données projet'!$B$14,Paramètres!$A$1:$I$89,3,0)*VLOOKUP('Données projet'!$B$14,Paramètres!$A$1:$I$89,5,0)</f>
        <v>310.02399999999994</v>
      </c>
      <c r="DQ114" s="13">
        <f t="shared" si="97"/>
        <v>73.27384230442388</v>
      </c>
      <c r="DR114" s="20">
        <f t="shared" si="70"/>
        <v>667.57707534687154</v>
      </c>
      <c r="DS114" s="59">
        <f t="shared" si="71"/>
        <v>960.91040868020491</v>
      </c>
      <c r="DT114" s="59">
        <f ca="1">AVERAGE(OFFSET($DS$3,0,0,'Données projet'!$E$14+1,1))-AVERAGE(OFFSET($H$3,0,0,'Données projet'!$E$14+1,1))</f>
        <v>307.43900954374504</v>
      </c>
      <c r="DU114" s="59">
        <f t="shared" si="98"/>
        <v>185.25270859048999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62.02536548695479</v>
      </c>
      <c r="EB114" s="21">
        <f>EXP(-LN(2)/25)*EB113+(1-EXP(-LN(2)/25))/(LN(2)/25)*Calculateur!DW114*Calculateur!DY114*VLOOKUP('Données projet'!$B$14,Paramètres!$A$1:$I$89,3,0)*0.475*44/12</f>
        <v>2.8281673063836608</v>
      </c>
      <c r="EC114" s="21">
        <f>EXP(-LN(2)/2)*EC113+(1-EXP(-LN(2)/2))/(LN(2)/2)*DW114*DZ114*VLOOKUP('Données projet'!$B$14,Paramètres!$A$1:$I$89,3,0)*0.475*44/12</f>
        <v>2.3428218749728181E-13</v>
      </c>
      <c r="ED114" s="22">
        <f t="shared" si="72"/>
        <v>64.853532793338672</v>
      </c>
      <c r="EE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401</v>
      </c>
      <c r="EK114" s="17">
        <f>EJ114*VLOOKUP('Données projet'!$B$15,Paramètres!$A$1:$I$89,3,0)*VLOOKUP('Données projet'!$B$15,Paramètres!$A$1:$I$89,5,0)</f>
        <v>250.22399999999999</v>
      </c>
      <c r="EL114" s="13">
        <f t="shared" si="99"/>
        <v>60.633904580527918</v>
      </c>
      <c r="EM114" s="20">
        <f t="shared" si="73"/>
        <v>541.41085047775289</v>
      </c>
      <c r="EN114" s="59">
        <f t="shared" si="74"/>
        <v>834.74418381108626</v>
      </c>
      <c r="EO114" s="59">
        <f ca="1">AVERAGE(OFFSET($EN$3,0,0,'Données projet'!$E$15+1,1))-AVERAGE(OFFSET($H$3,0,0,'Données projet'!$E$15+1,1))</f>
        <v>269.77739619445515</v>
      </c>
      <c r="EP114" s="59">
        <f t="shared" si="100"/>
        <v>347.56964743629885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27.890885768947406</v>
      </c>
      <c r="EW114" s="21">
        <f>EXP(-LN(2)/25)*EW113+(1-EXP(-LN(2)/25))/(LN(2)/25)*Calculateur!ER114*Calculateur!ET114*VLOOKUP('Données projet'!$B$15,Paramètres!$A$1:$I$89,3,0)*0.475*44/12</f>
        <v>9.7102838736405879</v>
      </c>
      <c r="EX114" s="21">
        <f>EXP(-LN(2)/2)*EX113+(1-EXP(-LN(2)/2))/(LN(2)/2)*ER114*EU114*VLOOKUP('Données projet'!$B$15,Paramètres!$A$1:$I$89,3,0)*0.475*44/12</f>
        <v>1.5973785511178308E-14</v>
      </c>
      <c r="EY114" s="22">
        <f t="shared" si="75"/>
        <v>37.601169642588005</v>
      </c>
      <c r="EZ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367.99999999999972</v>
      </c>
      <c r="FF114" s="17">
        <f>FE114*VLOOKUP('Données projet'!$B$16,Paramètres!$A$1:$I$89,3,0)*VLOOKUP('Données projet'!$B$16,Paramètres!$A$1:$I$89,5,0)</f>
        <v>292.78079999999977</v>
      </c>
      <c r="FG114" s="13">
        <f t="shared" si="101"/>
        <v>69.660903052386217</v>
      </c>
      <c r="FH114" s="20">
        <f t="shared" si="76"/>
        <v>631.25263281623893</v>
      </c>
      <c r="FI114" s="59">
        <f t="shared" si="77"/>
        <v>924.58596614957219</v>
      </c>
      <c r="FJ114" s="59">
        <f ca="1">AVERAGE(OFFSET($FI$3,0,0,'Données projet'!$E$16+1,1))-AVERAGE(OFFSET($H$3,0,0,'Données projet'!$E$16+1,1))</f>
        <v>331.52724290297675</v>
      </c>
      <c r="FK114" s="59">
        <f t="shared" si="102"/>
        <v>322.79102610158054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33.356812950218888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33.356812950218888</v>
      </c>
      <c r="FU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852.00000000000011</v>
      </c>
      <c r="GA114" s="17">
        <f>FZ114*VLOOKUP('Données projet'!$B$17,Paramètres!$A$1:$I$89,3,0)*VLOOKUP('Données projet'!$B$17,Paramètres!$A$1:$I$89,5,0)</f>
        <v>420.88800000000009</v>
      </c>
      <c r="GB114" s="13">
        <f t="shared" si="103"/>
        <v>95.998759891259041</v>
      </c>
      <c r="GC114" s="20">
        <f t="shared" si="79"/>
        <v>900.24444014394294</v>
      </c>
      <c r="GD114" s="59">
        <f t="shared" si="80"/>
        <v>1193.5777734772762</v>
      </c>
      <c r="GE114" s="59">
        <f ca="1">AVERAGE(OFFSET($GD$3,0,0,'Données projet'!$E$17+1,1))-AVERAGE(OFFSET($H$3,0,0,'Données projet'!$E$17+1,1))</f>
        <v>434.08297999735811</v>
      </c>
      <c r="GF114" s="59">
        <f t="shared" si="104"/>
        <v>371.04090283546122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86.062601371455344</v>
      </c>
      <c r="GM114" s="21">
        <f>EXP(-LN(2)/25)*GM113+(1-EXP(-LN(2)/25))/(LN(2)/25)*Calculateur!GH114*Calculateur!GJ114*VLOOKUP('Données projet'!$B$17,Paramètres!$A$1:$I$89,3,0)*0.475*44/12</f>
        <v>5.4730274725387558</v>
      </c>
      <c r="GN114" s="21">
        <f>EXP(-LN(2)/2)*GN113+(1-EXP(-LN(2)/2))/(LN(2)/2)*GH114*GK114*VLOOKUP('Données projet'!$B$17,Paramètres!$A$1:$I$89,3,0)*0.475*44/12</f>
        <v>4.8335491713454349E-13</v>
      </c>
      <c r="GO114" s="21">
        <f t="shared" si="81"/>
        <v>91.535628843994587</v>
      </c>
      <c r="GP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614.99999999999989</v>
      </c>
      <c r="GV114" s="17">
        <f>GU114*VLOOKUP('Données projet'!$B$18,Paramètres!$A$1:$I$89,3,0)*VLOOKUP('Données projet'!$B$18,Paramètres!$A$1:$I$89,5,0)</f>
        <v>351.78</v>
      </c>
      <c r="GW114" s="13">
        <f t="shared" si="105"/>
        <v>81.92892344316067</v>
      </c>
      <c r="GX114" s="20">
        <f t="shared" si="82"/>
        <v>755.37637499683808</v>
      </c>
      <c r="GY114" s="59">
        <f t="shared" si="83"/>
        <v>1048.7097083301715</v>
      </c>
      <c r="GZ114" s="59">
        <f ca="1">AVERAGE(OFFSET($GY$3,0,0,'Données projet'!$E$18+1,1))-AVERAGE(OFFSET($H$3,0,0,'Données projet'!$E$18+1,1))</f>
        <v>362.57172983134313</v>
      </c>
      <c r="HA114" s="59">
        <f t="shared" si="106"/>
        <v>232.03250917542471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69.945689634853025</v>
      </c>
      <c r="HH114" s="21">
        <f>EXP(-LN(2)/25)*HH113+(1-EXP(-LN(2)/25))/(LN(2)/25)*Calculateur!HC114*Calculateur!HE114*VLOOKUP('Données projet'!$B$18,Paramètres!$A$1:$I$89,3,0)*0.475*44/12</f>
        <v>3.2995285241142756</v>
      </c>
      <c r="HI114" s="21">
        <f>EXP(-LN(2)/2)*HI113+(1-EXP(-LN(2)/2))/(LN(2)/2)*HC114*HF114*VLOOKUP('Données projet'!$B$18,Paramètres!$A$1:$I$89,3,0)*0.475*44/12</f>
        <v>4.8158005207774581E-13</v>
      </c>
      <c r="HJ114" s="22">
        <f t="shared" si="84"/>
        <v>73.245218158967788</v>
      </c>
    </row>
    <row r="115" spans="1:218" x14ac:dyDescent="0.3">
      <c r="A115" s="10">
        <f t="shared" si="85"/>
        <v>112</v>
      </c>
      <c r="B115" s="71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5">
        <f t="shared" si="56"/>
        <v>414.34666458367406</v>
      </c>
      <c r="I115" s="6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266.99999999999983</v>
      </c>
      <c r="O115" s="13">
        <f>N115*VLOOKUP('Données projet'!$B$9,Paramètres!$A$1:$I$89,3,0)*VLOOKUP('Données projet'!$B$9,Paramètres!$A$1:$I$89,5,0)</f>
        <v>212.42519999999985</v>
      </c>
      <c r="P115" s="13">
        <f t="shared" si="87"/>
        <v>52.465198231787184</v>
      </c>
      <c r="Q115" s="20">
        <f t="shared" si="107"/>
        <v>461.35077692036231</v>
      </c>
      <c r="R115" s="59">
        <f t="shared" si="55"/>
        <v>754.68411025369562</v>
      </c>
      <c r="S115" s="59">
        <f ca="1">AVERAGE(OFFSET($R$3,0,0,'Données projet'!$E$9+1,1))-AVERAGE(OFFSET($H$3,0,0,'Données projet'!$E$9+1,1))</f>
        <v>225.2323446080772</v>
      </c>
      <c r="T115" s="59">
        <f t="shared" si="88"/>
        <v>222.29030402759292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23.021306344371855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23.021306344371855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732.99999999999966</v>
      </c>
      <c r="AJ115" s="13">
        <f>AI115*VLOOKUP('Données projet'!$B$10,Paramètres!$A$1:$I$89,3,0)*VLOOKUP('Données projet'!$B$10,Paramètres!$A$1:$I$89,5,0)</f>
        <v>362.1019999999998</v>
      </c>
      <c r="AK115" s="13">
        <f t="shared" si="89"/>
        <v>84.049487364732272</v>
      </c>
      <c r="AL115" s="20">
        <f t="shared" si="58"/>
        <v>777.04717382690842</v>
      </c>
      <c r="AM115" s="59">
        <f t="shared" si="59"/>
        <v>1070.3805071602417</v>
      </c>
      <c r="AN115" s="59">
        <f ca="1">AVERAGE(OFFSET($AM$3,0,0,'Données projet'!$E$10+1,1))-AVERAGE(OFFSET($H$3,0,0,'Données projet'!$E$10+1,1))</f>
        <v>360.05819346986135</v>
      </c>
      <c r="AO115" s="59">
        <f t="shared" si="90"/>
        <v>300.47468388351081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68.940624815980073</v>
      </c>
      <c r="AV115" s="21">
        <f>EXP(-LN(2)/25)*AV114+(1-EXP(-LN(2)/25))/(LN(2)/25)*Calculateur!AQ115*Calculateur!AS115*VLOOKUP('Données projet'!$B$10,Paramètres!$A$1:$I$89,3,0)*0.475*44/12</f>
        <v>4.3554822942175955</v>
      </c>
      <c r="AW115" s="21">
        <f>EXP(-LN(2)/2)*AW114+(1-EXP(-LN(2)/2))/(LN(2)/2)*AQ115*AT115*VLOOKUP('Données projet'!$B$10,Paramètres!$A$1:$I$89,3,0)*0.475*44/12</f>
        <v>2.384536322969982E-14</v>
      </c>
      <c r="AX115" s="21">
        <f t="shared" si="60"/>
        <v>73.296107110197696</v>
      </c>
      <c r="AY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465.00000000000006</v>
      </c>
      <c r="BE115" s="13">
        <f>BD115*VLOOKUP('Données projet'!$B$11,Paramètres!$A$1:$I$89,3,0)*VLOOKUP('Données projet'!$B$11,Paramètres!$A$1:$I$89,5,0)</f>
        <v>265.98</v>
      </c>
      <c r="BF115" s="13">
        <f t="shared" si="91"/>
        <v>63.995380422211589</v>
      </c>
      <c r="BG115" s="20">
        <f t="shared" si="61"/>
        <v>574.70712090201857</v>
      </c>
      <c r="BH115" s="59">
        <f t="shared" si="62"/>
        <v>868.04045423535194</v>
      </c>
      <c r="BI115" s="59">
        <f ca="1">AVERAGE(OFFSET($BH$3,0,0,'Données projet'!$E$11+1,1))-AVERAGE(OFFSET($H$3,0,0,'Données projet'!$E$11+1,1))</f>
        <v>250.90038883668348</v>
      </c>
      <c r="BJ115" s="59">
        <f t="shared" si="92"/>
        <v>141.96132114475608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52.800584293304311</v>
      </c>
      <c r="BQ115" s="21">
        <f>EXP(-LN(2)/25)*BQ114+(1-EXP(-LN(2)/25))/(LN(2)/25)*Calculateur!BL115*Calculateur!BN115*VLOOKUP('Données projet'!$B$11,Paramètres!$A$1:$I$89,3,0)*0.475*44/12</f>
        <v>1.225499672235745</v>
      </c>
      <c r="BR115" s="21">
        <f>EXP(-LN(2)/2)*BR114+(1-EXP(-LN(2)/2))/(LN(2)/2)*BL115*BO115*VLOOKUP('Données projet'!$B$11,Paramètres!$A$1:$I$89,3,0)*0.475*44/12</f>
        <v>1.7180693749800738E-12</v>
      </c>
      <c r="BS115" s="22">
        <f t="shared" si="63"/>
        <v>54.026083965541773</v>
      </c>
      <c r="BT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319</v>
      </c>
      <c r="BZ115" s="13">
        <f>BY115*VLOOKUP('Données projet'!$B$12,Paramètres!$A$1:$I$89,3,0)*VLOOKUP('Données projet'!$B$12,Paramètres!$A$1:$I$89,5,0)</f>
        <v>253.79640000000001</v>
      </c>
      <c r="CA115" s="13">
        <f t="shared" si="93"/>
        <v>61.39816832228076</v>
      </c>
      <c r="CB115" s="20">
        <f t="shared" si="64"/>
        <v>548.96387316130563</v>
      </c>
      <c r="CC115" s="59">
        <f t="shared" si="65"/>
        <v>842.29720649463889</v>
      </c>
      <c r="CD115" s="59">
        <f ca="1">AVERAGE(OFFSET($CC$3,0,0,'Données projet'!$E$12+1,1))-AVERAGE(OFFSET($H$3,0,0,'Données projet'!$E$12+1,1))</f>
        <v>279.49721661620544</v>
      </c>
      <c r="CE115" s="59">
        <f t="shared" si="94"/>
        <v>275.18739333988754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28.211413108181524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28.211413108181524</v>
      </c>
      <c r="CO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789</v>
      </c>
      <c r="CU115" s="17">
        <f>CT115*VLOOKUP('Données projet'!$B$13,Paramètres!$A$1:$I$89,3,0)*VLOOKUP('Données projet'!$B$13,Paramètres!$A$1:$I$89,5,0)</f>
        <v>389.76600000000002</v>
      </c>
      <c r="CV115" s="13">
        <f t="shared" si="95"/>
        <v>89.698759503620408</v>
      </c>
      <c r="CW115" s="20">
        <f t="shared" si="67"/>
        <v>835.06778946880547</v>
      </c>
      <c r="CX115" s="59">
        <f t="shared" si="68"/>
        <v>1128.4011228021388</v>
      </c>
      <c r="CY115" s="59">
        <f ca="1">AVERAGE(OFFSET($CX$3,0,0,'Données projet'!$E$13+1,1))-AVERAGE(OFFSET($H$3,0,0,'Données projet'!$E$13+1,1))</f>
        <v>396.27049617044378</v>
      </c>
      <c r="CZ115" s="59">
        <f t="shared" si="96"/>
        <v>335.2680289568774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76.475565270994579</v>
      </c>
      <c r="DG115" s="21">
        <f>EXP(-LN(2)/25)*DG114+(1-EXP(-LN(2)/25))/(LN(2)/25)*Calculateur!DB115*Calculateur!DD115*VLOOKUP('Données projet'!$B$13,Paramètres!$A$1:$I$89,3,0)*0.475*44/12</f>
        <v>4.8394247713528857</v>
      </c>
      <c r="DH115" s="21">
        <f>EXP(-LN(2)/2)*DH114+(1-EXP(-LN(2)/2))/(LN(2)/2)*DB115*DE115*VLOOKUP('Données projet'!$B$13,Paramètres!$A$1:$I$89,3,0)*0.475*44/12</f>
        <v>1.748659970177988E-13</v>
      </c>
      <c r="DI115" s="22">
        <f t="shared" si="69"/>
        <v>81.314990042347631</v>
      </c>
      <c r="DJ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541.99999999999989</v>
      </c>
      <c r="DP115" s="17">
        <f>DO115*VLOOKUP('Données projet'!$B$14,Paramètres!$A$1:$I$89,3,0)*VLOOKUP('Données projet'!$B$14,Paramètres!$A$1:$I$89,5,0)</f>
        <v>310.02399999999994</v>
      </c>
      <c r="DQ115" s="13">
        <f t="shared" si="97"/>
        <v>73.27384230442388</v>
      </c>
      <c r="DR115" s="20">
        <f t="shared" si="70"/>
        <v>667.57707534687154</v>
      </c>
      <c r="DS115" s="59">
        <f t="shared" si="71"/>
        <v>960.91040868020491</v>
      </c>
      <c r="DT115" s="59">
        <f ca="1">AVERAGE(OFFSET($DS$3,0,0,'Données projet'!$E$14+1,1))-AVERAGE(OFFSET($H$3,0,0,'Données projet'!$E$14+1,1))</f>
        <v>307.43900954374504</v>
      </c>
      <c r="DU115" s="59">
        <f t="shared" si="98"/>
        <v>185.25270859048999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60.809085901492978</v>
      </c>
      <c r="EB115" s="21">
        <f>EXP(-LN(2)/25)*EB114+(1-EXP(-LN(2)/25))/(LN(2)/25)*Calculateur!DW115*Calculateur!DY115*VLOOKUP('Données projet'!$B$14,Paramètres!$A$1:$I$89,3,0)*0.475*44/12</f>
        <v>2.7508309226637446</v>
      </c>
      <c r="EC115" s="21">
        <f>EXP(-LN(2)/2)*EC114+(1-EXP(-LN(2)/2))/(LN(2)/2)*DW115*DZ115*VLOOKUP('Données projet'!$B$14,Paramètres!$A$1:$I$89,3,0)*0.475*44/12</f>
        <v>1.6566252349054615E-13</v>
      </c>
      <c r="ED115" s="22">
        <f t="shared" si="72"/>
        <v>63.559916824156886</v>
      </c>
      <c r="EE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401</v>
      </c>
      <c r="EK115" s="17">
        <f>EJ115*VLOOKUP('Données projet'!$B$15,Paramètres!$A$1:$I$89,3,0)*VLOOKUP('Données projet'!$B$15,Paramètres!$A$1:$I$89,5,0)</f>
        <v>250.22399999999999</v>
      </c>
      <c r="EL115" s="13">
        <f t="shared" si="99"/>
        <v>60.633904580527918</v>
      </c>
      <c r="EM115" s="20">
        <f t="shared" si="73"/>
        <v>541.41085047775289</v>
      </c>
      <c r="EN115" s="59">
        <f t="shared" si="74"/>
        <v>834.74418381108626</v>
      </c>
      <c r="EO115" s="59">
        <f ca="1">AVERAGE(OFFSET($EN$3,0,0,'Données projet'!$E$15+1,1))-AVERAGE(OFFSET($H$3,0,0,'Données projet'!$E$15+1,1))</f>
        <v>269.77739619445515</v>
      </c>
      <c r="EP115" s="59">
        <f t="shared" si="100"/>
        <v>347.56964743629885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27.343962510778894</v>
      </c>
      <c r="EW115" s="21">
        <f>EXP(-LN(2)/25)*EW114+(1-EXP(-LN(2)/25))/(LN(2)/25)*Calculateur!ER115*Calculateur!ET115*VLOOKUP('Données projet'!$B$15,Paramètres!$A$1:$I$89,3,0)*0.475*44/12</f>
        <v>9.4447556504742494</v>
      </c>
      <c r="EX115" s="21">
        <f>EXP(-LN(2)/2)*EX114+(1-EXP(-LN(2)/2))/(LN(2)/2)*ER115*EU115*VLOOKUP('Données projet'!$B$15,Paramètres!$A$1:$I$89,3,0)*0.475*44/12</f>
        <v>1.1295172056173603E-14</v>
      </c>
      <c r="EY115" s="22">
        <f t="shared" si="75"/>
        <v>36.788718161253158</v>
      </c>
      <c r="EZ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367.99999999999972</v>
      </c>
      <c r="FF115" s="17">
        <f>FE115*VLOOKUP('Données projet'!$B$16,Paramètres!$A$1:$I$89,3,0)*VLOOKUP('Données projet'!$B$16,Paramètres!$A$1:$I$89,5,0)</f>
        <v>292.78079999999977</v>
      </c>
      <c r="FG115" s="13">
        <f t="shared" si="101"/>
        <v>69.660903052386217</v>
      </c>
      <c r="FH115" s="20">
        <f t="shared" si="76"/>
        <v>631.25263281623893</v>
      </c>
      <c r="FI115" s="59">
        <f t="shared" si="77"/>
        <v>924.58596614957219</v>
      </c>
      <c r="FJ115" s="59">
        <f ca="1">AVERAGE(OFFSET($FI$3,0,0,'Données projet'!$E$16+1,1))-AVERAGE(OFFSET($H$3,0,0,'Données projet'!$E$16+1,1))</f>
        <v>331.52724290297675</v>
      </c>
      <c r="FK115" s="59">
        <f t="shared" si="102"/>
        <v>322.79102610158054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32.702706193912029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32.702706193912029</v>
      </c>
      <c r="FU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852.00000000000011</v>
      </c>
      <c r="GA115" s="17">
        <f>FZ115*VLOOKUP('Données projet'!$B$17,Paramètres!$A$1:$I$89,3,0)*VLOOKUP('Données projet'!$B$17,Paramètres!$A$1:$I$89,5,0)</f>
        <v>420.88800000000009</v>
      </c>
      <c r="GB115" s="13">
        <f t="shared" si="103"/>
        <v>95.998759891259041</v>
      </c>
      <c r="GC115" s="20">
        <f t="shared" si="79"/>
        <v>900.24444014394294</v>
      </c>
      <c r="GD115" s="59">
        <f t="shared" si="80"/>
        <v>1193.5777734772762</v>
      </c>
      <c r="GE115" s="59">
        <f ca="1">AVERAGE(OFFSET($GD$3,0,0,'Données projet'!$E$17+1,1))-AVERAGE(OFFSET($H$3,0,0,'Données projet'!$E$17+1,1))</f>
        <v>434.08297999735811</v>
      </c>
      <c r="GF115" s="59">
        <f t="shared" si="104"/>
        <v>371.04090283546122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84.374966251564686</v>
      </c>
      <c r="GM115" s="21">
        <f>EXP(-LN(2)/25)*GM114+(1-EXP(-LN(2)/25))/(LN(2)/25)*Calculateur!GH115*Calculateur!GJ115*VLOOKUP('Données projet'!$B$17,Paramètres!$A$1:$I$89,3,0)*0.475*44/12</f>
        <v>5.3233672484881778</v>
      </c>
      <c r="GN115" s="21">
        <f>EXP(-LN(2)/2)*GN114+(1-EXP(-LN(2)/2))/(LN(2)/2)*GH115*GK115*VLOOKUP('Données projet'!$B$17,Paramètres!$A$1:$I$89,3,0)*0.475*44/12</f>
        <v>3.4178353962569747E-13</v>
      </c>
      <c r="GO115" s="21">
        <f t="shared" si="81"/>
        <v>89.698333500053209</v>
      </c>
      <c r="GP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614.99999999999989</v>
      </c>
      <c r="GV115" s="17">
        <f>GU115*VLOOKUP('Données projet'!$B$18,Paramètres!$A$1:$I$89,3,0)*VLOOKUP('Données projet'!$B$18,Paramètres!$A$1:$I$89,5,0)</f>
        <v>351.78</v>
      </c>
      <c r="GW115" s="13">
        <f t="shared" si="105"/>
        <v>81.92892344316067</v>
      </c>
      <c r="GX115" s="20">
        <f t="shared" si="82"/>
        <v>755.37637499683808</v>
      </c>
      <c r="GY115" s="59">
        <f t="shared" si="83"/>
        <v>1048.7097083301715</v>
      </c>
      <c r="GZ115" s="59">
        <f ca="1">AVERAGE(OFFSET($GY$3,0,0,'Données projet'!$E$18+1,1))-AVERAGE(OFFSET($H$3,0,0,'Données projet'!$E$18+1,1))</f>
        <v>362.57172983134313</v>
      </c>
      <c r="HA115" s="59">
        <f t="shared" si="106"/>
        <v>232.03250917542471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68.574097323771653</v>
      </c>
      <c r="HH115" s="21">
        <f>EXP(-LN(2)/25)*HH114+(1-EXP(-LN(2)/25))/(LN(2)/25)*Calculateur!HC115*Calculateur!HE115*VLOOKUP('Données projet'!$B$18,Paramètres!$A$1:$I$89,3,0)*0.475*44/12</f>
        <v>3.2093027431077066</v>
      </c>
      <c r="HI115" s="21">
        <f>EXP(-LN(2)/2)*HI114+(1-EXP(-LN(2)/2))/(LN(2)/2)*HC115*HF115*VLOOKUP('Données projet'!$B$18,Paramètres!$A$1:$I$89,3,0)*0.475*44/12</f>
        <v>3.4052852050834477E-13</v>
      </c>
      <c r="HJ115" s="22">
        <f t="shared" si="84"/>
        <v>71.783400066879707</v>
      </c>
    </row>
    <row r="116" spans="1:218" x14ac:dyDescent="0.3">
      <c r="A116" s="10">
        <f t="shared" si="85"/>
        <v>113</v>
      </c>
      <c r="B116" s="71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5">
        <f t="shared" si="56"/>
        <v>415.39877537461348</v>
      </c>
      <c r="I116" s="6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266.99999999999983</v>
      </c>
      <c r="O116" s="13">
        <f>N116*VLOOKUP('Données projet'!$B$9,Paramètres!$A$1:$I$89,3,0)*VLOOKUP('Données projet'!$B$9,Paramètres!$A$1:$I$89,5,0)</f>
        <v>212.42519999999985</v>
      </c>
      <c r="P116" s="13">
        <f t="shared" si="87"/>
        <v>52.465198231787184</v>
      </c>
      <c r="Q116" s="20">
        <f t="shared" si="107"/>
        <v>461.35077692036231</v>
      </c>
      <c r="R116" s="59">
        <f t="shared" si="55"/>
        <v>754.68411025369562</v>
      </c>
      <c r="S116" s="59">
        <f ca="1">AVERAGE(OFFSET($R$3,0,0,'Données projet'!$E$9+1,1))-AVERAGE(OFFSET($H$3,0,0,'Données projet'!$E$9+1,1))</f>
        <v>225.2323446080772</v>
      </c>
      <c r="T116" s="59">
        <f t="shared" si="88"/>
        <v>222.29030402759292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22.5698725685691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22.5698725685691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732.99999999999966</v>
      </c>
      <c r="AJ116" s="13">
        <f>AI116*VLOOKUP('Données projet'!$B$10,Paramètres!$A$1:$I$89,3,0)*VLOOKUP('Données projet'!$B$10,Paramètres!$A$1:$I$89,5,0)</f>
        <v>362.1019999999998</v>
      </c>
      <c r="AK116" s="13">
        <f t="shared" si="89"/>
        <v>84.049487364732272</v>
      </c>
      <c r="AL116" s="20">
        <f t="shared" si="58"/>
        <v>777.04717382690842</v>
      </c>
      <c r="AM116" s="59">
        <f t="shared" si="59"/>
        <v>1070.3805071602417</v>
      </c>
      <c r="AN116" s="59">
        <f ca="1">AVERAGE(OFFSET($AM$3,0,0,'Données projet'!$E$10+1,1))-AVERAGE(OFFSET($H$3,0,0,'Données projet'!$E$10+1,1))</f>
        <v>360.05819346986135</v>
      </c>
      <c r="AO116" s="59">
        <f t="shared" si="90"/>
        <v>300.47468388351081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67.58874121296779</v>
      </c>
      <c r="AV116" s="21">
        <f>EXP(-LN(2)/25)*AV115+(1-EXP(-LN(2)/25))/(LN(2)/25)*Calculateur!AQ116*Calculateur!AS116*VLOOKUP('Données projet'!$B$10,Paramètres!$A$1:$I$89,3,0)*0.475*44/12</f>
        <v>4.236381401837356</v>
      </c>
      <c r="AW116" s="21">
        <f>EXP(-LN(2)/2)*AW115+(1-EXP(-LN(2)/2))/(LN(2)/2)*AQ116*AT116*VLOOKUP('Données projet'!$B$10,Paramètres!$A$1:$I$89,3,0)*0.475*44/12</f>
        <v>1.6861218039577097E-14</v>
      </c>
      <c r="AX116" s="21">
        <f t="shared" si="60"/>
        <v>71.825122614805153</v>
      </c>
      <c r="AY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465.00000000000006</v>
      </c>
      <c r="BE116" s="13">
        <f>BD116*VLOOKUP('Données projet'!$B$11,Paramètres!$A$1:$I$89,3,0)*VLOOKUP('Données projet'!$B$11,Paramètres!$A$1:$I$89,5,0)</f>
        <v>265.98</v>
      </c>
      <c r="BF116" s="13">
        <f t="shared" si="91"/>
        <v>63.995380422211589</v>
      </c>
      <c r="BG116" s="20">
        <f t="shared" si="61"/>
        <v>574.70712090201857</v>
      </c>
      <c r="BH116" s="59">
        <f t="shared" si="62"/>
        <v>868.04045423535194</v>
      </c>
      <c r="BI116" s="59">
        <f ca="1">AVERAGE(OFFSET($BH$3,0,0,'Données projet'!$E$11+1,1))-AVERAGE(OFFSET($H$3,0,0,'Données projet'!$E$11+1,1))</f>
        <v>250.90038883668348</v>
      </c>
      <c r="BJ116" s="59">
        <f t="shared" si="92"/>
        <v>141.96132114475608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51.765197040489035</v>
      </c>
      <c r="BQ116" s="21">
        <f>EXP(-LN(2)/25)*BQ115+(1-EXP(-LN(2)/25))/(LN(2)/25)*Calculateur!BL116*Calculateur!BN116*VLOOKUP('Données projet'!$B$11,Paramètres!$A$1:$I$89,3,0)*0.475*44/12</f>
        <v>1.1919883192522316</v>
      </c>
      <c r="BR116" s="21">
        <f>EXP(-LN(2)/2)*BR115+(1-EXP(-LN(2)/2))/(LN(2)/2)*BL116*BO116*VLOOKUP('Données projet'!$B$11,Paramètres!$A$1:$I$89,3,0)*0.475*44/12</f>
        <v>1.2148585055973435E-12</v>
      </c>
      <c r="BS116" s="22">
        <f t="shared" si="63"/>
        <v>52.957185359742482</v>
      </c>
      <c r="BT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319</v>
      </c>
      <c r="BZ116" s="13">
        <f>BY116*VLOOKUP('Données projet'!$B$12,Paramètres!$A$1:$I$89,3,0)*VLOOKUP('Données projet'!$B$12,Paramètres!$A$1:$I$89,5,0)</f>
        <v>253.79640000000001</v>
      </c>
      <c r="CA116" s="13">
        <f t="shared" si="93"/>
        <v>61.39816832228076</v>
      </c>
      <c r="CB116" s="20">
        <f t="shared" si="64"/>
        <v>548.96387316130563</v>
      </c>
      <c r="CC116" s="59">
        <f t="shared" si="65"/>
        <v>842.29720649463889</v>
      </c>
      <c r="CD116" s="59">
        <f ca="1">AVERAGE(OFFSET($CC$3,0,0,'Données projet'!$E$12+1,1))-AVERAGE(OFFSET($H$3,0,0,'Données projet'!$E$12+1,1))</f>
        <v>279.49721661620544</v>
      </c>
      <c r="CE116" s="59">
        <f t="shared" si="94"/>
        <v>275.18739333988754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27.658204504393005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27.658204504393005</v>
      </c>
      <c r="CO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789</v>
      </c>
      <c r="CU116" s="17">
        <f>CT116*VLOOKUP('Données projet'!$B$13,Paramètres!$A$1:$I$89,3,0)*VLOOKUP('Données projet'!$B$13,Paramètres!$A$1:$I$89,5,0)</f>
        <v>389.76600000000002</v>
      </c>
      <c r="CV116" s="13">
        <f t="shared" si="95"/>
        <v>89.698759503620408</v>
      </c>
      <c r="CW116" s="20">
        <f t="shared" si="67"/>
        <v>835.06778946880547</v>
      </c>
      <c r="CX116" s="59">
        <f t="shared" si="68"/>
        <v>1128.4011228021388</v>
      </c>
      <c r="CY116" s="59">
        <f ca="1">AVERAGE(OFFSET($CX$3,0,0,'Données projet'!$E$13+1,1))-AVERAGE(OFFSET($H$3,0,0,'Données projet'!$E$13+1,1))</f>
        <v>396.27049617044378</v>
      </c>
      <c r="CZ116" s="59">
        <f t="shared" si="96"/>
        <v>335.2680289568774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74.975926081519333</v>
      </c>
      <c r="DG116" s="21">
        <f>EXP(-LN(2)/25)*DG115+(1-EXP(-LN(2)/25))/(LN(2)/25)*Calculateur!DB116*Calculateur!DD116*VLOOKUP('Données projet'!$B$13,Paramètres!$A$1:$I$89,3,0)*0.475*44/12</f>
        <v>4.7070904464859531</v>
      </c>
      <c r="DH116" s="21">
        <f>EXP(-LN(2)/2)*DH115+(1-EXP(-LN(2)/2))/(LN(2)/2)*DB116*DE116*VLOOKUP('Données projet'!$B$13,Paramètres!$A$1:$I$89,3,0)*0.475*44/12</f>
        <v>1.2364893229023212E-13</v>
      </c>
      <c r="DI116" s="22">
        <f t="shared" si="69"/>
        <v>79.68301652800541</v>
      </c>
      <c r="DJ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541.99999999999989</v>
      </c>
      <c r="DP116" s="17">
        <f>DO116*VLOOKUP('Données projet'!$B$14,Paramètres!$A$1:$I$89,3,0)*VLOOKUP('Données projet'!$B$14,Paramètres!$A$1:$I$89,5,0)</f>
        <v>310.02399999999994</v>
      </c>
      <c r="DQ116" s="13">
        <f t="shared" si="97"/>
        <v>73.27384230442388</v>
      </c>
      <c r="DR116" s="20">
        <f t="shared" si="70"/>
        <v>667.57707534687154</v>
      </c>
      <c r="DS116" s="59">
        <f t="shared" si="71"/>
        <v>960.91040868020491</v>
      </c>
      <c r="DT116" s="59">
        <f ca="1">AVERAGE(OFFSET($DS$3,0,0,'Données projet'!$E$14+1,1))-AVERAGE(OFFSET($H$3,0,0,'Données projet'!$E$14+1,1))</f>
        <v>307.43900954374504</v>
      </c>
      <c r="DU116" s="59">
        <f t="shared" si="98"/>
        <v>185.25270859048999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59.616656816844781</v>
      </c>
      <c r="EB116" s="21">
        <f>EXP(-LN(2)/25)*EB115+(1-EXP(-LN(2)/25))/(LN(2)/25)*Calculateur!DW116*Calculateur!DY116*VLOOKUP('Données projet'!$B$14,Paramètres!$A$1:$I$89,3,0)*0.475*44/12</f>
        <v>2.6756093064235933</v>
      </c>
      <c r="EC116" s="21">
        <f>EXP(-LN(2)/2)*EC115+(1-EXP(-LN(2)/2))/(LN(2)/2)*DW116*DZ116*VLOOKUP('Données projet'!$B$14,Paramètres!$A$1:$I$89,3,0)*0.475*44/12</f>
        <v>1.1714109374864091E-13</v>
      </c>
      <c r="ED116" s="22">
        <f t="shared" si="72"/>
        <v>62.29226612326849</v>
      </c>
      <c r="EE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401</v>
      </c>
      <c r="EK116" s="17">
        <f>EJ116*VLOOKUP('Données projet'!$B$15,Paramètres!$A$1:$I$89,3,0)*VLOOKUP('Données projet'!$B$15,Paramètres!$A$1:$I$89,5,0)</f>
        <v>250.22399999999999</v>
      </c>
      <c r="EL116" s="13">
        <f t="shared" si="99"/>
        <v>60.633904580527918</v>
      </c>
      <c r="EM116" s="20">
        <f t="shared" si="73"/>
        <v>541.41085047775289</v>
      </c>
      <c r="EN116" s="59">
        <f t="shared" si="74"/>
        <v>834.74418381108626</v>
      </c>
      <c r="EO116" s="59">
        <f ca="1">AVERAGE(OFFSET($EN$3,0,0,'Données projet'!$E$15+1,1))-AVERAGE(OFFSET($H$3,0,0,'Données projet'!$E$15+1,1))</f>
        <v>269.77739619445515</v>
      </c>
      <c r="EP116" s="59">
        <f t="shared" si="100"/>
        <v>347.56964743629885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26.807764084112819</v>
      </c>
      <c r="EW116" s="21">
        <f>EXP(-LN(2)/25)*EW115+(1-EXP(-LN(2)/25))/(LN(2)/25)*Calculateur!ER116*Calculateur!ET116*VLOOKUP('Données projet'!$B$15,Paramètres!$A$1:$I$89,3,0)*0.475*44/12</f>
        <v>9.1864883105339175</v>
      </c>
      <c r="EX116" s="21">
        <f>EXP(-LN(2)/2)*EX115+(1-EXP(-LN(2)/2))/(LN(2)/2)*ER116*EU116*VLOOKUP('Données projet'!$B$15,Paramètres!$A$1:$I$89,3,0)*0.475*44/12</f>
        <v>7.9868927555891539E-15</v>
      </c>
      <c r="EY116" s="22">
        <f t="shared" si="75"/>
        <v>35.994252394646743</v>
      </c>
      <c r="EZ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367.99999999999972</v>
      </c>
      <c r="FF116" s="17">
        <f>FE116*VLOOKUP('Données projet'!$B$16,Paramètres!$A$1:$I$89,3,0)*VLOOKUP('Données projet'!$B$16,Paramètres!$A$1:$I$89,5,0)</f>
        <v>292.78079999999977</v>
      </c>
      <c r="FG116" s="13">
        <f t="shared" si="101"/>
        <v>69.660903052386217</v>
      </c>
      <c r="FH116" s="20">
        <f t="shared" si="76"/>
        <v>631.25263281623893</v>
      </c>
      <c r="FI116" s="59">
        <f t="shared" si="77"/>
        <v>924.58596614957219</v>
      </c>
      <c r="FJ116" s="59">
        <f ca="1">AVERAGE(OFFSET($FI$3,0,0,'Données projet'!$E$16+1,1))-AVERAGE(OFFSET($H$3,0,0,'Données projet'!$E$16+1,1))</f>
        <v>331.52724290297675</v>
      </c>
      <c r="FK116" s="59">
        <f t="shared" si="102"/>
        <v>322.79102610158054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32.061426072130622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32.061426072130622</v>
      </c>
      <c r="FU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852.00000000000011</v>
      </c>
      <c r="GA116" s="17">
        <f>FZ116*VLOOKUP('Données projet'!$B$17,Paramètres!$A$1:$I$89,3,0)*VLOOKUP('Données projet'!$B$17,Paramètres!$A$1:$I$89,5,0)</f>
        <v>420.88800000000009</v>
      </c>
      <c r="GB116" s="13">
        <f t="shared" si="103"/>
        <v>95.998759891259041</v>
      </c>
      <c r="GC116" s="20">
        <f t="shared" si="79"/>
        <v>900.24444014394294</v>
      </c>
      <c r="GD116" s="59">
        <f t="shared" si="80"/>
        <v>1193.5777734772762</v>
      </c>
      <c r="GE116" s="59">
        <f ca="1">AVERAGE(OFFSET($GD$3,0,0,'Données projet'!$E$17+1,1))-AVERAGE(OFFSET($H$3,0,0,'Données projet'!$E$17+1,1))</f>
        <v>434.08297999735811</v>
      </c>
      <c r="GF116" s="59">
        <f t="shared" si="104"/>
        <v>371.04090283546122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82.720424627019298</v>
      </c>
      <c r="GM116" s="21">
        <f>EXP(-LN(2)/25)*GM115+(1-EXP(-LN(2)/25))/(LN(2)/25)*Calculateur!GH116*Calculateur!GJ116*VLOOKUP('Données projet'!$B$17,Paramètres!$A$1:$I$89,3,0)*0.475*44/12</f>
        <v>5.177799491134552</v>
      </c>
      <c r="GN116" s="21">
        <f>EXP(-LN(2)/2)*GN115+(1-EXP(-LN(2)/2))/(LN(2)/2)*GH116*GK116*VLOOKUP('Données projet'!$B$17,Paramètres!$A$1:$I$89,3,0)*0.475*44/12</f>
        <v>2.4167745856727175E-13</v>
      </c>
      <c r="GO116" s="21">
        <f t="shared" si="81"/>
        <v>87.89822411815409</v>
      </c>
      <c r="GP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614.99999999999989</v>
      </c>
      <c r="GV116" s="17">
        <f>GU116*VLOOKUP('Données projet'!$B$18,Paramètres!$A$1:$I$89,3,0)*VLOOKUP('Données projet'!$B$18,Paramètres!$A$1:$I$89,5,0)</f>
        <v>351.78</v>
      </c>
      <c r="GW116" s="13">
        <f t="shared" si="105"/>
        <v>81.92892344316067</v>
      </c>
      <c r="GX116" s="20">
        <f t="shared" si="82"/>
        <v>755.37637499683808</v>
      </c>
      <c r="GY116" s="59">
        <f t="shared" si="83"/>
        <v>1048.7097083301715</v>
      </c>
      <c r="GZ116" s="59">
        <f ca="1">AVERAGE(OFFSET($GY$3,0,0,'Données projet'!$E$18+1,1))-AVERAGE(OFFSET($H$3,0,0,'Données projet'!$E$18+1,1))</f>
        <v>362.57172983134313</v>
      </c>
      <c r="HA116" s="59">
        <f t="shared" si="106"/>
        <v>232.03250917542471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67.229401101321884</v>
      </c>
      <c r="HH116" s="21">
        <f>EXP(-LN(2)/25)*HH115+(1-EXP(-LN(2)/25))/(LN(2)/25)*Calculateur!HC116*Calculateur!HE116*VLOOKUP('Données projet'!$B$18,Paramètres!$A$1:$I$89,3,0)*0.475*44/12</f>
        <v>3.1215441908275299</v>
      </c>
      <c r="HI116" s="21">
        <f>EXP(-LN(2)/2)*HI115+(1-EXP(-LN(2)/2))/(LN(2)/2)*HC116*HF116*VLOOKUP('Données projet'!$B$18,Paramètres!$A$1:$I$89,3,0)*0.475*44/12</f>
        <v>2.407900260388729E-13</v>
      </c>
      <c r="HJ116" s="22">
        <f t="shared" si="84"/>
        <v>70.35094529214966</v>
      </c>
    </row>
    <row r="117" spans="1:218" x14ac:dyDescent="0.3">
      <c r="A117" s="10">
        <f t="shared" si="85"/>
        <v>114</v>
      </c>
      <c r="B117" s="71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5">
        <f t="shared" si="56"/>
        <v>416.45066545702986</v>
      </c>
      <c r="I117" s="6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266.99999999999983</v>
      </c>
      <c r="O117" s="13">
        <f>N117*VLOOKUP('Données projet'!$B$9,Paramètres!$A$1:$I$89,3,0)*VLOOKUP('Données projet'!$B$9,Paramètres!$A$1:$I$89,5,0)</f>
        <v>212.42519999999985</v>
      </c>
      <c r="P117" s="13">
        <f t="shared" si="87"/>
        <v>52.465198231787184</v>
      </c>
      <c r="Q117" s="20">
        <f t="shared" si="107"/>
        <v>461.35077692036231</v>
      </c>
      <c r="R117" s="59">
        <f t="shared" si="55"/>
        <v>754.68411025369562</v>
      </c>
      <c r="S117" s="59">
        <f ca="1">AVERAGE(OFFSET($R$3,0,0,'Données projet'!$E$9+1,1))-AVERAGE(OFFSET($H$3,0,0,'Données projet'!$E$9+1,1))</f>
        <v>225.2323446080772</v>
      </c>
      <c r="T117" s="59">
        <f t="shared" si="88"/>
        <v>222.29030402759292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22.127291133762419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22.127291133762419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732.99999999999966</v>
      </c>
      <c r="AJ117" s="13">
        <f>AI117*VLOOKUP('Données projet'!$B$10,Paramètres!$A$1:$I$89,3,0)*VLOOKUP('Données projet'!$B$10,Paramètres!$A$1:$I$89,5,0)</f>
        <v>362.1019999999998</v>
      </c>
      <c r="AK117" s="13">
        <f t="shared" si="89"/>
        <v>84.049487364732272</v>
      </c>
      <c r="AL117" s="20">
        <f t="shared" si="58"/>
        <v>777.04717382690842</v>
      </c>
      <c r="AM117" s="59">
        <f t="shared" si="59"/>
        <v>1070.3805071602417</v>
      </c>
      <c r="AN117" s="59">
        <f ca="1">AVERAGE(OFFSET($AM$3,0,0,'Données projet'!$E$10+1,1))-AVERAGE(OFFSET($H$3,0,0,'Données projet'!$E$10+1,1))</f>
        <v>360.05819346986135</v>
      </c>
      <c r="AO117" s="59">
        <f t="shared" si="90"/>
        <v>300.47468388351081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66.263367222843002</v>
      </c>
      <c r="AV117" s="21">
        <f>EXP(-LN(2)/25)*AV116+(1-EXP(-LN(2)/25))/(LN(2)/25)*Calculateur!AQ117*Calculateur!AS117*VLOOKUP('Données projet'!$B$10,Paramètres!$A$1:$I$89,3,0)*0.475*44/12</f>
        <v>4.1205373296224979</v>
      </c>
      <c r="AW117" s="21">
        <f>EXP(-LN(2)/2)*AW116+(1-EXP(-LN(2)/2))/(LN(2)/2)*AQ117*AT117*VLOOKUP('Données projet'!$B$10,Paramètres!$A$1:$I$89,3,0)*0.475*44/12</f>
        <v>1.192268161484991E-14</v>
      </c>
      <c r="AX117" s="21">
        <f t="shared" si="60"/>
        <v>70.383904552465509</v>
      </c>
      <c r="AY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465.00000000000006</v>
      </c>
      <c r="BE117" s="13">
        <f>BD117*VLOOKUP('Données projet'!$B$11,Paramètres!$A$1:$I$89,3,0)*VLOOKUP('Données projet'!$B$11,Paramètres!$A$1:$I$89,5,0)</f>
        <v>265.98</v>
      </c>
      <c r="BF117" s="13">
        <f t="shared" si="91"/>
        <v>63.995380422211589</v>
      </c>
      <c r="BG117" s="20">
        <f t="shared" si="61"/>
        <v>574.70712090201857</v>
      </c>
      <c r="BH117" s="59">
        <f t="shared" si="62"/>
        <v>868.04045423535194</v>
      </c>
      <c r="BI117" s="59">
        <f ca="1">AVERAGE(OFFSET($BH$3,0,0,'Données projet'!$E$11+1,1))-AVERAGE(OFFSET($H$3,0,0,'Données projet'!$E$11+1,1))</f>
        <v>250.90038883668348</v>
      </c>
      <c r="BJ117" s="59">
        <f t="shared" si="92"/>
        <v>141.96132114475608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50.7501131001776</v>
      </c>
      <c r="BQ117" s="21">
        <f>EXP(-LN(2)/25)*BQ116+(1-EXP(-LN(2)/25))/(LN(2)/25)*Calculateur!BL117*Calculateur!BN117*VLOOKUP('Données projet'!$B$11,Paramètres!$A$1:$I$89,3,0)*0.475*44/12</f>
        <v>1.1593933359783379</v>
      </c>
      <c r="BR117" s="21">
        <f>EXP(-LN(2)/2)*BR116+(1-EXP(-LN(2)/2))/(LN(2)/2)*BL117*BO117*VLOOKUP('Données projet'!$B$11,Paramètres!$A$1:$I$89,3,0)*0.475*44/12</f>
        <v>8.5903468749003688E-13</v>
      </c>
      <c r="BS117" s="22">
        <f t="shared" si="63"/>
        <v>51.909506436156796</v>
      </c>
      <c r="BT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319</v>
      </c>
      <c r="BZ117" s="13">
        <f>BY117*VLOOKUP('Données projet'!$B$12,Paramètres!$A$1:$I$89,3,0)*VLOOKUP('Données projet'!$B$12,Paramètres!$A$1:$I$89,5,0)</f>
        <v>253.79640000000001</v>
      </c>
      <c r="CA117" s="13">
        <f t="shared" si="93"/>
        <v>61.39816832228076</v>
      </c>
      <c r="CB117" s="20">
        <f t="shared" si="64"/>
        <v>548.96387316130563</v>
      </c>
      <c r="CC117" s="59">
        <f t="shared" si="65"/>
        <v>842.29720649463889</v>
      </c>
      <c r="CD117" s="59">
        <f ca="1">AVERAGE(OFFSET($CC$3,0,0,'Données projet'!$E$12+1,1))-AVERAGE(OFFSET($H$3,0,0,'Données projet'!$E$12+1,1))</f>
        <v>279.49721661620544</v>
      </c>
      <c r="CE117" s="59">
        <f t="shared" si="94"/>
        <v>275.18739333988754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27.115843983900849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27.115843983900849</v>
      </c>
      <c r="CO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789</v>
      </c>
      <c r="CU117" s="17">
        <f>CT117*VLOOKUP('Données projet'!$B$13,Paramètres!$A$1:$I$89,3,0)*VLOOKUP('Données projet'!$B$13,Paramètres!$A$1:$I$89,5,0)</f>
        <v>389.76600000000002</v>
      </c>
      <c r="CV117" s="13">
        <f t="shared" si="95"/>
        <v>89.698759503620408</v>
      </c>
      <c r="CW117" s="20">
        <f t="shared" si="67"/>
        <v>835.06778946880547</v>
      </c>
      <c r="CX117" s="59">
        <f t="shared" si="68"/>
        <v>1128.4011228021388</v>
      </c>
      <c r="CY117" s="59">
        <f ca="1">AVERAGE(OFFSET($CX$3,0,0,'Données projet'!$E$13+1,1))-AVERAGE(OFFSET($H$3,0,0,'Données projet'!$E$13+1,1))</f>
        <v>396.27049617044378</v>
      </c>
      <c r="CZ117" s="59">
        <f t="shared" si="96"/>
        <v>335.2680289568774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73.505693901860113</v>
      </c>
      <c r="DG117" s="21">
        <f>EXP(-LN(2)/25)*DG116+(1-EXP(-LN(2)/25))/(LN(2)/25)*Calculateur!DB117*Calculateur!DD117*VLOOKUP('Données projet'!$B$13,Paramètres!$A$1:$I$89,3,0)*0.475*44/12</f>
        <v>4.578374810691666</v>
      </c>
      <c r="DH117" s="21">
        <f>EXP(-LN(2)/2)*DH116+(1-EXP(-LN(2)/2))/(LN(2)/2)*DB117*DE117*VLOOKUP('Données projet'!$B$13,Paramètres!$A$1:$I$89,3,0)*0.475*44/12</f>
        <v>8.7432998508899398E-14</v>
      </c>
      <c r="DI117" s="22">
        <f t="shared" si="69"/>
        <v>78.084068712551868</v>
      </c>
      <c r="DJ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541.99999999999989</v>
      </c>
      <c r="DP117" s="17">
        <f>DO117*VLOOKUP('Données projet'!$B$14,Paramètres!$A$1:$I$89,3,0)*VLOOKUP('Données projet'!$B$14,Paramètres!$A$1:$I$89,5,0)</f>
        <v>310.02399999999994</v>
      </c>
      <c r="DQ117" s="13">
        <f t="shared" si="97"/>
        <v>73.27384230442388</v>
      </c>
      <c r="DR117" s="20">
        <f t="shared" si="70"/>
        <v>667.57707534687154</v>
      </c>
      <c r="DS117" s="59">
        <f t="shared" si="71"/>
        <v>960.91040868020491</v>
      </c>
      <c r="DT117" s="59">
        <f ca="1">AVERAGE(OFFSET($DS$3,0,0,'Données projet'!$E$14+1,1))-AVERAGE(OFFSET($H$3,0,0,'Données projet'!$E$14+1,1))</f>
        <v>307.43900954374504</v>
      </c>
      <c r="DU117" s="59">
        <f t="shared" si="98"/>
        <v>185.25270859048999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58.447610539236607</v>
      </c>
      <c r="EB117" s="21">
        <f>EXP(-LN(2)/25)*EB116+(1-EXP(-LN(2)/25))/(LN(2)/25)*Calculateur!DW117*Calculateur!DY117*VLOOKUP('Données projet'!$B$14,Paramètres!$A$1:$I$89,3,0)*0.475*44/12</f>
        <v>2.6024446292352619</v>
      </c>
      <c r="EC117" s="21">
        <f>EXP(-LN(2)/2)*EC116+(1-EXP(-LN(2)/2))/(LN(2)/2)*DW117*DZ117*VLOOKUP('Données projet'!$B$14,Paramètres!$A$1:$I$89,3,0)*0.475*44/12</f>
        <v>8.2831261745273077E-14</v>
      </c>
      <c r="ED117" s="22">
        <f t="shared" si="72"/>
        <v>61.050055168471957</v>
      </c>
      <c r="EE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401</v>
      </c>
      <c r="EK117" s="17">
        <f>EJ117*VLOOKUP('Données projet'!$B$15,Paramètres!$A$1:$I$89,3,0)*VLOOKUP('Données projet'!$B$15,Paramètres!$A$1:$I$89,5,0)</f>
        <v>250.22399999999999</v>
      </c>
      <c r="EL117" s="13">
        <f t="shared" si="99"/>
        <v>60.633904580527918</v>
      </c>
      <c r="EM117" s="20">
        <f t="shared" si="73"/>
        <v>541.41085047775289</v>
      </c>
      <c r="EN117" s="59">
        <f t="shared" si="74"/>
        <v>834.74418381108626</v>
      </c>
      <c r="EO117" s="59">
        <f ca="1">AVERAGE(OFFSET($EN$3,0,0,'Données projet'!$E$15+1,1))-AVERAGE(OFFSET($H$3,0,0,'Données projet'!$E$15+1,1))</f>
        <v>269.77739619445515</v>
      </c>
      <c r="EP117" s="59">
        <f t="shared" si="100"/>
        <v>347.56964743629885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26.28208018154492</v>
      </c>
      <c r="EW117" s="21">
        <f>EXP(-LN(2)/25)*EW116+(1-EXP(-LN(2)/25))/(LN(2)/25)*Calculateur!ER117*Calculateur!ET117*VLOOKUP('Données projet'!$B$15,Paramètres!$A$1:$I$89,3,0)*0.475*44/12</f>
        <v>8.9352833045859441</v>
      </c>
      <c r="EX117" s="21">
        <f>EXP(-LN(2)/2)*EX116+(1-EXP(-LN(2)/2))/(LN(2)/2)*ER117*EU117*VLOOKUP('Données projet'!$B$15,Paramètres!$A$1:$I$89,3,0)*0.475*44/12</f>
        <v>5.6475860280868015E-15</v>
      </c>
      <c r="EY117" s="22">
        <f t="shared" si="75"/>
        <v>35.217363486130871</v>
      </c>
      <c r="EZ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367.99999999999972</v>
      </c>
      <c r="FF117" s="17">
        <f>FE117*VLOOKUP('Données projet'!$B$16,Paramètres!$A$1:$I$89,3,0)*VLOOKUP('Données projet'!$B$16,Paramètres!$A$1:$I$89,5,0)</f>
        <v>292.78079999999977</v>
      </c>
      <c r="FG117" s="13">
        <f t="shared" si="101"/>
        <v>69.660903052386217</v>
      </c>
      <c r="FH117" s="20">
        <f t="shared" si="76"/>
        <v>631.25263281623893</v>
      </c>
      <c r="FI117" s="59">
        <f t="shared" si="77"/>
        <v>924.58596614957219</v>
      </c>
      <c r="FJ117" s="59">
        <f ca="1">AVERAGE(OFFSET($FI$3,0,0,'Données projet'!$E$16+1,1))-AVERAGE(OFFSET($H$3,0,0,'Données projet'!$E$16+1,1))</f>
        <v>331.52724290297675</v>
      </c>
      <c r="FK117" s="59">
        <f t="shared" si="102"/>
        <v>322.79102610158054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31.432721062395096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31.432721062395096</v>
      </c>
      <c r="FU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852.00000000000011</v>
      </c>
      <c r="GA117" s="17">
        <f>FZ117*VLOOKUP('Données projet'!$B$17,Paramètres!$A$1:$I$89,3,0)*VLOOKUP('Données projet'!$B$17,Paramètres!$A$1:$I$89,5,0)</f>
        <v>420.88800000000009</v>
      </c>
      <c r="GB117" s="13">
        <f t="shared" si="103"/>
        <v>95.998759891259041</v>
      </c>
      <c r="GC117" s="20">
        <f t="shared" si="79"/>
        <v>900.24444014394294</v>
      </c>
      <c r="GD117" s="59">
        <f t="shared" si="80"/>
        <v>1193.5777734772762</v>
      </c>
      <c r="GE117" s="59">
        <f ca="1">AVERAGE(OFFSET($GD$3,0,0,'Données projet'!$E$17+1,1))-AVERAGE(OFFSET($H$3,0,0,'Données projet'!$E$17+1,1))</f>
        <v>434.08297999735811</v>
      </c>
      <c r="GF117" s="59">
        <f t="shared" si="104"/>
        <v>371.04090283546122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81.098327554560512</v>
      </c>
      <c r="GM117" s="21">
        <f>EXP(-LN(2)/25)*GM116+(1-EXP(-LN(2)/25))/(LN(2)/25)*Calculateur!GH117*Calculateur!GJ117*VLOOKUP('Données projet'!$B$17,Paramètres!$A$1:$I$89,3,0)*0.475*44/12</f>
        <v>5.0362122917608367</v>
      </c>
      <c r="GN117" s="21">
        <f>EXP(-LN(2)/2)*GN116+(1-EXP(-LN(2)/2))/(LN(2)/2)*GH117*GK117*VLOOKUP('Données projet'!$B$17,Paramètres!$A$1:$I$89,3,0)*0.475*44/12</f>
        <v>1.7089176981284873E-13</v>
      </c>
      <c r="GO117" s="21">
        <f t="shared" si="81"/>
        <v>86.134539846321516</v>
      </c>
      <c r="GP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614.99999999999989</v>
      </c>
      <c r="GV117" s="17">
        <f>GU117*VLOOKUP('Données projet'!$B$18,Paramètres!$A$1:$I$89,3,0)*VLOOKUP('Données projet'!$B$18,Paramètres!$A$1:$I$89,5,0)</f>
        <v>351.78</v>
      </c>
      <c r="GW117" s="13">
        <f t="shared" si="105"/>
        <v>81.92892344316067</v>
      </c>
      <c r="GX117" s="20">
        <f t="shared" si="82"/>
        <v>755.37637499683808</v>
      </c>
      <c r="GY117" s="59">
        <f t="shared" si="83"/>
        <v>1048.7097083301715</v>
      </c>
      <c r="GZ117" s="59">
        <f ca="1">AVERAGE(OFFSET($GY$3,0,0,'Données projet'!$E$18+1,1))-AVERAGE(OFFSET($H$3,0,0,'Données projet'!$E$18+1,1))</f>
        <v>362.57172983134313</v>
      </c>
      <c r="HA117" s="59">
        <f t="shared" si="106"/>
        <v>232.03250917542471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65.911073551610642</v>
      </c>
      <c r="HH117" s="21">
        <f>EXP(-LN(2)/25)*HH116+(1-EXP(-LN(2)/25))/(LN(2)/25)*Calculateur!HC117*Calculateur!HE117*VLOOKUP('Données projet'!$B$18,Paramètres!$A$1:$I$89,3,0)*0.475*44/12</f>
        <v>3.0361854007744764</v>
      </c>
      <c r="HI117" s="21">
        <f>EXP(-LN(2)/2)*HI116+(1-EXP(-LN(2)/2))/(LN(2)/2)*HC117*HF117*VLOOKUP('Données projet'!$B$18,Paramètres!$A$1:$I$89,3,0)*0.475*44/12</f>
        <v>1.7026426025417239E-13</v>
      </c>
      <c r="HJ117" s="22">
        <f t="shared" si="84"/>
        <v>68.947258952385283</v>
      </c>
    </row>
    <row r="118" spans="1:218" x14ac:dyDescent="0.3">
      <c r="A118" s="10">
        <f t="shared" si="85"/>
        <v>115</v>
      </c>
      <c r="B118" s="71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5">
        <f t="shared" si="56"/>
        <v>417.5023369912704</v>
      </c>
      <c r="I118" s="6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266.99999999999983</v>
      </c>
      <c r="O118" s="13">
        <f>N118*VLOOKUP('Données projet'!$B$9,Paramètres!$A$1:$I$89,3,0)*VLOOKUP('Données projet'!$B$9,Paramètres!$A$1:$I$89,5,0)</f>
        <v>212.42519999999985</v>
      </c>
      <c r="P118" s="13">
        <f t="shared" si="87"/>
        <v>52.465198231787184</v>
      </c>
      <c r="Q118" s="20">
        <f t="shared" si="107"/>
        <v>461.35077692036231</v>
      </c>
      <c r="R118" s="59">
        <f t="shared" si="55"/>
        <v>754.68411025369562</v>
      </c>
      <c r="S118" s="59">
        <f ca="1">AVERAGE(OFFSET($R$3,0,0,'Données projet'!$E$9+1,1))-AVERAGE(OFFSET($H$3,0,0,'Données projet'!$E$9+1,1))</f>
        <v>225.2323446080772</v>
      </c>
      <c r="T118" s="59">
        <f t="shared" si="88"/>
        <v>222.29030402759292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21.69338845094428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21.69338845094428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732.99999999999966</v>
      </c>
      <c r="AJ118" s="13">
        <f>AI118*VLOOKUP('Données projet'!$B$10,Paramètres!$A$1:$I$89,3,0)*VLOOKUP('Données projet'!$B$10,Paramètres!$A$1:$I$89,5,0)</f>
        <v>362.1019999999998</v>
      </c>
      <c r="AK118" s="13">
        <f t="shared" si="89"/>
        <v>84.049487364732272</v>
      </c>
      <c r="AL118" s="20">
        <f t="shared" si="58"/>
        <v>777.04717382690842</v>
      </c>
      <c r="AM118" s="59">
        <f t="shared" si="59"/>
        <v>1070.3805071602417</v>
      </c>
      <c r="AN118" s="59">
        <f ca="1">AVERAGE(OFFSET($AM$3,0,0,'Données projet'!$E$10+1,1))-AVERAGE(OFFSET($H$3,0,0,'Données projet'!$E$10+1,1))</f>
        <v>360.05819346986135</v>
      </c>
      <c r="AO118" s="59">
        <f t="shared" si="90"/>
        <v>300.47468388351081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64.96398300826624</v>
      </c>
      <c r="AV118" s="21">
        <f>EXP(-LN(2)/25)*AV117+(1-EXP(-LN(2)/25))/(LN(2)/25)*Calculateur!AQ118*Calculateur!AS118*VLOOKUP('Données projet'!$B$10,Paramètres!$A$1:$I$89,3,0)*0.475*44/12</f>
        <v>4.0078610196543298</v>
      </c>
      <c r="AW118" s="21">
        <f>EXP(-LN(2)/2)*AW117+(1-EXP(-LN(2)/2))/(LN(2)/2)*AQ118*AT118*VLOOKUP('Données projet'!$B$10,Paramètres!$A$1:$I$89,3,0)*0.475*44/12</f>
        <v>8.4306090197885483E-15</v>
      </c>
      <c r="AX118" s="21">
        <f t="shared" si="60"/>
        <v>68.971844027920582</v>
      </c>
      <c r="AY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465.00000000000006</v>
      </c>
      <c r="BE118" s="13">
        <f>BD118*VLOOKUP('Données projet'!$B$11,Paramètres!$A$1:$I$89,3,0)*VLOOKUP('Données projet'!$B$11,Paramètres!$A$1:$I$89,5,0)</f>
        <v>265.98</v>
      </c>
      <c r="BF118" s="13">
        <f t="shared" si="91"/>
        <v>63.995380422211589</v>
      </c>
      <c r="BG118" s="20">
        <f t="shared" si="61"/>
        <v>574.70712090201857</v>
      </c>
      <c r="BH118" s="59">
        <f t="shared" si="62"/>
        <v>868.04045423535194</v>
      </c>
      <c r="BI118" s="59">
        <f ca="1">AVERAGE(OFFSET($BH$3,0,0,'Données projet'!$E$11+1,1))-AVERAGE(OFFSET($H$3,0,0,'Données projet'!$E$11+1,1))</f>
        <v>250.90038883668348</v>
      </c>
      <c r="BJ118" s="59">
        <f t="shared" si="92"/>
        <v>141.96132114475608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49.754934336795607</v>
      </c>
      <c r="BQ118" s="21">
        <f>EXP(-LN(2)/25)*BQ117+(1-EXP(-LN(2)/25))/(LN(2)/25)*Calculateur!BL118*Calculateur!BN118*VLOOKUP('Données projet'!$B$11,Paramètres!$A$1:$I$89,3,0)*0.475*44/12</f>
        <v>1.1276896642361647</v>
      </c>
      <c r="BR118" s="21">
        <f>EXP(-LN(2)/2)*BR117+(1-EXP(-LN(2)/2))/(LN(2)/2)*BL118*BO118*VLOOKUP('Données projet'!$B$11,Paramètres!$A$1:$I$89,3,0)*0.475*44/12</f>
        <v>6.0742925279867174E-13</v>
      </c>
      <c r="BS118" s="22">
        <f t="shared" si="63"/>
        <v>50.882624001032376</v>
      </c>
      <c r="BT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319</v>
      </c>
      <c r="BZ118" s="13">
        <f>BY118*VLOOKUP('Données projet'!$B$12,Paramètres!$A$1:$I$89,3,0)*VLOOKUP('Données projet'!$B$12,Paramètres!$A$1:$I$89,5,0)</f>
        <v>253.79640000000001</v>
      </c>
      <c r="CA118" s="13">
        <f t="shared" si="93"/>
        <v>61.39816832228076</v>
      </c>
      <c r="CB118" s="20">
        <f t="shared" si="64"/>
        <v>548.96387316130563</v>
      </c>
      <c r="CC118" s="59">
        <f t="shared" si="65"/>
        <v>842.29720649463889</v>
      </c>
      <c r="CD118" s="59">
        <f ca="1">AVERAGE(OFFSET($CC$3,0,0,'Données projet'!$E$12+1,1))-AVERAGE(OFFSET($H$3,0,0,'Données projet'!$E$12+1,1))</f>
        <v>279.49721661620544</v>
      </c>
      <c r="CE118" s="59">
        <f t="shared" si="94"/>
        <v>275.18739333988754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26.584118822408289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26.584118822408289</v>
      </c>
      <c r="CO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789</v>
      </c>
      <c r="CU118" s="17">
        <f>CT118*VLOOKUP('Données projet'!$B$13,Paramètres!$A$1:$I$89,3,0)*VLOOKUP('Données projet'!$B$13,Paramètres!$A$1:$I$89,5,0)</f>
        <v>389.76600000000002</v>
      </c>
      <c r="CV118" s="13">
        <f t="shared" si="95"/>
        <v>89.698759503620408</v>
      </c>
      <c r="CW118" s="20">
        <f t="shared" si="67"/>
        <v>835.06778946880547</v>
      </c>
      <c r="CX118" s="59">
        <f t="shared" si="68"/>
        <v>1128.4011228021388</v>
      </c>
      <c r="CY118" s="59">
        <f ca="1">AVERAGE(OFFSET($CX$3,0,0,'Données projet'!$E$13+1,1))-AVERAGE(OFFSET($H$3,0,0,'Données projet'!$E$13+1,1))</f>
        <v>396.27049617044378</v>
      </c>
      <c r="CZ118" s="59">
        <f t="shared" si="96"/>
        <v>335.2680289568774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72.064292078490922</v>
      </c>
      <c r="DG118" s="21">
        <f>EXP(-LN(2)/25)*DG117+(1-EXP(-LN(2)/25))/(LN(2)/25)*Calculateur!DB118*Calculateur!DD118*VLOOKUP('Données projet'!$B$13,Paramètres!$A$1:$I$89,3,0)*0.475*44/12</f>
        <v>4.4531789107270354</v>
      </c>
      <c r="DH118" s="21">
        <f>EXP(-LN(2)/2)*DH117+(1-EXP(-LN(2)/2))/(LN(2)/2)*DB118*DE118*VLOOKUP('Données projet'!$B$13,Paramètres!$A$1:$I$89,3,0)*0.475*44/12</f>
        <v>6.1824466145116062E-14</v>
      </c>
      <c r="DI118" s="22">
        <f t="shared" si="69"/>
        <v>76.517470989218012</v>
      </c>
      <c r="DJ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541.99999999999989</v>
      </c>
      <c r="DP118" s="17">
        <f>DO118*VLOOKUP('Données projet'!$B$14,Paramètres!$A$1:$I$89,3,0)*VLOOKUP('Données projet'!$B$14,Paramètres!$A$1:$I$89,5,0)</f>
        <v>310.02399999999994</v>
      </c>
      <c r="DQ118" s="13">
        <f t="shared" si="97"/>
        <v>73.27384230442388</v>
      </c>
      <c r="DR118" s="20">
        <f t="shared" si="70"/>
        <v>667.57707534687154</v>
      </c>
      <c r="DS118" s="59">
        <f t="shared" si="71"/>
        <v>960.91040868020491</v>
      </c>
      <c r="DT118" s="59">
        <f ca="1">AVERAGE(OFFSET($DS$3,0,0,'Données projet'!$E$14+1,1))-AVERAGE(OFFSET($H$3,0,0,'Données projet'!$E$14+1,1))</f>
        <v>307.43900954374504</v>
      </c>
      <c r="DU118" s="59">
        <f t="shared" si="98"/>
        <v>185.25270859048999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57.301488546084506</v>
      </c>
      <c r="EB118" s="21">
        <f>EXP(-LN(2)/25)*EB117+(1-EXP(-LN(2)/25))/(LN(2)/25)*Calculateur!DW118*Calculateur!DY118*VLOOKUP('Données projet'!$B$14,Paramètres!$A$1:$I$89,3,0)*0.475*44/12</f>
        <v>2.5312806439922086</v>
      </c>
      <c r="EC118" s="21">
        <f>EXP(-LN(2)/2)*EC117+(1-EXP(-LN(2)/2))/(LN(2)/2)*DW118*DZ118*VLOOKUP('Données projet'!$B$14,Paramètres!$A$1:$I$89,3,0)*0.475*44/12</f>
        <v>5.8570546874320453E-14</v>
      </c>
      <c r="ED118" s="22">
        <f t="shared" si="72"/>
        <v>59.832769190076775</v>
      </c>
      <c r="EE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401</v>
      </c>
      <c r="EK118" s="17">
        <f>EJ118*VLOOKUP('Données projet'!$B$15,Paramètres!$A$1:$I$89,3,0)*VLOOKUP('Données projet'!$B$15,Paramètres!$A$1:$I$89,5,0)</f>
        <v>250.22399999999999</v>
      </c>
      <c r="EL118" s="13">
        <f t="shared" si="99"/>
        <v>60.633904580527918</v>
      </c>
      <c r="EM118" s="20">
        <f t="shared" si="73"/>
        <v>541.41085047775289</v>
      </c>
      <c r="EN118" s="59">
        <f t="shared" si="74"/>
        <v>834.74418381108626</v>
      </c>
      <c r="EO118" s="59">
        <f ca="1">AVERAGE(OFFSET($EN$3,0,0,'Données projet'!$E$15+1,1))-AVERAGE(OFFSET($H$3,0,0,'Données projet'!$E$15+1,1))</f>
        <v>269.77739619445515</v>
      </c>
      <c r="EP118" s="59">
        <f t="shared" si="100"/>
        <v>347.56964743629885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25.766704619670858</v>
      </c>
      <c r="EW118" s="21">
        <f>EXP(-LN(2)/25)*EW117+(1-EXP(-LN(2)/25))/(LN(2)/25)*Calculateur!ER118*Calculateur!ET118*VLOOKUP('Données projet'!$B$15,Paramètres!$A$1:$I$89,3,0)*0.475*44/12</f>
        <v>8.6909475127359137</v>
      </c>
      <c r="EX118" s="21">
        <f>EXP(-LN(2)/2)*EX117+(1-EXP(-LN(2)/2))/(LN(2)/2)*ER118*EU118*VLOOKUP('Données projet'!$B$15,Paramètres!$A$1:$I$89,3,0)*0.475*44/12</f>
        <v>3.9934463777945769E-15</v>
      </c>
      <c r="EY118" s="22">
        <f t="shared" si="75"/>
        <v>34.457652132406778</v>
      </c>
      <c r="EZ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367.99999999999972</v>
      </c>
      <c r="FF118" s="17">
        <f>FE118*VLOOKUP('Données projet'!$B$16,Paramètres!$A$1:$I$89,3,0)*VLOOKUP('Données projet'!$B$16,Paramètres!$A$1:$I$89,5,0)</f>
        <v>292.78079999999977</v>
      </c>
      <c r="FG118" s="13">
        <f t="shared" si="101"/>
        <v>69.660903052386217</v>
      </c>
      <c r="FH118" s="20">
        <f t="shared" si="76"/>
        <v>631.25263281623893</v>
      </c>
      <c r="FI118" s="59">
        <f t="shared" si="77"/>
        <v>924.58596614957219</v>
      </c>
      <c r="FJ118" s="59">
        <f ca="1">AVERAGE(OFFSET($FI$3,0,0,'Données projet'!$E$16+1,1))-AVERAGE(OFFSET($H$3,0,0,'Données projet'!$E$16+1,1))</f>
        <v>331.52724290297675</v>
      </c>
      <c r="FK118" s="59">
        <f t="shared" si="102"/>
        <v>322.79102610158054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30.816344574428292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30.816344574428292</v>
      </c>
      <c r="FU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852.00000000000011</v>
      </c>
      <c r="GA118" s="17">
        <f>FZ118*VLOOKUP('Données projet'!$B$17,Paramètres!$A$1:$I$89,3,0)*VLOOKUP('Données projet'!$B$17,Paramètres!$A$1:$I$89,5,0)</f>
        <v>420.88800000000009</v>
      </c>
      <c r="GB118" s="13">
        <f t="shared" si="103"/>
        <v>95.998759891259041</v>
      </c>
      <c r="GC118" s="20">
        <f t="shared" si="79"/>
        <v>900.24444014394294</v>
      </c>
      <c r="GD118" s="59">
        <f t="shared" si="80"/>
        <v>1193.5777734772762</v>
      </c>
      <c r="GE118" s="59">
        <f ca="1">AVERAGE(OFFSET($GD$3,0,0,'Données projet'!$E$17+1,1))-AVERAGE(OFFSET($H$3,0,0,'Données projet'!$E$17+1,1))</f>
        <v>434.08297999735811</v>
      </c>
      <c r="GF118" s="59">
        <f t="shared" si="104"/>
        <v>371.04090283546122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79.508038816311114</v>
      </c>
      <c r="GM118" s="21">
        <f>EXP(-LN(2)/25)*GM117+(1-EXP(-LN(2)/25))/(LN(2)/25)*Calculateur!GH118*Calculateur!GJ118*VLOOKUP('Données projet'!$B$17,Paramètres!$A$1:$I$89,3,0)*0.475*44/12</f>
        <v>4.8984968017997428</v>
      </c>
      <c r="GN118" s="21">
        <f>EXP(-LN(2)/2)*GN117+(1-EXP(-LN(2)/2))/(LN(2)/2)*GH118*GK118*VLOOKUP('Données projet'!$B$17,Paramètres!$A$1:$I$89,3,0)*0.475*44/12</f>
        <v>1.2083872928363587E-13</v>
      </c>
      <c r="GO118" s="21">
        <f t="shared" si="81"/>
        <v>84.406535618110979</v>
      </c>
      <c r="GP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614.99999999999989</v>
      </c>
      <c r="GV118" s="17">
        <f>GU118*VLOOKUP('Données projet'!$B$18,Paramètres!$A$1:$I$89,3,0)*VLOOKUP('Données projet'!$B$18,Paramètres!$A$1:$I$89,5,0)</f>
        <v>351.78</v>
      </c>
      <c r="GW118" s="13">
        <f t="shared" si="105"/>
        <v>81.92892344316067</v>
      </c>
      <c r="GX118" s="20">
        <f t="shared" si="82"/>
        <v>755.37637499683808</v>
      </c>
      <c r="GY118" s="59">
        <f t="shared" si="83"/>
        <v>1048.7097083301715</v>
      </c>
      <c r="GZ118" s="59">
        <f ca="1">AVERAGE(OFFSET($GY$3,0,0,'Données projet'!$E$18+1,1))-AVERAGE(OFFSET($H$3,0,0,'Données projet'!$E$18+1,1))</f>
        <v>362.57172983134313</v>
      </c>
      <c r="HA118" s="59">
        <f t="shared" si="106"/>
        <v>232.03250917542471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64.618597601048833</v>
      </c>
      <c r="HH118" s="21">
        <f>EXP(-LN(2)/25)*HH117+(1-EXP(-LN(2)/25))/(LN(2)/25)*Calculateur!HC118*Calculateur!HE118*VLOOKUP('Données projet'!$B$18,Paramètres!$A$1:$I$89,3,0)*0.475*44/12</f>
        <v>2.9531607513242473</v>
      </c>
      <c r="HI118" s="21">
        <f>EXP(-LN(2)/2)*HI117+(1-EXP(-LN(2)/2))/(LN(2)/2)*HC118*HF118*VLOOKUP('Données projet'!$B$18,Paramètres!$A$1:$I$89,3,0)*0.475*44/12</f>
        <v>1.2039501301943645E-13</v>
      </c>
      <c r="HJ118" s="22">
        <f t="shared" si="84"/>
        <v>67.571758352373195</v>
      </c>
    </row>
    <row r="119" spans="1:218" x14ac:dyDescent="0.3">
      <c r="A119" s="10">
        <f t="shared" si="85"/>
        <v>116</v>
      </c>
      <c r="B119" s="71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5">
        <f t="shared" si="56"/>
        <v>418.55379209794313</v>
      </c>
      <c r="I119" s="6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266.99999999999983</v>
      </c>
      <c r="O119" s="13">
        <f>N119*VLOOKUP('Données projet'!$B$9,Paramètres!$A$1:$I$89,3,0)*VLOOKUP('Données projet'!$B$9,Paramètres!$A$1:$I$89,5,0)</f>
        <v>212.42519999999985</v>
      </c>
      <c r="P119" s="13">
        <f t="shared" si="87"/>
        <v>52.465198231787184</v>
      </c>
      <c r="Q119" s="20">
        <f t="shared" si="107"/>
        <v>461.35077692036231</v>
      </c>
      <c r="R119" s="59">
        <f t="shared" si="55"/>
        <v>754.68411025369562</v>
      </c>
      <c r="S119" s="59">
        <f ca="1">AVERAGE(OFFSET($R$3,0,0,'Données projet'!$E$9+1,1))-AVERAGE(OFFSET($H$3,0,0,'Données projet'!$E$9+1,1))</f>
        <v>225.2323446080772</v>
      </c>
      <c r="T119" s="59">
        <f t="shared" si="88"/>
        <v>222.29030402759292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21.267994335081699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21.267994335081699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732.99999999999966</v>
      </c>
      <c r="AJ119" s="13">
        <f>AI119*VLOOKUP('Données projet'!$B$10,Paramètres!$A$1:$I$89,3,0)*VLOOKUP('Données projet'!$B$10,Paramètres!$A$1:$I$89,5,0)</f>
        <v>362.1019999999998</v>
      </c>
      <c r="AK119" s="13">
        <f t="shared" si="89"/>
        <v>84.049487364732272</v>
      </c>
      <c r="AL119" s="20">
        <f t="shared" si="58"/>
        <v>777.04717382690842</v>
      </c>
      <c r="AM119" s="59">
        <f t="shared" si="59"/>
        <v>1070.3805071602417</v>
      </c>
      <c r="AN119" s="59">
        <f ca="1">AVERAGE(OFFSET($AM$3,0,0,'Données projet'!$E$10+1,1))-AVERAGE(OFFSET($H$3,0,0,'Données projet'!$E$10+1,1))</f>
        <v>360.05819346986135</v>
      </c>
      <c r="AO119" s="59">
        <f t="shared" si="90"/>
        <v>300.47468388351081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63.690078925591216</v>
      </c>
      <c r="AV119" s="21">
        <f>EXP(-LN(2)/25)*AV118+(1-EXP(-LN(2)/25))/(LN(2)/25)*Calculateur!AQ119*Calculateur!AS119*VLOOKUP('Données projet'!$B$10,Paramètres!$A$1:$I$89,3,0)*0.475*44/12</f>
        <v>3.8982658493076312</v>
      </c>
      <c r="AW119" s="21">
        <f>EXP(-LN(2)/2)*AW118+(1-EXP(-LN(2)/2))/(LN(2)/2)*AQ119*AT119*VLOOKUP('Données projet'!$B$10,Paramètres!$A$1:$I$89,3,0)*0.475*44/12</f>
        <v>5.9613408074249551E-15</v>
      </c>
      <c r="AX119" s="21">
        <f t="shared" si="60"/>
        <v>67.588344774898843</v>
      </c>
      <c r="AY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465.00000000000006</v>
      </c>
      <c r="BE119" s="13">
        <f>BD119*VLOOKUP('Données projet'!$B$11,Paramètres!$A$1:$I$89,3,0)*VLOOKUP('Données projet'!$B$11,Paramètres!$A$1:$I$89,5,0)</f>
        <v>265.98</v>
      </c>
      <c r="BF119" s="13">
        <f t="shared" si="91"/>
        <v>63.995380422211589</v>
      </c>
      <c r="BG119" s="20">
        <f t="shared" si="61"/>
        <v>574.70712090201857</v>
      </c>
      <c r="BH119" s="59">
        <f t="shared" si="62"/>
        <v>868.04045423535194</v>
      </c>
      <c r="BI119" s="59">
        <f ca="1">AVERAGE(OFFSET($BH$3,0,0,'Données projet'!$E$11+1,1))-AVERAGE(OFFSET($H$3,0,0,'Données projet'!$E$11+1,1))</f>
        <v>250.90038883668348</v>
      </c>
      <c r="BJ119" s="59">
        <f t="shared" si="92"/>
        <v>141.96132114475608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48.779270421964419</v>
      </c>
      <c r="BQ119" s="21">
        <f>EXP(-LN(2)/25)*BQ118+(1-EXP(-LN(2)/25))/(LN(2)/25)*Calculateur!BL119*Calculateur!BN119*VLOOKUP('Données projet'!$B$11,Paramètres!$A$1:$I$89,3,0)*0.475*44/12</f>
        <v>1.0968529310650046</v>
      </c>
      <c r="BR119" s="21">
        <f>EXP(-LN(2)/2)*BR118+(1-EXP(-LN(2)/2))/(LN(2)/2)*BL119*BO119*VLOOKUP('Données projet'!$B$11,Paramètres!$A$1:$I$89,3,0)*0.475*44/12</f>
        <v>4.2951734374501844E-13</v>
      </c>
      <c r="BS119" s="22">
        <f t="shared" si="63"/>
        <v>49.876123353029847</v>
      </c>
      <c r="BT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319</v>
      </c>
      <c r="BZ119" s="13">
        <f>BY119*VLOOKUP('Données projet'!$B$12,Paramètres!$A$1:$I$89,3,0)*VLOOKUP('Données projet'!$B$12,Paramètres!$A$1:$I$89,5,0)</f>
        <v>253.79640000000001</v>
      </c>
      <c r="CA119" s="13">
        <f t="shared" si="93"/>
        <v>61.39816832228076</v>
      </c>
      <c r="CB119" s="20">
        <f t="shared" si="64"/>
        <v>548.96387316130563</v>
      </c>
      <c r="CC119" s="59">
        <f t="shared" si="65"/>
        <v>842.29720649463889</v>
      </c>
      <c r="CD119" s="59">
        <f ca="1">AVERAGE(OFFSET($CC$3,0,0,'Données projet'!$E$12+1,1))-AVERAGE(OFFSET($H$3,0,0,'Données projet'!$E$12+1,1))</f>
        <v>279.49721661620544</v>
      </c>
      <c r="CE119" s="59">
        <f t="shared" si="94"/>
        <v>275.18739333988754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26.062820467012276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26.062820467012276</v>
      </c>
      <c r="CO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789</v>
      </c>
      <c r="CU119" s="17">
        <f>CT119*VLOOKUP('Données projet'!$B$13,Paramètres!$A$1:$I$89,3,0)*VLOOKUP('Données projet'!$B$13,Paramètres!$A$1:$I$89,5,0)</f>
        <v>389.76600000000002</v>
      </c>
      <c r="CV119" s="13">
        <f t="shared" si="95"/>
        <v>89.698759503620408</v>
      </c>
      <c r="CW119" s="20">
        <f t="shared" si="67"/>
        <v>835.06778946880547</v>
      </c>
      <c r="CX119" s="59">
        <f t="shared" si="68"/>
        <v>1128.4011228021388</v>
      </c>
      <c r="CY119" s="59">
        <f ca="1">AVERAGE(OFFSET($CX$3,0,0,'Données projet'!$E$13+1,1))-AVERAGE(OFFSET($H$3,0,0,'Données projet'!$E$13+1,1))</f>
        <v>396.27049617044378</v>
      </c>
      <c r="CZ119" s="59">
        <f t="shared" si="96"/>
        <v>335.2680289568774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70.651155265709704</v>
      </c>
      <c r="DG119" s="21">
        <f>EXP(-LN(2)/25)*DG118+(1-EXP(-LN(2)/25))/(LN(2)/25)*Calculateur!DB119*Calculateur!DD119*VLOOKUP('Données projet'!$B$13,Paramètres!$A$1:$I$89,3,0)*0.475*44/12</f>
        <v>4.3314064992307033</v>
      </c>
      <c r="DH119" s="21">
        <f>EXP(-LN(2)/2)*DH118+(1-EXP(-LN(2)/2))/(LN(2)/2)*DB119*DE119*VLOOKUP('Données projet'!$B$13,Paramètres!$A$1:$I$89,3,0)*0.475*44/12</f>
        <v>4.3716499254449699E-14</v>
      </c>
      <c r="DI119" s="22">
        <f t="shared" si="69"/>
        <v>74.982561764940456</v>
      </c>
      <c r="DJ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541.99999999999989</v>
      </c>
      <c r="DP119" s="17">
        <f>DO119*VLOOKUP('Données projet'!$B$14,Paramètres!$A$1:$I$89,3,0)*VLOOKUP('Données projet'!$B$14,Paramètres!$A$1:$I$89,5,0)</f>
        <v>310.02399999999994</v>
      </c>
      <c r="DQ119" s="13">
        <f t="shared" si="97"/>
        <v>73.27384230442388</v>
      </c>
      <c r="DR119" s="20">
        <f t="shared" si="70"/>
        <v>667.57707534687154</v>
      </c>
      <c r="DS119" s="59">
        <f t="shared" si="71"/>
        <v>960.91040868020491</v>
      </c>
      <c r="DT119" s="59">
        <f ca="1">AVERAGE(OFFSET($DS$3,0,0,'Données projet'!$E$14+1,1))-AVERAGE(OFFSET($H$3,0,0,'Données projet'!$E$14+1,1))</f>
        <v>307.43900954374504</v>
      </c>
      <c r="DU119" s="59">
        <f t="shared" si="98"/>
        <v>185.25270859048999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56.177841306152729</v>
      </c>
      <c r="EB119" s="21">
        <f>EXP(-LN(2)/25)*EB118+(1-EXP(-LN(2)/25))/(LN(2)/25)*Calculateur!DW119*Calculateur!DY119*VLOOKUP('Données projet'!$B$14,Paramètres!$A$1:$I$89,3,0)*0.475*44/12</f>
        <v>2.4620626416679778</v>
      </c>
      <c r="EC119" s="21">
        <f>EXP(-LN(2)/2)*EC118+(1-EXP(-LN(2)/2))/(LN(2)/2)*DW119*DZ119*VLOOKUP('Données projet'!$B$14,Paramètres!$A$1:$I$89,3,0)*0.475*44/12</f>
        <v>4.1415630872636538E-14</v>
      </c>
      <c r="ED119" s="22">
        <f t="shared" si="72"/>
        <v>58.639903947820748</v>
      </c>
      <c r="EE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401</v>
      </c>
      <c r="EK119" s="17">
        <f>EJ119*VLOOKUP('Données projet'!$B$15,Paramètres!$A$1:$I$89,3,0)*VLOOKUP('Données projet'!$B$15,Paramètres!$A$1:$I$89,5,0)</f>
        <v>250.22399999999999</v>
      </c>
      <c r="EL119" s="13">
        <f t="shared" si="99"/>
        <v>60.633904580527918</v>
      </c>
      <c r="EM119" s="20">
        <f t="shared" si="73"/>
        <v>541.41085047775289</v>
      </c>
      <c r="EN119" s="59">
        <f t="shared" si="74"/>
        <v>834.74418381108626</v>
      </c>
      <c r="EO119" s="59">
        <f ca="1">AVERAGE(OFFSET($EN$3,0,0,'Données projet'!$E$15+1,1))-AVERAGE(OFFSET($H$3,0,0,'Données projet'!$E$15+1,1))</f>
        <v>269.77739619445515</v>
      </c>
      <c r="EP119" s="59">
        <f t="shared" si="100"/>
        <v>347.56964743629885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25.261435258217091</v>
      </c>
      <c r="EW119" s="21">
        <f>EXP(-LN(2)/25)*EW118+(1-EXP(-LN(2)/25))/(LN(2)/25)*Calculateur!ER119*Calculateur!ET119*VLOOKUP('Données projet'!$B$15,Paramètres!$A$1:$I$89,3,0)*0.475*44/12</f>
        <v>8.4532930959630832</v>
      </c>
      <c r="EX119" s="21">
        <f>EXP(-LN(2)/2)*EX118+(1-EXP(-LN(2)/2))/(LN(2)/2)*ER119*EU119*VLOOKUP('Données projet'!$B$15,Paramètres!$A$1:$I$89,3,0)*0.475*44/12</f>
        <v>2.8237930140434008E-15</v>
      </c>
      <c r="EY119" s="22">
        <f t="shared" si="75"/>
        <v>33.714728354180174</v>
      </c>
      <c r="EZ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367.99999999999972</v>
      </c>
      <c r="FF119" s="17">
        <f>FE119*VLOOKUP('Données projet'!$B$16,Paramètres!$A$1:$I$89,3,0)*VLOOKUP('Données projet'!$B$16,Paramètres!$A$1:$I$89,5,0)</f>
        <v>292.78079999999977</v>
      </c>
      <c r="FG119" s="13">
        <f t="shared" si="101"/>
        <v>69.660903052386217</v>
      </c>
      <c r="FH119" s="20">
        <f t="shared" si="76"/>
        <v>631.25263281623893</v>
      </c>
      <c r="FI119" s="59">
        <f t="shared" si="77"/>
        <v>924.58596614957219</v>
      </c>
      <c r="FJ119" s="59">
        <f ca="1">AVERAGE(OFFSET($FI$3,0,0,'Données projet'!$E$16+1,1))-AVERAGE(OFFSET($H$3,0,0,'Données projet'!$E$16+1,1))</f>
        <v>331.52724290297675</v>
      </c>
      <c r="FK119" s="59">
        <f t="shared" si="102"/>
        <v>322.79102610158054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30.212054853437984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30.212054853437984</v>
      </c>
      <c r="FU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852.00000000000011</v>
      </c>
      <c r="GA119" s="17">
        <f>FZ119*VLOOKUP('Données projet'!$B$17,Paramètres!$A$1:$I$89,3,0)*VLOOKUP('Données projet'!$B$17,Paramètres!$A$1:$I$89,5,0)</f>
        <v>420.88800000000009</v>
      </c>
      <c r="GB119" s="13">
        <f t="shared" si="103"/>
        <v>95.998759891259041</v>
      </c>
      <c r="GC119" s="20">
        <f t="shared" si="79"/>
        <v>900.24444014394294</v>
      </c>
      <c r="GD119" s="59">
        <f t="shared" si="80"/>
        <v>1193.5777734772762</v>
      </c>
      <c r="GE119" s="59">
        <f ca="1">AVERAGE(OFFSET($GD$3,0,0,'Données projet'!$E$17+1,1))-AVERAGE(OFFSET($H$3,0,0,'Données projet'!$E$17+1,1))</f>
        <v>434.08297999735811</v>
      </c>
      <c r="GF119" s="59">
        <f t="shared" si="104"/>
        <v>371.04090283546122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77.94893467023843</v>
      </c>
      <c r="GM119" s="21">
        <f>EXP(-LN(2)/25)*GM118+(1-EXP(-LN(2)/25))/(LN(2)/25)*Calculateur!GH119*Calculateur!GJ119*VLOOKUP('Données projet'!$B$17,Paramètres!$A$1:$I$89,3,0)*0.475*44/12</f>
        <v>4.7645471491537776</v>
      </c>
      <c r="GN119" s="21">
        <f>EXP(-LN(2)/2)*GN118+(1-EXP(-LN(2)/2))/(LN(2)/2)*GH119*GK119*VLOOKUP('Données projet'!$B$17,Paramètres!$A$1:$I$89,3,0)*0.475*44/12</f>
        <v>8.5445884906424367E-14</v>
      </c>
      <c r="GO119" s="21">
        <f t="shared" si="81"/>
        <v>82.713481819392285</v>
      </c>
      <c r="GP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614.99999999999989</v>
      </c>
      <c r="GV119" s="17">
        <f>GU119*VLOOKUP('Données projet'!$B$18,Paramètres!$A$1:$I$89,3,0)*VLOOKUP('Données projet'!$B$18,Paramètres!$A$1:$I$89,5,0)</f>
        <v>351.78</v>
      </c>
      <c r="GW119" s="13">
        <f t="shared" si="105"/>
        <v>81.92892344316067</v>
      </c>
      <c r="GX119" s="20">
        <f t="shared" si="82"/>
        <v>755.37637499683808</v>
      </c>
      <c r="GY119" s="59">
        <f t="shared" si="83"/>
        <v>1048.7097083301715</v>
      </c>
      <c r="GZ119" s="59">
        <f ca="1">AVERAGE(OFFSET($GY$3,0,0,'Données projet'!$E$18+1,1))-AVERAGE(OFFSET($H$3,0,0,'Données projet'!$E$18+1,1))</f>
        <v>362.57172983134313</v>
      </c>
      <c r="HA119" s="59">
        <f t="shared" si="106"/>
        <v>232.03250917542471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63.351466315545046</v>
      </c>
      <c r="HH119" s="21">
        <f>EXP(-LN(2)/25)*HH118+(1-EXP(-LN(2)/25))/(LN(2)/25)*Calculateur!HC119*Calculateur!HE119*VLOOKUP('Données projet'!$B$18,Paramètres!$A$1:$I$89,3,0)*0.475*44/12</f>
        <v>2.8724064152793112</v>
      </c>
      <c r="HI119" s="21">
        <f>EXP(-LN(2)/2)*HI118+(1-EXP(-LN(2)/2))/(LN(2)/2)*HC119*HF119*VLOOKUP('Données projet'!$B$18,Paramètres!$A$1:$I$89,3,0)*0.475*44/12</f>
        <v>8.5132130127086193E-14</v>
      </c>
      <c r="HJ119" s="22">
        <f t="shared" si="84"/>
        <v>66.223872730824439</v>
      </c>
    </row>
    <row r="120" spans="1:218" x14ac:dyDescent="0.3">
      <c r="A120" s="10">
        <f t="shared" si="85"/>
        <v>117</v>
      </c>
      <c r="B120" s="71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5">
        <f t="shared" si="56"/>
        <v>419.60503285898386</v>
      </c>
      <c r="I120" s="6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266.99999999999983</v>
      </c>
      <c r="O120" s="13">
        <f>N120*VLOOKUP('Données projet'!$B$9,Paramètres!$A$1:$I$89,3,0)*VLOOKUP('Données projet'!$B$9,Paramètres!$A$1:$I$89,5,0)</f>
        <v>212.42519999999985</v>
      </c>
      <c r="P120" s="13">
        <f t="shared" si="87"/>
        <v>52.465198231787184</v>
      </c>
      <c r="Q120" s="20">
        <f t="shared" si="107"/>
        <v>461.35077692036231</v>
      </c>
      <c r="R120" s="59">
        <f t="shared" si="55"/>
        <v>754.68411025369562</v>
      </c>
      <c r="S120" s="59">
        <f ca="1">AVERAGE(OFFSET($R$3,0,0,'Données projet'!$E$9+1,1))-AVERAGE(OFFSET($H$3,0,0,'Données projet'!$E$9+1,1))</f>
        <v>225.2323446080772</v>
      </c>
      <c r="T120" s="59">
        <f t="shared" si="88"/>
        <v>222.29030402759292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20.850941938366393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20.850941938366393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732.99999999999966</v>
      </c>
      <c r="AJ120" s="13">
        <f>AI120*VLOOKUP('Données projet'!$B$10,Paramètres!$A$1:$I$89,3,0)*VLOOKUP('Données projet'!$B$10,Paramètres!$A$1:$I$89,5,0)</f>
        <v>362.1019999999998</v>
      </c>
      <c r="AK120" s="13">
        <f t="shared" si="89"/>
        <v>84.049487364732272</v>
      </c>
      <c r="AL120" s="20">
        <f t="shared" si="58"/>
        <v>777.04717382690842</v>
      </c>
      <c r="AM120" s="59">
        <f t="shared" si="59"/>
        <v>1070.3805071602417</v>
      </c>
      <c r="AN120" s="59">
        <f ca="1">AVERAGE(OFFSET($AM$3,0,0,'Données projet'!$E$10+1,1))-AVERAGE(OFFSET($H$3,0,0,'Données projet'!$E$10+1,1))</f>
        <v>360.05819346986135</v>
      </c>
      <c r="AO120" s="59">
        <f t="shared" si="90"/>
        <v>300.47468388351081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62.441155324972684</v>
      </c>
      <c r="AV120" s="21">
        <f>EXP(-LN(2)/25)*AV119+(1-EXP(-LN(2)/25))/(LN(2)/25)*Calculateur!AQ120*Calculateur!AS120*VLOOKUP('Données projet'!$B$10,Paramètres!$A$1:$I$89,3,0)*0.475*44/12</f>
        <v>3.7916675646574225</v>
      </c>
      <c r="AW120" s="21">
        <f>EXP(-LN(2)/2)*AW119+(1-EXP(-LN(2)/2))/(LN(2)/2)*AQ120*AT120*VLOOKUP('Données projet'!$B$10,Paramètres!$A$1:$I$89,3,0)*0.475*44/12</f>
        <v>4.2153045098942742E-15</v>
      </c>
      <c r="AX120" s="21">
        <f t="shared" si="60"/>
        <v>66.2328228896301</v>
      </c>
      <c r="AY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465.00000000000006</v>
      </c>
      <c r="BE120" s="13">
        <f>BD120*VLOOKUP('Données projet'!$B$11,Paramètres!$A$1:$I$89,3,0)*VLOOKUP('Données projet'!$B$11,Paramètres!$A$1:$I$89,5,0)</f>
        <v>265.98</v>
      </c>
      <c r="BF120" s="13">
        <f t="shared" si="91"/>
        <v>63.995380422211589</v>
      </c>
      <c r="BG120" s="20">
        <f t="shared" si="61"/>
        <v>574.70712090201857</v>
      </c>
      <c r="BH120" s="59">
        <f t="shared" si="62"/>
        <v>868.04045423535194</v>
      </c>
      <c r="BI120" s="59">
        <f ca="1">AVERAGE(OFFSET($BH$3,0,0,'Données projet'!$E$11+1,1))-AVERAGE(OFFSET($H$3,0,0,'Données projet'!$E$11+1,1))</f>
        <v>250.90038883668348</v>
      </c>
      <c r="BJ120" s="59">
        <f t="shared" si="92"/>
        <v>141.96132114475608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47.822738681406847</v>
      </c>
      <c r="BQ120" s="21">
        <f>EXP(-LN(2)/25)*BQ119+(1-EXP(-LN(2)/25))/(LN(2)/25)*Calculateur!BL120*Calculateur!BN120*VLOOKUP('Données projet'!$B$11,Paramètres!$A$1:$I$89,3,0)*0.475*44/12</f>
        <v>1.0668594299840433</v>
      </c>
      <c r="BR120" s="21">
        <f>EXP(-LN(2)/2)*BR119+(1-EXP(-LN(2)/2))/(LN(2)/2)*BL120*BO120*VLOOKUP('Données projet'!$B$11,Paramètres!$A$1:$I$89,3,0)*0.475*44/12</f>
        <v>3.0371462639933587E-13</v>
      </c>
      <c r="BS120" s="22">
        <f t="shared" si="63"/>
        <v>48.889598111391194</v>
      </c>
      <c r="BT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319</v>
      </c>
      <c r="BZ120" s="13">
        <f>BY120*VLOOKUP('Données projet'!$B$12,Paramètres!$A$1:$I$89,3,0)*VLOOKUP('Données projet'!$B$12,Paramètres!$A$1:$I$89,5,0)</f>
        <v>253.79640000000001</v>
      </c>
      <c r="CA120" s="13">
        <f t="shared" si="93"/>
        <v>61.39816832228076</v>
      </c>
      <c r="CB120" s="20">
        <f t="shared" si="64"/>
        <v>548.96387316130563</v>
      </c>
      <c r="CC120" s="59">
        <f t="shared" si="65"/>
        <v>842.29720649463889</v>
      </c>
      <c r="CD120" s="59">
        <f ca="1">AVERAGE(OFFSET($CC$3,0,0,'Données projet'!$E$12+1,1))-AVERAGE(OFFSET($H$3,0,0,'Données projet'!$E$12+1,1))</f>
        <v>279.49721661620544</v>
      </c>
      <c r="CE120" s="59">
        <f t="shared" si="94"/>
        <v>275.18739333988754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25.551744454404975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25.551744454404975</v>
      </c>
      <c r="CO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789</v>
      </c>
      <c r="CU120" s="17">
        <f>CT120*VLOOKUP('Données projet'!$B$13,Paramètres!$A$1:$I$89,3,0)*VLOOKUP('Données projet'!$B$13,Paramètres!$A$1:$I$89,5,0)</f>
        <v>389.76600000000002</v>
      </c>
      <c r="CV120" s="13">
        <f t="shared" si="95"/>
        <v>89.698759503620408</v>
      </c>
      <c r="CW120" s="20">
        <f t="shared" si="67"/>
        <v>835.06778946880547</v>
      </c>
      <c r="CX120" s="59">
        <f t="shared" si="68"/>
        <v>1128.4011228021388</v>
      </c>
      <c r="CY120" s="59">
        <f ca="1">AVERAGE(OFFSET($CX$3,0,0,'Données projet'!$E$13+1,1))-AVERAGE(OFFSET($H$3,0,0,'Données projet'!$E$13+1,1))</f>
        <v>396.27049617044378</v>
      </c>
      <c r="CZ120" s="59">
        <f t="shared" si="96"/>
        <v>335.2680289568774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69.265729203898772</v>
      </c>
      <c r="DG120" s="21">
        <f>EXP(-LN(2)/25)*DG119+(1-EXP(-LN(2)/25))/(LN(2)/25)*Calculateur!DB120*Calculateur!DD120*VLOOKUP('Données projet'!$B$13,Paramètres!$A$1:$I$89,3,0)*0.475*44/12</f>
        <v>4.2129639607304714</v>
      </c>
      <c r="DH120" s="21">
        <f>EXP(-LN(2)/2)*DH119+(1-EXP(-LN(2)/2))/(LN(2)/2)*DB120*DE120*VLOOKUP('Données projet'!$B$13,Paramètres!$A$1:$I$89,3,0)*0.475*44/12</f>
        <v>3.0912233072558031E-14</v>
      </c>
      <c r="DI120" s="22">
        <f t="shared" si="69"/>
        <v>73.478693164629277</v>
      </c>
      <c r="DJ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541.99999999999989</v>
      </c>
      <c r="DP120" s="17">
        <f>DO120*VLOOKUP('Données projet'!$B$14,Paramètres!$A$1:$I$89,3,0)*VLOOKUP('Données projet'!$B$14,Paramètres!$A$1:$I$89,5,0)</f>
        <v>310.02399999999994</v>
      </c>
      <c r="DQ120" s="13">
        <f t="shared" si="97"/>
        <v>73.27384230442388</v>
      </c>
      <c r="DR120" s="20">
        <f t="shared" si="70"/>
        <v>667.57707534687154</v>
      </c>
      <c r="DS120" s="59">
        <f t="shared" si="71"/>
        <v>960.91040868020491</v>
      </c>
      <c r="DT120" s="59">
        <f ca="1">AVERAGE(OFFSET($DS$3,0,0,'Données projet'!$E$14+1,1))-AVERAGE(OFFSET($H$3,0,0,'Données projet'!$E$14+1,1))</f>
        <v>307.43900954374504</v>
      </c>
      <c r="DU120" s="59">
        <f t="shared" si="98"/>
        <v>185.25270859048999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55.076228103238876</v>
      </c>
      <c r="EB120" s="21">
        <f>EXP(-LN(2)/25)*EB119+(1-EXP(-LN(2)/25))/(LN(2)/25)*Calculateur!DW120*Calculateur!DY120*VLOOKUP('Données projet'!$B$14,Paramètres!$A$1:$I$89,3,0)*0.475*44/12</f>
        <v>2.3947374092573197</v>
      </c>
      <c r="EC120" s="21">
        <f>EXP(-LN(2)/2)*EC119+(1-EXP(-LN(2)/2))/(LN(2)/2)*DW120*DZ120*VLOOKUP('Données projet'!$B$14,Paramètres!$A$1:$I$89,3,0)*0.475*44/12</f>
        <v>2.9285273437160227E-14</v>
      </c>
      <c r="ED120" s="22">
        <f t="shared" si="72"/>
        <v>57.470965512496221</v>
      </c>
      <c r="EE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401</v>
      </c>
      <c r="EK120" s="17">
        <f>EJ120*VLOOKUP('Données projet'!$B$15,Paramètres!$A$1:$I$89,3,0)*VLOOKUP('Données projet'!$B$15,Paramètres!$A$1:$I$89,5,0)</f>
        <v>250.22399999999999</v>
      </c>
      <c r="EL120" s="13">
        <f t="shared" si="99"/>
        <v>60.633904580527918</v>
      </c>
      <c r="EM120" s="20">
        <f t="shared" si="73"/>
        <v>541.41085047775289</v>
      </c>
      <c r="EN120" s="59">
        <f t="shared" si="74"/>
        <v>834.74418381108626</v>
      </c>
      <c r="EO120" s="59">
        <f ca="1">AVERAGE(OFFSET($EN$3,0,0,'Données projet'!$E$15+1,1))-AVERAGE(OFFSET($H$3,0,0,'Données projet'!$E$15+1,1))</f>
        <v>269.77739619445515</v>
      </c>
      <c r="EP120" s="59">
        <f t="shared" si="100"/>
        <v>347.56964743629885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24.766073920757552</v>
      </c>
      <c r="EW120" s="21">
        <f>EXP(-LN(2)/25)*EW119+(1-EXP(-LN(2)/25))/(LN(2)/25)*Calculateur!ER120*Calculateur!ET120*VLOOKUP('Données projet'!$B$15,Paramètres!$A$1:$I$89,3,0)*0.475*44/12</f>
        <v>8.2221373517146095</v>
      </c>
      <c r="EX120" s="21">
        <f>EXP(-LN(2)/2)*EX119+(1-EXP(-LN(2)/2))/(LN(2)/2)*ER120*EU120*VLOOKUP('Données projet'!$B$15,Paramètres!$A$1:$I$89,3,0)*0.475*44/12</f>
        <v>1.9967231888972885E-15</v>
      </c>
      <c r="EY120" s="22">
        <f t="shared" si="75"/>
        <v>32.988211272472164</v>
      </c>
      <c r="EZ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367.99999999999972</v>
      </c>
      <c r="FF120" s="17">
        <f>FE120*VLOOKUP('Données projet'!$B$16,Paramètres!$A$1:$I$89,3,0)*VLOOKUP('Données projet'!$B$16,Paramètres!$A$1:$I$89,5,0)</f>
        <v>292.78079999999977</v>
      </c>
      <c r="FG120" s="13">
        <f t="shared" si="101"/>
        <v>69.660903052386217</v>
      </c>
      <c r="FH120" s="20">
        <f t="shared" si="76"/>
        <v>631.25263281623893</v>
      </c>
      <c r="FI120" s="59">
        <f t="shared" si="77"/>
        <v>924.58596614957219</v>
      </c>
      <c r="FJ120" s="59">
        <f ca="1">AVERAGE(OFFSET($FI$3,0,0,'Données projet'!$E$16+1,1))-AVERAGE(OFFSET($H$3,0,0,'Données projet'!$E$16+1,1))</f>
        <v>331.52724290297675</v>
      </c>
      <c r="FK120" s="59">
        <f t="shared" si="102"/>
        <v>322.79102610158054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29.619614885295956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29.619614885295956</v>
      </c>
      <c r="FU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852.00000000000011</v>
      </c>
      <c r="GA120" s="17">
        <f>FZ120*VLOOKUP('Données projet'!$B$17,Paramètres!$A$1:$I$89,3,0)*VLOOKUP('Données projet'!$B$17,Paramètres!$A$1:$I$89,5,0)</f>
        <v>420.88800000000009</v>
      </c>
      <c r="GB120" s="13">
        <f t="shared" si="103"/>
        <v>95.998759891259041</v>
      </c>
      <c r="GC120" s="20">
        <f t="shared" si="79"/>
        <v>900.24444014394294</v>
      </c>
      <c r="GD120" s="59">
        <f t="shared" si="80"/>
        <v>1193.5777734772762</v>
      </c>
      <c r="GE120" s="59">
        <f ca="1">AVERAGE(OFFSET($GD$3,0,0,'Données projet'!$E$17+1,1))-AVERAGE(OFFSET($H$3,0,0,'Données projet'!$E$17+1,1))</f>
        <v>434.08297999735811</v>
      </c>
      <c r="GF120" s="59">
        <f t="shared" si="104"/>
        <v>371.04090283546122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76.420403605510614</v>
      </c>
      <c r="GM120" s="21">
        <f>EXP(-LN(2)/25)*GM119+(1-EXP(-LN(2)/25))/(LN(2)/25)*Calculateur!GH120*Calculateur!GJ120*VLOOKUP('Données projet'!$B$17,Paramètres!$A$1:$I$89,3,0)*0.475*44/12</f>
        <v>4.6342603568035221</v>
      </c>
      <c r="GN120" s="21">
        <f>EXP(-LN(2)/2)*GN119+(1-EXP(-LN(2)/2))/(LN(2)/2)*GH120*GK120*VLOOKUP('Données projet'!$B$17,Paramètres!$A$1:$I$89,3,0)*0.475*44/12</f>
        <v>6.0419364641817937E-14</v>
      </c>
      <c r="GO120" s="21">
        <f t="shared" si="81"/>
        <v>81.054663962314194</v>
      </c>
      <c r="GP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614.99999999999989</v>
      </c>
      <c r="GV120" s="17">
        <f>GU120*VLOOKUP('Données projet'!$B$18,Paramètres!$A$1:$I$89,3,0)*VLOOKUP('Données projet'!$B$18,Paramètres!$A$1:$I$89,5,0)</f>
        <v>351.78</v>
      </c>
      <c r="GW120" s="13">
        <f t="shared" si="105"/>
        <v>81.92892344316067</v>
      </c>
      <c r="GX120" s="20">
        <f t="shared" si="82"/>
        <v>755.37637499683808</v>
      </c>
      <c r="GY120" s="59">
        <f t="shared" si="83"/>
        <v>1048.7097083301715</v>
      </c>
      <c r="GZ120" s="59">
        <f ca="1">AVERAGE(OFFSET($GY$3,0,0,'Données projet'!$E$18+1,1))-AVERAGE(OFFSET($H$3,0,0,'Données projet'!$E$18+1,1))</f>
        <v>362.57172983134313</v>
      </c>
      <c r="HA120" s="59">
        <f t="shared" si="106"/>
        <v>232.03250917542471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62.109182701676218</v>
      </c>
      <c r="HH120" s="21">
        <f>EXP(-LN(2)/25)*HH119+(1-EXP(-LN(2)/25))/(LN(2)/25)*Calculateur!HC120*Calculateur!HE120*VLOOKUP('Données projet'!$B$18,Paramètres!$A$1:$I$89,3,0)*0.475*44/12</f>
        <v>2.79386031080021</v>
      </c>
      <c r="HI120" s="21">
        <f>EXP(-LN(2)/2)*HI119+(1-EXP(-LN(2)/2))/(LN(2)/2)*HC120*HF120*VLOOKUP('Données projet'!$B$18,Paramètres!$A$1:$I$89,3,0)*0.475*44/12</f>
        <v>6.0197506509718226E-14</v>
      </c>
      <c r="HJ120" s="22">
        <f t="shared" si="84"/>
        <v>64.903043012476488</v>
      </c>
    </row>
    <row r="121" spans="1:218" x14ac:dyDescent="0.3">
      <c r="A121" s="10">
        <f t="shared" si="85"/>
        <v>118</v>
      </c>
      <c r="B121" s="71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5">
        <f t="shared" si="56"/>
        <v>420.65606131868589</v>
      </c>
      <c r="I121" s="6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266.99999999999983</v>
      </c>
      <c r="O121" s="13">
        <f>N121*VLOOKUP('Données projet'!$B$9,Paramètres!$A$1:$I$89,3,0)*VLOOKUP('Données projet'!$B$9,Paramètres!$A$1:$I$89,5,0)</f>
        <v>212.42519999999985</v>
      </c>
      <c r="P121" s="13">
        <f t="shared" si="87"/>
        <v>52.465198231787184</v>
      </c>
      <c r="Q121" s="20">
        <f t="shared" si="107"/>
        <v>461.35077692036231</v>
      </c>
      <c r="R121" s="59">
        <f t="shared" si="55"/>
        <v>754.68411025369562</v>
      </c>
      <c r="S121" s="59">
        <f ca="1">AVERAGE(OFFSET($R$3,0,0,'Données projet'!$E$9+1,1))-AVERAGE(OFFSET($H$3,0,0,'Données projet'!$E$9+1,1))</f>
        <v>225.2323446080772</v>
      </c>
      <c r="T121" s="59">
        <f t="shared" si="88"/>
        <v>222.29030402759292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20.442067684773832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20.442067684773832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732.99999999999966</v>
      </c>
      <c r="AJ121" s="13">
        <f>AI121*VLOOKUP('Données projet'!$B$10,Paramètres!$A$1:$I$89,3,0)*VLOOKUP('Données projet'!$B$10,Paramètres!$A$1:$I$89,5,0)</f>
        <v>362.1019999999998</v>
      </c>
      <c r="AK121" s="13">
        <f t="shared" si="89"/>
        <v>84.049487364732272</v>
      </c>
      <c r="AL121" s="20">
        <f t="shared" si="58"/>
        <v>777.04717382690842</v>
      </c>
      <c r="AM121" s="59">
        <f t="shared" si="59"/>
        <v>1070.3805071602417</v>
      </c>
      <c r="AN121" s="59">
        <f ca="1">AVERAGE(OFFSET($AM$3,0,0,'Données projet'!$E$10+1,1))-AVERAGE(OFFSET($H$3,0,0,'Données projet'!$E$10+1,1))</f>
        <v>360.05819346986135</v>
      </c>
      <c r="AO121" s="59">
        <f t="shared" si="90"/>
        <v>300.47468388351081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61.216722354394101</v>
      </c>
      <c r="AV121" s="21">
        <f>EXP(-LN(2)/25)*AV120+(1-EXP(-LN(2)/25))/(LN(2)/25)*Calculateur!AQ121*Calculateur!AS121*VLOOKUP('Données projet'!$B$10,Paramètres!$A$1:$I$89,3,0)*0.475*44/12</f>
        <v>3.687984215706734</v>
      </c>
      <c r="AW121" s="21">
        <f>EXP(-LN(2)/2)*AW120+(1-EXP(-LN(2)/2))/(LN(2)/2)*AQ121*AT121*VLOOKUP('Données projet'!$B$10,Paramètres!$A$1:$I$89,3,0)*0.475*44/12</f>
        <v>2.9806704037124775E-15</v>
      </c>
      <c r="AX121" s="21">
        <f t="shared" si="60"/>
        <v>64.904706570100828</v>
      </c>
      <c r="AY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465.00000000000006</v>
      </c>
      <c r="BE121" s="13">
        <f>BD121*VLOOKUP('Données projet'!$B$11,Paramètres!$A$1:$I$89,3,0)*VLOOKUP('Données projet'!$B$11,Paramètres!$A$1:$I$89,5,0)</f>
        <v>265.98</v>
      </c>
      <c r="BF121" s="13">
        <f t="shared" si="91"/>
        <v>63.995380422211589</v>
      </c>
      <c r="BG121" s="20">
        <f t="shared" si="61"/>
        <v>574.70712090201857</v>
      </c>
      <c r="BH121" s="59">
        <f t="shared" si="62"/>
        <v>868.04045423535194</v>
      </c>
      <c r="BI121" s="59">
        <f ca="1">AVERAGE(OFFSET($BH$3,0,0,'Données projet'!$E$11+1,1))-AVERAGE(OFFSET($H$3,0,0,'Données projet'!$E$11+1,1))</f>
        <v>250.90038883668348</v>
      </c>
      <c r="BJ121" s="59">
        <f t="shared" si="92"/>
        <v>141.96132114475608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46.884963944854853</v>
      </c>
      <c r="BQ121" s="21">
        <f>EXP(-LN(2)/25)*BQ120+(1-EXP(-LN(2)/25))/(LN(2)/25)*Calculateur!BL121*Calculateur!BN121*VLOOKUP('Données projet'!$B$11,Paramètres!$A$1:$I$89,3,0)*0.475*44/12</f>
        <v>1.0376861027674305</v>
      </c>
      <c r="BR121" s="21">
        <f>EXP(-LN(2)/2)*BR120+(1-EXP(-LN(2)/2))/(LN(2)/2)*BL121*BO121*VLOOKUP('Données projet'!$B$11,Paramètres!$A$1:$I$89,3,0)*0.475*44/12</f>
        <v>2.1475867187250922E-13</v>
      </c>
      <c r="BS121" s="22">
        <f t="shared" si="63"/>
        <v>47.922650047622497</v>
      </c>
      <c r="BT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319</v>
      </c>
      <c r="BZ121" s="13">
        <f>BY121*VLOOKUP('Données projet'!$B$12,Paramètres!$A$1:$I$89,3,0)*VLOOKUP('Données projet'!$B$12,Paramètres!$A$1:$I$89,5,0)</f>
        <v>253.79640000000001</v>
      </c>
      <c r="CA121" s="13">
        <f t="shared" si="93"/>
        <v>61.39816832228076</v>
      </c>
      <c r="CB121" s="20">
        <f t="shared" si="64"/>
        <v>548.96387316130563</v>
      </c>
      <c r="CC121" s="59">
        <f t="shared" si="65"/>
        <v>842.29720649463889</v>
      </c>
      <c r="CD121" s="59">
        <f ca="1">AVERAGE(OFFSET($CC$3,0,0,'Données projet'!$E$12+1,1))-AVERAGE(OFFSET($H$3,0,0,'Données projet'!$E$12+1,1))</f>
        <v>279.49721661620544</v>
      </c>
      <c r="CE121" s="59">
        <f t="shared" si="94"/>
        <v>275.18739333988754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25.050690330679316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25.050690330679316</v>
      </c>
      <c r="CO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789</v>
      </c>
      <c r="CU121" s="17">
        <f>CT121*VLOOKUP('Données projet'!$B$13,Paramètres!$A$1:$I$89,3,0)*VLOOKUP('Données projet'!$B$13,Paramètres!$A$1:$I$89,5,0)</f>
        <v>389.76600000000002</v>
      </c>
      <c r="CV121" s="13">
        <f t="shared" si="95"/>
        <v>89.698759503620408</v>
      </c>
      <c r="CW121" s="20">
        <f t="shared" si="67"/>
        <v>835.06778946880547</v>
      </c>
      <c r="CX121" s="59">
        <f t="shared" si="68"/>
        <v>1128.4011228021388</v>
      </c>
      <c r="CY121" s="59">
        <f ca="1">AVERAGE(OFFSET($CX$3,0,0,'Données projet'!$E$13+1,1))-AVERAGE(OFFSET($H$3,0,0,'Données projet'!$E$13+1,1))</f>
        <v>396.27049617044378</v>
      </c>
      <c r="CZ121" s="59">
        <f t="shared" si="96"/>
        <v>335.2680289568774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67.907470502133492</v>
      </c>
      <c r="DG121" s="21">
        <f>EXP(-LN(2)/25)*DG120+(1-EXP(-LN(2)/25))/(LN(2)/25)*Calculateur!DB121*Calculateur!DD121*VLOOKUP('Données projet'!$B$13,Paramètres!$A$1:$I$89,3,0)*0.475*44/12</f>
        <v>4.0977602396741508</v>
      </c>
      <c r="DH121" s="21">
        <f>EXP(-LN(2)/2)*DH120+(1-EXP(-LN(2)/2))/(LN(2)/2)*DB121*DE121*VLOOKUP('Données projet'!$B$13,Paramètres!$A$1:$I$89,3,0)*0.475*44/12</f>
        <v>2.1858249627224849E-14</v>
      </c>
      <c r="DI121" s="22">
        <f t="shared" si="69"/>
        <v>72.005230741807665</v>
      </c>
      <c r="DJ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541.99999999999989</v>
      </c>
      <c r="DP121" s="17">
        <f>DO121*VLOOKUP('Données projet'!$B$14,Paramètres!$A$1:$I$89,3,0)*VLOOKUP('Données projet'!$B$14,Paramètres!$A$1:$I$89,5,0)</f>
        <v>310.02399999999994</v>
      </c>
      <c r="DQ121" s="13">
        <f t="shared" si="97"/>
        <v>73.27384230442388</v>
      </c>
      <c r="DR121" s="20">
        <f t="shared" si="70"/>
        <v>667.57707534687154</v>
      </c>
      <c r="DS121" s="59">
        <f t="shared" si="71"/>
        <v>960.91040868020491</v>
      </c>
      <c r="DT121" s="59">
        <f ca="1">AVERAGE(OFFSET($DS$3,0,0,'Données projet'!$E$14+1,1))-AVERAGE(OFFSET($H$3,0,0,'Données projet'!$E$14+1,1))</f>
        <v>307.43900954374504</v>
      </c>
      <c r="DU121" s="59">
        <f t="shared" si="98"/>
        <v>185.25270859048999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53.996216863316455</v>
      </c>
      <c r="EB121" s="21">
        <f>EXP(-LN(2)/25)*EB120+(1-EXP(-LN(2)/25))/(LN(2)/25)*Calculateur!DW121*Calculateur!DY121*VLOOKUP('Données projet'!$B$14,Paramètres!$A$1:$I$89,3,0)*0.475*44/12</f>
        <v>2.3292531888674111</v>
      </c>
      <c r="EC121" s="21">
        <f>EXP(-LN(2)/2)*EC120+(1-EXP(-LN(2)/2))/(LN(2)/2)*DW121*DZ121*VLOOKUP('Données projet'!$B$14,Paramètres!$A$1:$I$89,3,0)*0.475*44/12</f>
        <v>2.0707815436318269E-14</v>
      </c>
      <c r="ED121" s="22">
        <f t="shared" si="72"/>
        <v>56.325470052183888</v>
      </c>
      <c r="EE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401</v>
      </c>
      <c r="EK121" s="17">
        <f>EJ121*VLOOKUP('Données projet'!$B$15,Paramètres!$A$1:$I$89,3,0)*VLOOKUP('Données projet'!$B$15,Paramètres!$A$1:$I$89,5,0)</f>
        <v>250.22399999999999</v>
      </c>
      <c r="EL121" s="13">
        <f t="shared" si="99"/>
        <v>60.633904580527918</v>
      </c>
      <c r="EM121" s="20">
        <f t="shared" si="73"/>
        <v>541.41085047775289</v>
      </c>
      <c r="EN121" s="59">
        <f t="shared" si="74"/>
        <v>834.74418381108626</v>
      </c>
      <c r="EO121" s="59">
        <f ca="1">AVERAGE(OFFSET($EN$3,0,0,'Données projet'!$E$15+1,1))-AVERAGE(OFFSET($H$3,0,0,'Données projet'!$E$15+1,1))</f>
        <v>269.77739619445515</v>
      </c>
      <c r="EP121" s="59">
        <f t="shared" si="100"/>
        <v>347.56964743629885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24.280426316985015</v>
      </c>
      <c r="EW121" s="21">
        <f>EXP(-LN(2)/25)*EW120+(1-EXP(-LN(2)/25))/(LN(2)/25)*Calculateur!ER121*Calculateur!ET121*VLOOKUP('Données projet'!$B$15,Paramètres!$A$1:$I$89,3,0)*0.475*44/12</f>
        <v>7.9973025734485619</v>
      </c>
      <c r="EX121" s="21">
        <f>EXP(-LN(2)/2)*EX120+(1-EXP(-LN(2)/2))/(LN(2)/2)*ER121*EU121*VLOOKUP('Données projet'!$B$15,Paramètres!$A$1:$I$89,3,0)*0.475*44/12</f>
        <v>1.4118965070217004E-15</v>
      </c>
      <c r="EY121" s="22">
        <f t="shared" si="75"/>
        <v>32.277728890433579</v>
      </c>
      <c r="EZ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367.99999999999972</v>
      </c>
      <c r="FF121" s="17">
        <f>FE121*VLOOKUP('Données projet'!$B$16,Paramètres!$A$1:$I$89,3,0)*VLOOKUP('Données projet'!$B$16,Paramètres!$A$1:$I$89,5,0)</f>
        <v>292.78079999999977</v>
      </c>
      <c r="FG121" s="13">
        <f t="shared" si="101"/>
        <v>69.660903052386217</v>
      </c>
      <c r="FH121" s="20">
        <f t="shared" si="76"/>
        <v>631.25263281623893</v>
      </c>
      <c r="FI121" s="59">
        <f t="shared" si="77"/>
        <v>924.58596614957219</v>
      </c>
      <c r="FJ121" s="59">
        <f ca="1">AVERAGE(OFFSET($FI$3,0,0,'Données projet'!$E$16+1,1))-AVERAGE(OFFSET($H$3,0,0,'Données projet'!$E$16+1,1))</f>
        <v>331.52724290297675</v>
      </c>
      <c r="FK121" s="59">
        <f t="shared" si="102"/>
        <v>322.79102610158054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29.038792303576496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29.038792303576496</v>
      </c>
      <c r="FU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852.00000000000011</v>
      </c>
      <c r="GA121" s="17">
        <f>FZ121*VLOOKUP('Données projet'!$B$17,Paramètres!$A$1:$I$89,3,0)*VLOOKUP('Données projet'!$B$17,Paramètres!$A$1:$I$89,5,0)</f>
        <v>420.88800000000009</v>
      </c>
      <c r="GB121" s="13">
        <f t="shared" si="103"/>
        <v>95.998759891259041</v>
      </c>
      <c r="GC121" s="20">
        <f t="shared" si="79"/>
        <v>900.24444014394294</v>
      </c>
      <c r="GD121" s="59">
        <f t="shared" si="80"/>
        <v>1193.5777734772762</v>
      </c>
      <c r="GE121" s="59">
        <f ca="1">AVERAGE(OFFSET($GD$3,0,0,'Données projet'!$E$17+1,1))-AVERAGE(OFFSET($H$3,0,0,'Données projet'!$E$17+1,1))</f>
        <v>434.08297999735811</v>
      </c>
      <c r="GF121" s="59">
        <f t="shared" si="104"/>
        <v>371.04090283546122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74.921846102650207</v>
      </c>
      <c r="GM121" s="21">
        <f>EXP(-LN(2)/25)*GM120+(1-EXP(-LN(2)/25))/(LN(2)/25)*Calculateur!GH121*Calculateur!GJ121*VLOOKUP('Données projet'!$B$17,Paramètres!$A$1:$I$89,3,0)*0.475*44/12</f>
        <v>4.507536263641569</v>
      </c>
      <c r="GN121" s="21">
        <f>EXP(-LN(2)/2)*GN120+(1-EXP(-LN(2)/2))/(LN(2)/2)*GH121*GK121*VLOOKUP('Données projet'!$B$17,Paramètres!$A$1:$I$89,3,0)*0.475*44/12</f>
        <v>4.2722942453212184E-14</v>
      </c>
      <c r="GO121" s="21">
        <f t="shared" si="81"/>
        <v>79.429382366291819</v>
      </c>
      <c r="GP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614.99999999999989</v>
      </c>
      <c r="GV121" s="17">
        <f>GU121*VLOOKUP('Données projet'!$B$18,Paramètres!$A$1:$I$89,3,0)*VLOOKUP('Données projet'!$B$18,Paramètres!$A$1:$I$89,5,0)</f>
        <v>351.78</v>
      </c>
      <c r="GW121" s="13">
        <f t="shared" si="105"/>
        <v>81.92892344316067</v>
      </c>
      <c r="GX121" s="20">
        <f t="shared" si="82"/>
        <v>755.37637499683808</v>
      </c>
      <c r="GY121" s="59">
        <f t="shared" si="83"/>
        <v>1048.7097083301715</v>
      </c>
      <c r="GZ121" s="59">
        <f ca="1">AVERAGE(OFFSET($GY$3,0,0,'Données projet'!$E$18+1,1))-AVERAGE(OFFSET($H$3,0,0,'Données projet'!$E$18+1,1))</f>
        <v>362.57172983134313</v>
      </c>
      <c r="HA121" s="59">
        <f t="shared" si="106"/>
        <v>232.03250917542471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60.891259511757177</v>
      </c>
      <c r="HH121" s="21">
        <f>EXP(-LN(2)/25)*HH120+(1-EXP(-LN(2)/25))/(LN(2)/25)*Calculateur!HC121*Calculateur!HE121*VLOOKUP('Données projet'!$B$18,Paramètres!$A$1:$I$89,3,0)*0.475*44/12</f>
        <v>2.7174620536786498</v>
      </c>
      <c r="HI121" s="21">
        <f>EXP(-LN(2)/2)*HI120+(1-EXP(-LN(2)/2))/(LN(2)/2)*HC121*HF121*VLOOKUP('Données projet'!$B$18,Paramètres!$A$1:$I$89,3,0)*0.475*44/12</f>
        <v>4.2566065063543097E-14</v>
      </c>
      <c r="HJ121" s="22">
        <f t="shared" si="84"/>
        <v>63.608721565435872</v>
      </c>
    </row>
    <row r="122" spans="1:218" x14ac:dyDescent="0.3">
      <c r="A122" s="10">
        <f t="shared" si="85"/>
        <v>119</v>
      </c>
      <c r="B122" s="71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5">
        <f t="shared" si="56"/>
        <v>421.70687948469367</v>
      </c>
      <c r="I122" s="6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266.99999999999983</v>
      </c>
      <c r="O122" s="13">
        <f>N122*VLOOKUP('Données projet'!$B$9,Paramètres!$A$1:$I$89,3,0)*VLOOKUP('Données projet'!$B$9,Paramètres!$A$1:$I$89,5,0)</f>
        <v>212.42519999999985</v>
      </c>
      <c r="P122" s="13">
        <f t="shared" si="87"/>
        <v>52.465198231787184</v>
      </c>
      <c r="Q122" s="20">
        <f t="shared" si="107"/>
        <v>461.35077692036231</v>
      </c>
      <c r="R122" s="59">
        <f t="shared" si="55"/>
        <v>754.68411025369562</v>
      </c>
      <c r="S122" s="59">
        <f ca="1">AVERAGE(OFFSET($R$3,0,0,'Données projet'!$E$9+1,1))-AVERAGE(OFFSET($H$3,0,0,'Données projet'!$E$9+1,1))</f>
        <v>225.2323446080772</v>
      </c>
      <c r="T122" s="59">
        <f t="shared" si="88"/>
        <v>222.29030402759292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20.041211205905551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20.041211205905551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732.99999999999966</v>
      </c>
      <c r="AJ122" s="13">
        <f>AI122*VLOOKUP('Données projet'!$B$10,Paramètres!$A$1:$I$89,3,0)*VLOOKUP('Données projet'!$B$10,Paramètres!$A$1:$I$89,5,0)</f>
        <v>362.1019999999998</v>
      </c>
      <c r="AK122" s="13">
        <f t="shared" si="89"/>
        <v>84.049487364732272</v>
      </c>
      <c r="AL122" s="20">
        <f t="shared" si="58"/>
        <v>777.04717382690842</v>
      </c>
      <c r="AM122" s="59">
        <f t="shared" si="59"/>
        <v>1070.3805071602417</v>
      </c>
      <c r="AN122" s="59">
        <f ca="1">AVERAGE(OFFSET($AM$3,0,0,'Données projet'!$E$10+1,1))-AVERAGE(OFFSET($H$3,0,0,'Données projet'!$E$10+1,1))</f>
        <v>360.05819346986135</v>
      </c>
      <c r="AO122" s="59">
        <f t="shared" si="90"/>
        <v>300.47468388351081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60.016299767538193</v>
      </c>
      <c r="AV122" s="21">
        <f>EXP(-LN(2)/25)*AV121+(1-EXP(-LN(2)/25))/(LN(2)/25)*Calculateur!AQ122*Calculateur!AS122*VLOOKUP('Données projet'!$B$10,Paramètres!$A$1:$I$89,3,0)*0.475*44/12</f>
        <v>3.5871360933855723</v>
      </c>
      <c r="AW122" s="21">
        <f>EXP(-LN(2)/2)*AW121+(1-EXP(-LN(2)/2))/(LN(2)/2)*AQ122*AT122*VLOOKUP('Données projet'!$B$10,Paramètres!$A$1:$I$89,3,0)*0.475*44/12</f>
        <v>2.1076522549471371E-15</v>
      </c>
      <c r="AX122" s="21">
        <f t="shared" si="60"/>
        <v>63.603435860923767</v>
      </c>
      <c r="AY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465.00000000000006</v>
      </c>
      <c r="BE122" s="13">
        <f>BD122*VLOOKUP('Données projet'!$B$11,Paramètres!$A$1:$I$89,3,0)*VLOOKUP('Données projet'!$B$11,Paramètres!$A$1:$I$89,5,0)</f>
        <v>265.98</v>
      </c>
      <c r="BF122" s="13">
        <f t="shared" si="91"/>
        <v>63.995380422211589</v>
      </c>
      <c r="BG122" s="20">
        <f t="shared" si="61"/>
        <v>574.70712090201857</v>
      </c>
      <c r="BH122" s="59">
        <f t="shared" si="62"/>
        <v>868.04045423535194</v>
      </c>
      <c r="BI122" s="59">
        <f ca="1">AVERAGE(OFFSET($BH$3,0,0,'Données projet'!$E$11+1,1))-AVERAGE(OFFSET($H$3,0,0,'Données projet'!$E$11+1,1))</f>
        <v>250.90038883668348</v>
      </c>
      <c r="BJ122" s="59">
        <f t="shared" si="92"/>
        <v>141.96132114475608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45.965578398900533</v>
      </c>
      <c r="BQ122" s="21">
        <f>EXP(-LN(2)/25)*BQ121+(1-EXP(-LN(2)/25))/(LN(2)/25)*Calculateur!BL122*Calculateur!BN122*VLOOKUP('Données projet'!$B$11,Paramètres!$A$1:$I$89,3,0)*0.475*44/12</f>
        <v>1.0093105217177145</v>
      </c>
      <c r="BR122" s="21">
        <f>EXP(-LN(2)/2)*BR121+(1-EXP(-LN(2)/2))/(LN(2)/2)*BL122*BO122*VLOOKUP('Données projet'!$B$11,Paramètres!$A$1:$I$89,3,0)*0.475*44/12</f>
        <v>1.5185731319966793E-13</v>
      </c>
      <c r="BS122" s="22">
        <f t="shared" si="63"/>
        <v>46.974888920618397</v>
      </c>
      <c r="BT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319</v>
      </c>
      <c r="BZ122" s="13">
        <f>BY122*VLOOKUP('Données projet'!$B$12,Paramètres!$A$1:$I$89,3,0)*VLOOKUP('Données projet'!$B$12,Paramètres!$A$1:$I$89,5,0)</f>
        <v>253.79640000000001</v>
      </c>
      <c r="CA122" s="13">
        <f t="shared" si="93"/>
        <v>61.39816832228076</v>
      </c>
      <c r="CB122" s="20">
        <f t="shared" si="64"/>
        <v>548.96387316130563</v>
      </c>
      <c r="CC122" s="59">
        <f t="shared" si="65"/>
        <v>842.29720649463889</v>
      </c>
      <c r="CD122" s="59">
        <f ca="1">AVERAGE(OFFSET($CC$3,0,0,'Données projet'!$E$12+1,1))-AVERAGE(OFFSET($H$3,0,0,'Données projet'!$E$12+1,1))</f>
        <v>279.49721661620544</v>
      </c>
      <c r="CE122" s="59">
        <f t="shared" si="94"/>
        <v>275.18739333988754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24.559461572707079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24.559461572707079</v>
      </c>
      <c r="CO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789</v>
      </c>
      <c r="CU122" s="17">
        <f>CT122*VLOOKUP('Données projet'!$B$13,Paramètres!$A$1:$I$89,3,0)*VLOOKUP('Données projet'!$B$13,Paramètres!$A$1:$I$89,5,0)</f>
        <v>389.76600000000002</v>
      </c>
      <c r="CV122" s="13">
        <f t="shared" si="95"/>
        <v>89.698759503620408</v>
      </c>
      <c r="CW122" s="20">
        <f t="shared" si="67"/>
        <v>835.06778946880547</v>
      </c>
      <c r="CX122" s="59">
        <f t="shared" si="68"/>
        <v>1128.4011228021388</v>
      </c>
      <c r="CY122" s="59">
        <f ca="1">AVERAGE(OFFSET($CX$3,0,0,'Données projet'!$E$13+1,1))-AVERAGE(OFFSET($H$3,0,0,'Données projet'!$E$13+1,1))</f>
        <v>396.27049617044378</v>
      </c>
      <c r="CZ122" s="59">
        <f t="shared" si="96"/>
        <v>335.2680289568774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66.575846425053825</v>
      </c>
      <c r="DG122" s="21">
        <f>EXP(-LN(2)/25)*DG121+(1-EXP(-LN(2)/25))/(LN(2)/25)*Calculateur!DB122*Calculateur!DD122*VLOOKUP('Données projet'!$B$13,Paramètres!$A$1:$I$89,3,0)*0.475*44/12</f>
        <v>3.9857067704284157</v>
      </c>
      <c r="DH122" s="21">
        <f>EXP(-LN(2)/2)*DH121+(1-EXP(-LN(2)/2))/(LN(2)/2)*DB122*DE122*VLOOKUP('Données projet'!$B$13,Paramètres!$A$1:$I$89,3,0)*0.475*44/12</f>
        <v>1.5456116536279016E-14</v>
      </c>
      <c r="DI122" s="22">
        <f t="shared" si="69"/>
        <v>70.561553195482261</v>
      </c>
      <c r="DJ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541.99999999999989</v>
      </c>
      <c r="DP122" s="17">
        <f>DO122*VLOOKUP('Données projet'!$B$14,Paramètres!$A$1:$I$89,3,0)*VLOOKUP('Données projet'!$B$14,Paramètres!$A$1:$I$89,5,0)</f>
        <v>310.02399999999994</v>
      </c>
      <c r="DQ122" s="13">
        <f t="shared" si="97"/>
        <v>73.27384230442388</v>
      </c>
      <c r="DR122" s="20">
        <f t="shared" si="70"/>
        <v>667.57707534687154</v>
      </c>
      <c r="DS122" s="59">
        <f t="shared" si="71"/>
        <v>960.91040868020491</v>
      </c>
      <c r="DT122" s="59">
        <f ca="1">AVERAGE(OFFSET($DS$3,0,0,'Données projet'!$E$14+1,1))-AVERAGE(OFFSET($H$3,0,0,'Données projet'!$E$14+1,1))</f>
        <v>307.43900954374504</v>
      </c>
      <c r="DU122" s="59">
        <f t="shared" si="98"/>
        <v>185.25270859048999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52.9373839850671</v>
      </c>
      <c r="EB122" s="21">
        <f>EXP(-LN(2)/25)*EB121+(1-EXP(-LN(2)/25))/(LN(2)/25)*Calculateur!DW122*Calculateur!DY122*VLOOKUP('Données projet'!$B$14,Paramètres!$A$1:$I$89,3,0)*0.475*44/12</f>
        <v>2.2655596379277303</v>
      </c>
      <c r="EC122" s="21">
        <f>EXP(-LN(2)/2)*EC121+(1-EXP(-LN(2)/2))/(LN(2)/2)*DW122*DZ122*VLOOKUP('Données projet'!$B$14,Paramètres!$A$1:$I$89,3,0)*0.475*44/12</f>
        <v>1.4642636718580113E-14</v>
      </c>
      <c r="ED122" s="22">
        <f t="shared" si="72"/>
        <v>55.202943622994844</v>
      </c>
      <c r="EE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401</v>
      </c>
      <c r="EK122" s="17">
        <f>EJ122*VLOOKUP('Données projet'!$B$15,Paramètres!$A$1:$I$89,3,0)*VLOOKUP('Données projet'!$B$15,Paramètres!$A$1:$I$89,5,0)</f>
        <v>250.22399999999999</v>
      </c>
      <c r="EL122" s="13">
        <f t="shared" si="99"/>
        <v>60.633904580527918</v>
      </c>
      <c r="EM122" s="20">
        <f t="shared" si="73"/>
        <v>541.41085047775289</v>
      </c>
      <c r="EN122" s="59">
        <f t="shared" si="74"/>
        <v>834.74418381108626</v>
      </c>
      <c r="EO122" s="59">
        <f ca="1">AVERAGE(OFFSET($EN$3,0,0,'Données projet'!$E$15+1,1))-AVERAGE(OFFSET($H$3,0,0,'Données projet'!$E$15+1,1))</f>
        <v>269.77739619445515</v>
      </c>
      <c r="EP122" s="59">
        <f t="shared" si="100"/>
        <v>347.56964743629885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23.804301966506664</v>
      </c>
      <c r="EW122" s="21">
        <f>EXP(-LN(2)/25)*EW121+(1-EXP(-LN(2)/25))/(LN(2)/25)*Calculateur!ER122*Calculateur!ET122*VLOOKUP('Données projet'!$B$15,Paramètres!$A$1:$I$89,3,0)*0.475*44/12</f>
        <v>7.7786159140177471</v>
      </c>
      <c r="EX122" s="21">
        <f>EXP(-LN(2)/2)*EX121+(1-EXP(-LN(2)/2))/(LN(2)/2)*ER122*EU122*VLOOKUP('Données projet'!$B$15,Paramètres!$A$1:$I$89,3,0)*0.475*44/12</f>
        <v>9.9836159444864423E-16</v>
      </c>
      <c r="EY122" s="22">
        <f t="shared" si="75"/>
        <v>31.582917880524413</v>
      </c>
      <c r="EZ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367.99999999999972</v>
      </c>
      <c r="FF122" s="17">
        <f>FE122*VLOOKUP('Données projet'!$B$16,Paramètres!$A$1:$I$89,3,0)*VLOOKUP('Données projet'!$B$16,Paramètres!$A$1:$I$89,5,0)</f>
        <v>292.78079999999977</v>
      </c>
      <c r="FG122" s="13">
        <f t="shared" si="101"/>
        <v>69.660903052386217</v>
      </c>
      <c r="FH122" s="20">
        <f t="shared" si="76"/>
        <v>631.25263281623893</v>
      </c>
      <c r="FI122" s="59">
        <f t="shared" si="77"/>
        <v>924.58596614957219</v>
      </c>
      <c r="FJ122" s="59">
        <f ca="1">AVERAGE(OFFSET($FI$3,0,0,'Données projet'!$E$16+1,1))-AVERAGE(OFFSET($H$3,0,0,'Données projet'!$E$16+1,1))</f>
        <v>331.52724290297675</v>
      </c>
      <c r="FK122" s="59">
        <f t="shared" si="102"/>
        <v>322.79102610158054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28.469359298417761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28.469359298417761</v>
      </c>
      <c r="FU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852.00000000000011</v>
      </c>
      <c r="GA122" s="17">
        <f>FZ122*VLOOKUP('Données projet'!$B$17,Paramètres!$A$1:$I$89,3,0)*VLOOKUP('Données projet'!$B$17,Paramètres!$A$1:$I$89,5,0)</f>
        <v>420.88800000000009</v>
      </c>
      <c r="GB122" s="13">
        <f t="shared" si="103"/>
        <v>95.998759891259041</v>
      </c>
      <c r="GC122" s="20">
        <f t="shared" si="79"/>
        <v>900.24444014394294</v>
      </c>
      <c r="GD122" s="59">
        <f t="shared" si="80"/>
        <v>1193.5777734772762</v>
      </c>
      <c r="GE122" s="59">
        <f ca="1">AVERAGE(OFFSET($GD$3,0,0,'Données projet'!$E$17+1,1))-AVERAGE(OFFSET($H$3,0,0,'Données projet'!$E$17+1,1))</f>
        <v>434.08297999735811</v>
      </c>
      <c r="GF122" s="59">
        <f t="shared" si="104"/>
        <v>371.04090283546122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73.452674398391068</v>
      </c>
      <c r="GM122" s="21">
        <f>EXP(-LN(2)/25)*GM121+(1-EXP(-LN(2)/25))/(LN(2)/25)*Calculateur!GH122*Calculateur!GJ122*VLOOKUP('Données projet'!$B$17,Paramètres!$A$1:$I$89,3,0)*0.475*44/12</f>
        <v>4.38427744747126</v>
      </c>
      <c r="GN122" s="21">
        <f>EXP(-LN(2)/2)*GN121+(1-EXP(-LN(2)/2))/(LN(2)/2)*GH122*GK122*VLOOKUP('Données projet'!$B$17,Paramètres!$A$1:$I$89,3,0)*0.475*44/12</f>
        <v>3.0209682320908968E-14</v>
      </c>
      <c r="GO122" s="21">
        <f t="shared" si="81"/>
        <v>77.836951845862359</v>
      </c>
      <c r="GP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614.99999999999989</v>
      </c>
      <c r="GV122" s="17">
        <f>GU122*VLOOKUP('Données projet'!$B$18,Paramètres!$A$1:$I$89,3,0)*VLOOKUP('Données projet'!$B$18,Paramètres!$A$1:$I$89,5,0)</f>
        <v>351.78</v>
      </c>
      <c r="GW122" s="13">
        <f t="shared" si="105"/>
        <v>81.92892344316067</v>
      </c>
      <c r="GX122" s="20">
        <f t="shared" si="82"/>
        <v>755.37637499683808</v>
      </c>
      <c r="GY122" s="59">
        <f t="shared" si="83"/>
        <v>1048.7097083301715</v>
      </c>
      <c r="GZ122" s="59">
        <f ca="1">AVERAGE(OFFSET($GY$3,0,0,'Données projet'!$E$18+1,1))-AVERAGE(OFFSET($H$3,0,0,'Données projet'!$E$18+1,1))</f>
        <v>362.57172983134313</v>
      </c>
      <c r="HA122" s="59">
        <f t="shared" si="106"/>
        <v>232.03250917542471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59.697219052732649</v>
      </c>
      <c r="HH122" s="21">
        <f>EXP(-LN(2)/25)*HH121+(1-EXP(-LN(2)/25))/(LN(2)/25)*Calculateur!HC122*Calculateur!HE122*VLOOKUP('Données projet'!$B$18,Paramètres!$A$1:$I$89,3,0)*0.475*44/12</f>
        <v>2.6431529109156884</v>
      </c>
      <c r="HI122" s="21">
        <f>EXP(-LN(2)/2)*HI121+(1-EXP(-LN(2)/2))/(LN(2)/2)*HC122*HF122*VLOOKUP('Données projet'!$B$18,Paramètres!$A$1:$I$89,3,0)*0.475*44/12</f>
        <v>3.0098753254859113E-14</v>
      </c>
      <c r="HJ122" s="22">
        <f t="shared" si="84"/>
        <v>62.340371963648366</v>
      </c>
    </row>
    <row r="123" spans="1:218" x14ac:dyDescent="0.3">
      <c r="A123" s="10">
        <f t="shared" si="85"/>
        <v>120</v>
      </c>
      <c r="B123" s="71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5">
        <f t="shared" si="56"/>
        <v>422.75748932896221</v>
      </c>
      <c r="I123" s="6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266.99999999999983</v>
      </c>
      <c r="O123" s="13">
        <f>N123*VLOOKUP('Données projet'!$B$9,Paramètres!$A$1:$I$89,3,0)*VLOOKUP('Données projet'!$B$9,Paramètres!$A$1:$I$89,5,0)</f>
        <v>212.42519999999985</v>
      </c>
      <c r="P123" s="13">
        <f t="shared" si="87"/>
        <v>52.465198231787184</v>
      </c>
      <c r="Q123" s="20">
        <f t="shared" si="107"/>
        <v>461.35077692036231</v>
      </c>
      <c r="R123" s="59">
        <f t="shared" si="55"/>
        <v>754.68411025369562</v>
      </c>
      <c r="S123" s="59">
        <f ca="1">AVERAGE(OFFSET($R$3,0,0,'Données projet'!$E$9+1,1))-AVERAGE(OFFSET($H$3,0,0,'Données projet'!$E$9+1,1))</f>
        <v>225.2323446080772</v>
      </c>
      <c r="T123" s="59">
        <f t="shared" si="88"/>
        <v>222.29030402759292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19.648215278089566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19.648215278089566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732.99999999999966</v>
      </c>
      <c r="AJ123" s="13">
        <f>AI123*VLOOKUP('Données projet'!$B$10,Paramètres!$A$1:$I$89,3,0)*VLOOKUP('Données projet'!$B$10,Paramètres!$A$1:$I$89,5,0)</f>
        <v>362.1019999999998</v>
      </c>
      <c r="AK123" s="13">
        <f t="shared" si="89"/>
        <v>84.049487364732272</v>
      </c>
      <c r="AL123" s="20">
        <f t="shared" si="58"/>
        <v>777.04717382690842</v>
      </c>
      <c r="AM123" s="59">
        <f t="shared" si="59"/>
        <v>1070.3805071602417</v>
      </c>
      <c r="AN123" s="59">
        <f ca="1">AVERAGE(OFFSET($AM$3,0,0,'Données projet'!$E$10+1,1))-AVERAGE(OFFSET($H$3,0,0,'Données projet'!$E$10+1,1))</f>
        <v>360.05819346986135</v>
      </c>
      <c r="AO123" s="59">
        <f t="shared" si="90"/>
        <v>300.47468388351081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58.839416735425054</v>
      </c>
      <c r="AV123" s="21">
        <f>EXP(-LN(2)/25)*AV122+(1-EXP(-LN(2)/25))/(LN(2)/25)*Calculateur!AQ123*Calculateur!AS123*VLOOKUP('Données projet'!$B$10,Paramètres!$A$1:$I$89,3,0)*0.475*44/12</f>
        <v>3.4890456682726549</v>
      </c>
      <c r="AW123" s="21">
        <f>EXP(-LN(2)/2)*AW122+(1-EXP(-LN(2)/2))/(LN(2)/2)*AQ123*AT123*VLOOKUP('Données projet'!$B$10,Paramètres!$A$1:$I$89,3,0)*0.475*44/12</f>
        <v>1.4903352018562388E-15</v>
      </c>
      <c r="AX123" s="21">
        <f t="shared" si="60"/>
        <v>62.328462403697706</v>
      </c>
      <c r="AY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465.00000000000006</v>
      </c>
      <c r="BE123" s="13">
        <f>BD123*VLOOKUP('Données projet'!$B$11,Paramètres!$A$1:$I$89,3,0)*VLOOKUP('Données projet'!$B$11,Paramètres!$A$1:$I$89,5,0)</f>
        <v>265.98</v>
      </c>
      <c r="BF123" s="13">
        <f t="shared" si="91"/>
        <v>63.995380422211589</v>
      </c>
      <c r="BG123" s="20">
        <f t="shared" si="61"/>
        <v>574.70712090201857</v>
      </c>
      <c r="BH123" s="59">
        <f t="shared" si="62"/>
        <v>868.04045423535194</v>
      </c>
      <c r="BI123" s="59">
        <f ca="1">AVERAGE(OFFSET($BH$3,0,0,'Données projet'!$E$11+1,1))-AVERAGE(OFFSET($H$3,0,0,'Données projet'!$E$11+1,1))</f>
        <v>250.90038883668348</v>
      </c>
      <c r="BJ123" s="59">
        <f t="shared" si="92"/>
        <v>141.96132114475608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45.064221442732567</v>
      </c>
      <c r="BQ123" s="21">
        <f>EXP(-LN(2)/25)*BQ122+(1-EXP(-LN(2)/25))/(LN(2)/25)*Calculateur!BL123*Calculateur!BN123*VLOOKUP('Données projet'!$B$11,Paramètres!$A$1:$I$89,3,0)*0.475*44/12</f>
        <v>0.98171087242401012</v>
      </c>
      <c r="BR123" s="21">
        <f>EXP(-LN(2)/2)*BR122+(1-EXP(-LN(2)/2))/(LN(2)/2)*BL123*BO123*VLOOKUP('Données projet'!$B$11,Paramètres!$A$1:$I$89,3,0)*0.475*44/12</f>
        <v>1.0737933593625461E-13</v>
      </c>
      <c r="BS123" s="22">
        <f t="shared" si="63"/>
        <v>46.045932315156684</v>
      </c>
      <c r="BT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319</v>
      </c>
      <c r="BZ123" s="13">
        <f>BY123*VLOOKUP('Données projet'!$B$12,Paramètres!$A$1:$I$89,3,0)*VLOOKUP('Données projet'!$B$12,Paramètres!$A$1:$I$89,5,0)</f>
        <v>253.79640000000001</v>
      </c>
      <c r="CA123" s="13">
        <f t="shared" si="93"/>
        <v>61.39816832228076</v>
      </c>
      <c r="CB123" s="20">
        <f t="shared" si="64"/>
        <v>548.96387316130563</v>
      </c>
      <c r="CC123" s="59">
        <f t="shared" si="65"/>
        <v>842.29720649463889</v>
      </c>
      <c r="CD123" s="59">
        <f ca="1">AVERAGE(OFFSET($CC$3,0,0,'Données projet'!$E$12+1,1))-AVERAGE(OFFSET($H$3,0,0,'Données projet'!$E$12+1,1))</f>
        <v>279.49721661620544</v>
      </c>
      <c r="CE123" s="59">
        <f t="shared" si="94"/>
        <v>275.18739333988754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24.077865511058722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24.077865511058722</v>
      </c>
      <c r="CO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789</v>
      </c>
      <c r="CU123" s="17">
        <f>CT123*VLOOKUP('Données projet'!$B$13,Paramètres!$A$1:$I$89,3,0)*VLOOKUP('Données projet'!$B$13,Paramètres!$A$1:$I$89,5,0)</f>
        <v>389.76600000000002</v>
      </c>
      <c r="CV123" s="13">
        <f t="shared" si="95"/>
        <v>89.698759503620408</v>
      </c>
      <c r="CW123" s="20">
        <f t="shared" si="67"/>
        <v>835.06778946880547</v>
      </c>
      <c r="CX123" s="59">
        <f t="shared" si="68"/>
        <v>1128.4011228021388</v>
      </c>
      <c r="CY123" s="59">
        <f ca="1">AVERAGE(OFFSET($CX$3,0,0,'Données projet'!$E$13+1,1))-AVERAGE(OFFSET($H$3,0,0,'Données projet'!$E$13+1,1))</f>
        <v>396.27049617044378</v>
      </c>
      <c r="CZ123" s="59">
        <f t="shared" si="96"/>
        <v>335.2680289568774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65.270334683915209</v>
      </c>
      <c r="DG123" s="21">
        <f>EXP(-LN(2)/25)*DG122+(1-EXP(-LN(2)/25))/(LN(2)/25)*Calculateur!DB123*Calculateur!DD123*VLOOKUP('Données projet'!$B$13,Paramètres!$A$1:$I$89,3,0)*0.475*44/12</f>
        <v>3.876717409191841</v>
      </c>
      <c r="DH123" s="21">
        <f>EXP(-LN(2)/2)*DH122+(1-EXP(-LN(2)/2))/(LN(2)/2)*DB123*DE123*VLOOKUP('Données projet'!$B$13,Paramètres!$A$1:$I$89,3,0)*0.475*44/12</f>
        <v>1.0929124813612425E-14</v>
      </c>
      <c r="DI123" s="22">
        <f t="shared" si="69"/>
        <v>69.147052093107064</v>
      </c>
      <c r="DJ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541.99999999999989</v>
      </c>
      <c r="DP123" s="17">
        <f>DO123*VLOOKUP('Données projet'!$B$14,Paramètres!$A$1:$I$89,3,0)*VLOOKUP('Données projet'!$B$14,Paramètres!$A$1:$I$89,5,0)</f>
        <v>310.02399999999994</v>
      </c>
      <c r="DQ123" s="13">
        <f t="shared" si="97"/>
        <v>73.27384230442388</v>
      </c>
      <c r="DR123" s="20">
        <f t="shared" si="70"/>
        <v>667.57707534687154</v>
      </c>
      <c r="DS123" s="59">
        <f t="shared" si="71"/>
        <v>960.91040868020491</v>
      </c>
      <c r="DT123" s="59">
        <f ca="1">AVERAGE(OFFSET($DS$3,0,0,'Données projet'!$E$14+1,1))-AVERAGE(OFFSET($H$3,0,0,'Données projet'!$E$14+1,1))</f>
        <v>307.43900954374504</v>
      </c>
      <c r="DU123" s="59">
        <f t="shared" si="98"/>
        <v>185.25270859048999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51.899314173735931</v>
      </c>
      <c r="EB123" s="21">
        <f>EXP(-LN(2)/25)*EB122+(1-EXP(-LN(2)/25))/(LN(2)/25)*Calculateur!DW123*Calculateur!DY123*VLOOKUP('Données projet'!$B$14,Paramètres!$A$1:$I$89,3,0)*0.475*44/12</f>
        <v>2.2036077904879932</v>
      </c>
      <c r="EC123" s="21">
        <f>EXP(-LN(2)/2)*EC122+(1-EXP(-LN(2)/2))/(LN(2)/2)*DW123*DZ123*VLOOKUP('Données projet'!$B$14,Paramètres!$A$1:$I$89,3,0)*0.475*44/12</f>
        <v>1.0353907718159135E-14</v>
      </c>
      <c r="ED123" s="22">
        <f t="shared" si="72"/>
        <v>54.102921964223931</v>
      </c>
      <c r="EE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401</v>
      </c>
      <c r="EK123" s="17">
        <f>EJ123*VLOOKUP('Données projet'!$B$15,Paramètres!$A$1:$I$89,3,0)*VLOOKUP('Données projet'!$B$15,Paramètres!$A$1:$I$89,5,0)</f>
        <v>250.22399999999999</v>
      </c>
      <c r="EL123" s="13">
        <f t="shared" si="99"/>
        <v>60.633904580527918</v>
      </c>
      <c r="EM123" s="20">
        <f t="shared" si="73"/>
        <v>541.41085047775289</v>
      </c>
      <c r="EN123" s="59">
        <f t="shared" si="74"/>
        <v>834.74418381108626</v>
      </c>
      <c r="EO123" s="59">
        <f ca="1">AVERAGE(OFFSET($EN$3,0,0,'Données projet'!$E$15+1,1))-AVERAGE(OFFSET($H$3,0,0,'Données projet'!$E$15+1,1))</f>
        <v>269.77739619445515</v>
      </c>
      <c r="EP123" s="59">
        <f t="shared" si="100"/>
        <v>347.56964743629885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23.337514124134017</v>
      </c>
      <c r="EW123" s="21">
        <f>EXP(-LN(2)/25)*EW122+(1-EXP(-LN(2)/25))/(LN(2)/25)*Calculateur!ER123*Calculateur!ET123*VLOOKUP('Données projet'!$B$15,Paramètres!$A$1:$I$89,3,0)*0.475*44/12</f>
        <v>7.5659092527892993</v>
      </c>
      <c r="EX123" s="21">
        <f>EXP(-LN(2)/2)*EX122+(1-EXP(-LN(2)/2))/(LN(2)/2)*ER123*EU123*VLOOKUP('Données projet'!$B$15,Paramètres!$A$1:$I$89,3,0)*0.475*44/12</f>
        <v>7.0594825351085019E-16</v>
      </c>
      <c r="EY123" s="22">
        <f t="shared" si="75"/>
        <v>30.903423376923318</v>
      </c>
      <c r="EZ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367.99999999999972</v>
      </c>
      <c r="FF123" s="17">
        <f>FE123*VLOOKUP('Données projet'!$B$16,Paramètres!$A$1:$I$89,3,0)*VLOOKUP('Données projet'!$B$16,Paramètres!$A$1:$I$89,5,0)</f>
        <v>292.78079999999977</v>
      </c>
      <c r="FG123" s="13">
        <f t="shared" si="101"/>
        <v>69.660903052386217</v>
      </c>
      <c r="FH123" s="20">
        <f t="shared" si="76"/>
        <v>631.25263281623893</v>
      </c>
      <c r="FI123" s="59">
        <f t="shared" si="77"/>
        <v>924.58596614957219</v>
      </c>
      <c r="FJ123" s="59">
        <f ca="1">AVERAGE(OFFSET($FI$3,0,0,'Données projet'!$E$16+1,1))-AVERAGE(OFFSET($H$3,0,0,'Données projet'!$E$16+1,1))</f>
        <v>331.52724290297675</v>
      </c>
      <c r="FK123" s="59">
        <f t="shared" si="102"/>
        <v>322.79102610158054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27.91109252717035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27.91109252717035</v>
      </c>
      <c r="FU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852.00000000000011</v>
      </c>
      <c r="GA123" s="17">
        <f>FZ123*VLOOKUP('Données projet'!$B$17,Paramètres!$A$1:$I$89,3,0)*VLOOKUP('Données projet'!$B$17,Paramètres!$A$1:$I$89,5,0)</f>
        <v>420.88800000000009</v>
      </c>
      <c r="GB123" s="13">
        <f t="shared" si="103"/>
        <v>95.998759891259041</v>
      </c>
      <c r="GC123" s="20">
        <f t="shared" si="79"/>
        <v>900.24444014394294</v>
      </c>
      <c r="GD123" s="59">
        <f t="shared" si="80"/>
        <v>1193.5777734772762</v>
      </c>
      <c r="GE123" s="59">
        <f ca="1">AVERAGE(OFFSET($GD$3,0,0,'Données projet'!$E$17+1,1))-AVERAGE(OFFSET($H$3,0,0,'Données projet'!$E$17+1,1))</f>
        <v>434.08297999735811</v>
      </c>
      <c r="GF123" s="59">
        <f t="shared" si="104"/>
        <v>371.04090283546122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72.012312255146199</v>
      </c>
      <c r="GM123" s="21">
        <f>EXP(-LN(2)/25)*GM122+(1-EXP(-LN(2)/25))/(LN(2)/25)*Calculateur!GH123*Calculateur!GJ123*VLOOKUP('Données projet'!$B$17,Paramètres!$A$1:$I$89,3,0)*0.475*44/12</f>
        <v>4.264389150111028</v>
      </c>
      <c r="GN123" s="21">
        <f>EXP(-LN(2)/2)*GN122+(1-EXP(-LN(2)/2))/(LN(2)/2)*GH123*GK123*VLOOKUP('Données projet'!$B$17,Paramètres!$A$1:$I$89,3,0)*0.475*44/12</f>
        <v>2.1361471226606092E-14</v>
      </c>
      <c r="GO123" s="21">
        <f t="shared" si="81"/>
        <v>76.276701405257256</v>
      </c>
      <c r="GP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614.99999999999989</v>
      </c>
      <c r="GV123" s="17">
        <f>GU123*VLOOKUP('Données projet'!$B$18,Paramètres!$A$1:$I$89,3,0)*VLOOKUP('Données projet'!$B$18,Paramètres!$A$1:$I$89,5,0)</f>
        <v>351.78</v>
      </c>
      <c r="GW123" s="13">
        <f t="shared" si="105"/>
        <v>81.92892344316067</v>
      </c>
      <c r="GX123" s="20">
        <f t="shared" si="82"/>
        <v>755.37637499683808</v>
      </c>
      <c r="GY123" s="59">
        <f t="shared" si="83"/>
        <v>1048.7097083301715</v>
      </c>
      <c r="GZ123" s="59">
        <f ca="1">AVERAGE(OFFSET($GY$3,0,0,'Données projet'!$E$18+1,1))-AVERAGE(OFFSET($H$3,0,0,'Données projet'!$E$18+1,1))</f>
        <v>362.57172983134313</v>
      </c>
      <c r="HA123" s="59">
        <f t="shared" si="106"/>
        <v>232.03250917542471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58.526592998816824</v>
      </c>
      <c r="HH123" s="21">
        <f>EXP(-LN(2)/25)*HH122+(1-EXP(-LN(2)/25))/(LN(2)/25)*Calculateur!HC123*Calculateur!HE123*VLOOKUP('Données projet'!$B$18,Paramètres!$A$1:$I$89,3,0)*0.475*44/12</f>
        <v>2.5708757555693285</v>
      </c>
      <c r="HI123" s="21">
        <f>EXP(-LN(2)/2)*HI122+(1-EXP(-LN(2)/2))/(LN(2)/2)*HC123*HF123*VLOOKUP('Données projet'!$B$18,Paramètres!$A$1:$I$89,3,0)*0.475*44/12</f>
        <v>2.1283032531771548E-14</v>
      </c>
      <c r="HJ123" s="22">
        <f t="shared" si="84"/>
        <v>61.097468754386171</v>
      </c>
    </row>
    <row r="124" spans="1:218" x14ac:dyDescent="0.3">
      <c r="A124" s="10">
        <f t="shared" si="85"/>
        <v>121</v>
      </c>
      <c r="B124" s="71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5">
        <f t="shared" si="56"/>
        <v>423.80789278868326</v>
      </c>
      <c r="I124" s="6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266.99999999999983</v>
      </c>
      <c r="O124" s="13">
        <f>N124*VLOOKUP('Données projet'!$B$9,Paramètres!$A$1:$I$89,3,0)*VLOOKUP('Données projet'!$B$9,Paramètres!$A$1:$I$89,5,0)</f>
        <v>212.42519999999985</v>
      </c>
      <c r="P124" s="13">
        <f t="shared" si="87"/>
        <v>52.465198231787184</v>
      </c>
      <c r="Q124" s="20">
        <f t="shared" si="107"/>
        <v>461.35077692036231</v>
      </c>
      <c r="R124" s="59">
        <f t="shared" si="55"/>
        <v>754.68411025369562</v>
      </c>
      <c r="S124" s="59">
        <f ca="1">AVERAGE(OFFSET($R$3,0,0,'Données projet'!$E$9+1,1))-AVERAGE(OFFSET($H$3,0,0,'Données projet'!$E$9+1,1))</f>
        <v>225.2323446080772</v>
      </c>
      <c r="T124" s="59">
        <f t="shared" si="88"/>
        <v>222.29030402759292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19.262925760714204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19.262925760714204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732.99999999999966</v>
      </c>
      <c r="AJ124" s="13">
        <f>AI124*VLOOKUP('Données projet'!$B$10,Paramètres!$A$1:$I$89,3,0)*VLOOKUP('Données projet'!$B$10,Paramètres!$A$1:$I$89,5,0)</f>
        <v>362.1019999999998</v>
      </c>
      <c r="AK124" s="13">
        <f t="shared" si="89"/>
        <v>84.049487364732272</v>
      </c>
      <c r="AL124" s="20">
        <f t="shared" si="58"/>
        <v>777.04717382690842</v>
      </c>
      <c r="AM124" s="59">
        <f t="shared" si="59"/>
        <v>1070.3805071602417</v>
      </c>
      <c r="AN124" s="59">
        <f ca="1">AVERAGE(OFFSET($AM$3,0,0,'Données projet'!$E$10+1,1))-AVERAGE(OFFSET($H$3,0,0,'Données projet'!$E$10+1,1))</f>
        <v>360.05819346986135</v>
      </c>
      <c r="AO124" s="59">
        <f t="shared" si="90"/>
        <v>300.47468388351081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57.685611661743884</v>
      </c>
      <c r="AV124" s="21">
        <f>EXP(-LN(2)/25)*AV123+(1-EXP(-LN(2)/25))/(LN(2)/25)*Calculateur!AQ124*Calculateur!AS124*VLOOKUP('Données projet'!$B$10,Paramètres!$A$1:$I$89,3,0)*0.475*44/12</f>
        <v>3.3936375309928017</v>
      </c>
      <c r="AW124" s="21">
        <f>EXP(-LN(2)/2)*AW123+(1-EXP(-LN(2)/2))/(LN(2)/2)*AQ124*AT124*VLOOKUP('Données projet'!$B$10,Paramètres!$A$1:$I$89,3,0)*0.475*44/12</f>
        <v>1.0538261274735685E-15</v>
      </c>
      <c r="AX124" s="21">
        <f t="shared" si="60"/>
        <v>61.079249192736683</v>
      </c>
      <c r="AY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465.00000000000006</v>
      </c>
      <c r="BE124" s="13">
        <f>BD124*VLOOKUP('Données projet'!$B$11,Paramètres!$A$1:$I$89,3,0)*VLOOKUP('Données projet'!$B$11,Paramètres!$A$1:$I$89,5,0)</f>
        <v>265.98</v>
      </c>
      <c r="BF124" s="13">
        <f t="shared" si="91"/>
        <v>63.995380422211589</v>
      </c>
      <c r="BG124" s="20">
        <f t="shared" si="61"/>
        <v>574.70712090201857</v>
      </c>
      <c r="BH124" s="59">
        <f t="shared" si="62"/>
        <v>868.04045423535194</v>
      </c>
      <c r="BI124" s="59">
        <f ca="1">AVERAGE(OFFSET($BH$3,0,0,'Données projet'!$E$11+1,1))-AVERAGE(OFFSET($H$3,0,0,'Données projet'!$E$11+1,1))</f>
        <v>250.90038883668348</v>
      </c>
      <c r="BJ124" s="59">
        <f t="shared" si="92"/>
        <v>141.96132114475608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44.180539546701596</v>
      </c>
      <c r="BQ124" s="21">
        <f>EXP(-LN(2)/25)*BQ123+(1-EXP(-LN(2)/25))/(LN(2)/25)*Calculateur!BL124*Calculateur!BN124*VLOOKUP('Données projet'!$B$11,Paramètres!$A$1:$I$89,3,0)*0.475*44/12</f>
        <v>0.95486593699164446</v>
      </c>
      <c r="BR124" s="21">
        <f>EXP(-LN(2)/2)*BR123+(1-EXP(-LN(2)/2))/(LN(2)/2)*BL124*BO124*VLOOKUP('Données projet'!$B$11,Paramètres!$A$1:$I$89,3,0)*0.475*44/12</f>
        <v>7.5928656599833967E-14</v>
      </c>
      <c r="BS124" s="22">
        <f t="shared" si="63"/>
        <v>45.135405483693319</v>
      </c>
      <c r="BT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319</v>
      </c>
      <c r="BZ124" s="13">
        <f>BY124*VLOOKUP('Données projet'!$B$12,Paramètres!$A$1:$I$89,3,0)*VLOOKUP('Données projet'!$B$12,Paramètres!$A$1:$I$89,5,0)</f>
        <v>253.79640000000001</v>
      </c>
      <c r="CA124" s="13">
        <f t="shared" si="93"/>
        <v>61.39816832228076</v>
      </c>
      <c r="CB124" s="20">
        <f t="shared" si="64"/>
        <v>548.96387316130563</v>
      </c>
      <c r="CC124" s="59">
        <f t="shared" si="65"/>
        <v>842.29720649463889</v>
      </c>
      <c r="CD124" s="59">
        <f ca="1">AVERAGE(OFFSET($CC$3,0,0,'Données projet'!$E$12+1,1))-AVERAGE(OFFSET($H$3,0,0,'Données projet'!$E$12+1,1))</f>
        <v>279.49721661620544</v>
      </c>
      <c r="CE124" s="59">
        <f t="shared" si="94"/>
        <v>275.18739333988754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23.605713254434693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23.605713254434693</v>
      </c>
      <c r="CO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789</v>
      </c>
      <c r="CU124" s="17">
        <f>CT124*VLOOKUP('Données projet'!$B$13,Paramètres!$A$1:$I$89,3,0)*VLOOKUP('Données projet'!$B$13,Paramètres!$A$1:$I$89,5,0)</f>
        <v>389.76600000000002</v>
      </c>
      <c r="CV124" s="13">
        <f t="shared" si="95"/>
        <v>89.698759503620408</v>
      </c>
      <c r="CW124" s="20">
        <f t="shared" si="67"/>
        <v>835.06778946880547</v>
      </c>
      <c r="CX124" s="59">
        <f t="shared" si="68"/>
        <v>1128.4011228021388</v>
      </c>
      <c r="CY124" s="59">
        <f ca="1">AVERAGE(OFFSET($CX$3,0,0,'Données projet'!$E$13+1,1))-AVERAGE(OFFSET($H$3,0,0,'Données projet'!$E$13+1,1))</f>
        <v>396.27049617044378</v>
      </c>
      <c r="CZ124" s="59">
        <f t="shared" si="96"/>
        <v>335.2680289568774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63.990423231736784</v>
      </c>
      <c r="DG124" s="21">
        <f>EXP(-LN(2)/25)*DG123+(1-EXP(-LN(2)/25))/(LN(2)/25)*Calculateur!DB124*Calculateur!DD124*VLOOKUP('Données projet'!$B$13,Paramètres!$A$1:$I$89,3,0)*0.475*44/12</f>
        <v>3.7707083677697821</v>
      </c>
      <c r="DH124" s="21">
        <f>EXP(-LN(2)/2)*DH123+(1-EXP(-LN(2)/2))/(LN(2)/2)*DB124*DE124*VLOOKUP('Données projet'!$B$13,Paramètres!$A$1:$I$89,3,0)*0.475*44/12</f>
        <v>7.7280582681395078E-15</v>
      </c>
      <c r="DI124" s="22">
        <f t="shared" si="69"/>
        <v>67.761131599506584</v>
      </c>
      <c r="DJ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541.99999999999989</v>
      </c>
      <c r="DP124" s="17">
        <f>DO124*VLOOKUP('Données projet'!$B$14,Paramètres!$A$1:$I$89,3,0)*VLOOKUP('Données projet'!$B$14,Paramètres!$A$1:$I$89,5,0)</f>
        <v>310.02399999999994</v>
      </c>
      <c r="DQ124" s="13">
        <f t="shared" si="97"/>
        <v>73.27384230442388</v>
      </c>
      <c r="DR124" s="20">
        <f t="shared" si="70"/>
        <v>667.57707534687154</v>
      </c>
      <c r="DS124" s="59">
        <f t="shared" si="71"/>
        <v>960.91040868020491</v>
      </c>
      <c r="DT124" s="59">
        <f ca="1">AVERAGE(OFFSET($DS$3,0,0,'Données projet'!$E$14+1,1))-AVERAGE(OFFSET($H$3,0,0,'Données projet'!$E$14+1,1))</f>
        <v>307.43900954374504</v>
      </c>
      <c r="DU124" s="59">
        <f t="shared" si="98"/>
        <v>185.25270859048999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50.881600278244896</v>
      </c>
      <c r="EB124" s="21">
        <f>EXP(-LN(2)/25)*EB123+(1-EXP(-LN(2)/25))/(LN(2)/25)*Calculateur!DW124*Calculateur!DY124*VLOOKUP('Données projet'!$B$14,Paramètres!$A$1:$I$89,3,0)*0.475*44/12</f>
        <v>2.1433500195744015</v>
      </c>
      <c r="EC124" s="21">
        <f>EXP(-LN(2)/2)*EC123+(1-EXP(-LN(2)/2))/(LN(2)/2)*DW124*DZ124*VLOOKUP('Données projet'!$B$14,Paramètres!$A$1:$I$89,3,0)*0.475*44/12</f>
        <v>7.3213183592900567E-15</v>
      </c>
      <c r="ED124" s="22">
        <f t="shared" si="72"/>
        <v>53.024950297819302</v>
      </c>
      <c r="EE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401</v>
      </c>
      <c r="EK124" s="17">
        <f>EJ124*VLOOKUP('Données projet'!$B$15,Paramètres!$A$1:$I$89,3,0)*VLOOKUP('Données projet'!$B$15,Paramètres!$A$1:$I$89,5,0)</f>
        <v>250.22399999999999</v>
      </c>
      <c r="EL124" s="13">
        <f t="shared" si="99"/>
        <v>60.633904580527918</v>
      </c>
      <c r="EM124" s="20">
        <f t="shared" si="73"/>
        <v>541.41085047775289</v>
      </c>
      <c r="EN124" s="59">
        <f t="shared" si="74"/>
        <v>834.74418381108626</v>
      </c>
      <c r="EO124" s="59">
        <f ca="1">AVERAGE(OFFSET($EN$3,0,0,'Données projet'!$E$15+1,1))-AVERAGE(OFFSET($H$3,0,0,'Données projet'!$E$15+1,1))</f>
        <v>269.77739619445515</v>
      </c>
      <c r="EP124" s="59">
        <f t="shared" si="100"/>
        <v>347.56964743629885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22.879879706637826</v>
      </c>
      <c r="EW124" s="21">
        <f>EXP(-LN(2)/25)*EW123+(1-EXP(-LN(2)/25))/(LN(2)/25)*Calculateur!ER124*Calculateur!ET124*VLOOKUP('Données projet'!$B$15,Paramètres!$A$1:$I$89,3,0)*0.475*44/12</f>
        <v>7.3590190663979005</v>
      </c>
      <c r="EX124" s="21">
        <f>EXP(-LN(2)/2)*EX123+(1-EXP(-LN(2)/2))/(LN(2)/2)*ER124*EU124*VLOOKUP('Données projet'!$B$15,Paramètres!$A$1:$I$89,3,0)*0.475*44/12</f>
        <v>4.9918079722432212E-16</v>
      </c>
      <c r="EY124" s="22">
        <f t="shared" si="75"/>
        <v>30.238898773035729</v>
      </c>
      <c r="EZ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367.99999999999972</v>
      </c>
      <c r="FF124" s="17">
        <f>FE124*VLOOKUP('Données projet'!$B$16,Paramètres!$A$1:$I$89,3,0)*VLOOKUP('Données projet'!$B$16,Paramètres!$A$1:$I$89,5,0)</f>
        <v>292.78079999999977</v>
      </c>
      <c r="FG124" s="13">
        <f t="shared" si="101"/>
        <v>69.660903052386217</v>
      </c>
      <c r="FH124" s="20">
        <f t="shared" si="76"/>
        <v>631.25263281623893</v>
      </c>
      <c r="FI124" s="59">
        <f t="shared" si="77"/>
        <v>924.58596614957219</v>
      </c>
      <c r="FJ124" s="59">
        <f ca="1">AVERAGE(OFFSET($FI$3,0,0,'Données projet'!$E$16+1,1))-AVERAGE(OFFSET($H$3,0,0,'Données projet'!$E$16+1,1))</f>
        <v>331.52724290297675</v>
      </c>
      <c r="FK124" s="59">
        <f t="shared" si="102"/>
        <v>322.79102610158054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27.363773026797993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27.363773026797993</v>
      </c>
      <c r="FU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852.00000000000011</v>
      </c>
      <c r="GA124" s="17">
        <f>FZ124*VLOOKUP('Données projet'!$B$17,Paramètres!$A$1:$I$89,3,0)*VLOOKUP('Données projet'!$B$17,Paramètres!$A$1:$I$89,5,0)</f>
        <v>420.88800000000009</v>
      </c>
      <c r="GB124" s="13">
        <f t="shared" si="103"/>
        <v>95.998759891259041</v>
      </c>
      <c r="GC124" s="20">
        <f t="shared" si="79"/>
        <v>900.24444014394294</v>
      </c>
      <c r="GD124" s="59">
        <f t="shared" si="80"/>
        <v>1193.5777734772762</v>
      </c>
      <c r="GE124" s="59">
        <f ca="1">AVERAGE(OFFSET($GD$3,0,0,'Données projet'!$E$17+1,1))-AVERAGE(OFFSET($H$3,0,0,'Données projet'!$E$17+1,1))</f>
        <v>434.08297999735811</v>
      </c>
      <c r="GF124" s="59">
        <f t="shared" si="104"/>
        <v>371.04090283546122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70.600194734996208</v>
      </c>
      <c r="GM124" s="21">
        <f>EXP(-LN(2)/25)*GM123+(1-EXP(-LN(2)/25))/(LN(2)/25)*Calculateur!GH124*Calculateur!GJ124*VLOOKUP('Données projet'!$B$17,Paramètres!$A$1:$I$89,3,0)*0.475*44/12</f>
        <v>4.1477792045467625</v>
      </c>
      <c r="GN124" s="21">
        <f>EXP(-LN(2)/2)*GN123+(1-EXP(-LN(2)/2))/(LN(2)/2)*GH124*GK124*VLOOKUP('Données projet'!$B$17,Paramètres!$A$1:$I$89,3,0)*0.475*44/12</f>
        <v>1.5104841160454484E-14</v>
      </c>
      <c r="GO124" s="21">
        <f t="shared" si="81"/>
        <v>74.747973939542987</v>
      </c>
      <c r="GP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614.99999999999989</v>
      </c>
      <c r="GV124" s="17">
        <f>GU124*VLOOKUP('Données projet'!$B$18,Paramètres!$A$1:$I$89,3,0)*VLOOKUP('Données projet'!$B$18,Paramètres!$A$1:$I$89,5,0)</f>
        <v>351.78</v>
      </c>
      <c r="GW124" s="13">
        <f t="shared" si="105"/>
        <v>81.92892344316067</v>
      </c>
      <c r="GX124" s="20">
        <f t="shared" si="82"/>
        <v>755.37637499683808</v>
      </c>
      <c r="GY124" s="59">
        <f t="shared" si="83"/>
        <v>1048.7097083301715</v>
      </c>
      <c r="GZ124" s="59">
        <f ca="1">AVERAGE(OFFSET($GY$3,0,0,'Données projet'!$E$18+1,1))-AVERAGE(OFFSET($H$3,0,0,'Données projet'!$E$18+1,1))</f>
        <v>362.57172983134313</v>
      </c>
      <c r="HA124" s="59">
        <f t="shared" si="106"/>
        <v>232.03250917542471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57.378922207806902</v>
      </c>
      <c r="HH124" s="21">
        <f>EXP(-LN(2)/25)*HH123+(1-EXP(-LN(2)/25))/(LN(2)/25)*Calculateur!HC124*Calculateur!HE124*VLOOKUP('Données projet'!$B$18,Paramètres!$A$1:$I$89,3,0)*0.475*44/12</f>
        <v>2.5005750228368049</v>
      </c>
      <c r="HI124" s="21">
        <f>EXP(-LN(2)/2)*HI123+(1-EXP(-LN(2)/2))/(LN(2)/2)*HC124*HF124*VLOOKUP('Données projet'!$B$18,Paramètres!$A$1:$I$89,3,0)*0.475*44/12</f>
        <v>1.5049376627429557E-14</v>
      </c>
      <c r="HJ124" s="22">
        <f t="shared" si="84"/>
        <v>59.879497230643722</v>
      </c>
    </row>
    <row r="125" spans="1:218" x14ac:dyDescent="0.3">
      <c r="A125" s="10">
        <f t="shared" si="85"/>
        <v>122</v>
      </c>
      <c r="B125" s="71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5">
        <f t="shared" si="56"/>
        <v>424.85809176718089</v>
      </c>
      <c r="I125" s="6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266.99999999999983</v>
      </c>
      <c r="O125" s="13">
        <f>N125*VLOOKUP('Données projet'!$B$9,Paramètres!$A$1:$I$89,3,0)*VLOOKUP('Données projet'!$B$9,Paramètres!$A$1:$I$89,5,0)</f>
        <v>212.42519999999985</v>
      </c>
      <c r="P125" s="13">
        <f t="shared" si="87"/>
        <v>52.465198231787184</v>
      </c>
      <c r="Q125" s="20">
        <f t="shared" si="107"/>
        <v>461.35077692036231</v>
      </c>
      <c r="R125" s="59">
        <f t="shared" si="55"/>
        <v>754.68411025369562</v>
      </c>
      <c r="S125" s="59">
        <f ca="1">AVERAGE(OFFSET($R$3,0,0,'Données projet'!$E$9+1,1))-AVERAGE(OFFSET($H$3,0,0,'Données projet'!$E$9+1,1))</f>
        <v>225.2323446080772</v>
      </c>
      <c r="T125" s="59">
        <f t="shared" si="88"/>
        <v>222.29030402759292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18.885191535771174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18.885191535771174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732.99999999999966</v>
      </c>
      <c r="AJ125" s="13">
        <f>AI125*VLOOKUP('Données projet'!$B$10,Paramètres!$A$1:$I$89,3,0)*VLOOKUP('Données projet'!$B$10,Paramètres!$A$1:$I$89,5,0)</f>
        <v>362.1019999999998</v>
      </c>
      <c r="AK125" s="13">
        <f t="shared" si="89"/>
        <v>84.049487364732272</v>
      </c>
      <c r="AL125" s="20">
        <f t="shared" si="58"/>
        <v>777.04717382690842</v>
      </c>
      <c r="AM125" s="59">
        <f t="shared" si="59"/>
        <v>1070.3805071602417</v>
      </c>
      <c r="AN125" s="59">
        <f ca="1">AVERAGE(OFFSET($AM$3,0,0,'Données projet'!$E$10+1,1))-AVERAGE(OFFSET($H$3,0,0,'Données projet'!$E$10+1,1))</f>
        <v>360.05819346986135</v>
      </c>
      <c r="AO125" s="59">
        <f t="shared" si="90"/>
        <v>300.47468388351081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56.554432001805992</v>
      </c>
      <c r="AV125" s="21">
        <f>EXP(-LN(2)/25)*AV124+(1-EXP(-LN(2)/25))/(LN(2)/25)*Calculateur!AQ125*Calculateur!AS125*VLOOKUP('Données projet'!$B$10,Paramètres!$A$1:$I$89,3,0)*0.475*44/12</f>
        <v>3.3008383342441623</v>
      </c>
      <c r="AW125" s="21">
        <f>EXP(-LN(2)/2)*AW124+(1-EXP(-LN(2)/2))/(LN(2)/2)*AQ125*AT125*VLOOKUP('Données projet'!$B$10,Paramètres!$A$1:$I$89,3,0)*0.475*44/12</f>
        <v>7.4516760092811938E-16</v>
      </c>
      <c r="AX125" s="21">
        <f t="shared" si="60"/>
        <v>59.855270336050154</v>
      </c>
      <c r="AY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465.00000000000006</v>
      </c>
      <c r="BE125" s="13">
        <f>BD125*VLOOKUP('Données projet'!$B$11,Paramètres!$A$1:$I$89,3,0)*VLOOKUP('Données projet'!$B$11,Paramètres!$A$1:$I$89,5,0)</f>
        <v>265.98</v>
      </c>
      <c r="BF125" s="13">
        <f t="shared" si="91"/>
        <v>63.995380422211589</v>
      </c>
      <c r="BG125" s="20">
        <f t="shared" si="61"/>
        <v>574.70712090201857</v>
      </c>
      <c r="BH125" s="59">
        <f t="shared" si="62"/>
        <v>868.04045423535194</v>
      </c>
      <c r="BI125" s="59">
        <f ca="1">AVERAGE(OFFSET($BH$3,0,0,'Données projet'!$E$11+1,1))-AVERAGE(OFFSET($H$3,0,0,'Données projet'!$E$11+1,1))</f>
        <v>250.90038883668348</v>
      </c>
      <c r="BJ125" s="59">
        <f t="shared" si="92"/>
        <v>141.96132114475608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43.314186113659062</v>
      </c>
      <c r="BQ125" s="21">
        <f>EXP(-LN(2)/25)*BQ124+(1-EXP(-LN(2)/25))/(LN(2)/25)*Calculateur!BL125*Calculateur!BN125*VLOOKUP('Données projet'!$B$11,Paramètres!$A$1:$I$89,3,0)*0.475*44/12</f>
        <v>0.92875507773039068</v>
      </c>
      <c r="BR125" s="21">
        <f>EXP(-LN(2)/2)*BR124+(1-EXP(-LN(2)/2))/(LN(2)/2)*BL125*BO125*VLOOKUP('Données projet'!$B$11,Paramètres!$A$1:$I$89,3,0)*0.475*44/12</f>
        <v>5.3689667968127305E-14</v>
      </c>
      <c r="BS125" s="22">
        <f t="shared" si="63"/>
        <v>44.242941191389512</v>
      </c>
      <c r="BT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319</v>
      </c>
      <c r="BZ125" s="13">
        <f>BY125*VLOOKUP('Données projet'!$B$12,Paramètres!$A$1:$I$89,3,0)*VLOOKUP('Données projet'!$B$12,Paramètres!$A$1:$I$89,5,0)</f>
        <v>253.79640000000001</v>
      </c>
      <c r="CA125" s="13">
        <f t="shared" si="93"/>
        <v>61.39816832228076</v>
      </c>
      <c r="CB125" s="20">
        <f t="shared" si="64"/>
        <v>548.96387316130563</v>
      </c>
      <c r="CC125" s="59">
        <f t="shared" si="65"/>
        <v>842.29720649463889</v>
      </c>
      <c r="CD125" s="59">
        <f ca="1">AVERAGE(OFFSET($CC$3,0,0,'Données projet'!$E$12+1,1))-AVERAGE(OFFSET($H$3,0,0,'Données projet'!$E$12+1,1))</f>
        <v>279.49721661620544</v>
      </c>
      <c r="CE125" s="59">
        <f t="shared" si="94"/>
        <v>275.18739333988754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23.142819615578624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23.142819615578624</v>
      </c>
      <c r="CO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789</v>
      </c>
      <c r="CU125" s="17">
        <f>CT125*VLOOKUP('Données projet'!$B$13,Paramètres!$A$1:$I$89,3,0)*VLOOKUP('Données projet'!$B$13,Paramètres!$A$1:$I$89,5,0)</f>
        <v>389.76600000000002</v>
      </c>
      <c r="CV125" s="13">
        <f t="shared" si="95"/>
        <v>89.698759503620408</v>
      </c>
      <c r="CW125" s="20">
        <f t="shared" si="67"/>
        <v>835.06778946880547</v>
      </c>
      <c r="CX125" s="59">
        <f t="shared" si="68"/>
        <v>1128.4011228021388</v>
      </c>
      <c r="CY125" s="59">
        <f ca="1">AVERAGE(OFFSET($CX$3,0,0,'Données projet'!$E$13+1,1))-AVERAGE(OFFSET($H$3,0,0,'Données projet'!$E$13+1,1))</f>
        <v>396.27049617044378</v>
      </c>
      <c r="CZ125" s="59">
        <f t="shared" si="96"/>
        <v>335.2680289568774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62.735610062466677</v>
      </c>
      <c r="DG125" s="21">
        <f>EXP(-LN(2)/25)*DG124+(1-EXP(-LN(2)/25))/(LN(2)/25)*Calculateur!DB125*Calculateur!DD125*VLOOKUP('Données projet'!$B$13,Paramètres!$A$1:$I$89,3,0)*0.475*44/12</f>
        <v>3.6675981491601823</v>
      </c>
      <c r="DH125" s="21">
        <f>EXP(-LN(2)/2)*DH124+(1-EXP(-LN(2)/2))/(LN(2)/2)*DB125*DE125*VLOOKUP('Données projet'!$B$13,Paramètres!$A$1:$I$89,3,0)*0.475*44/12</f>
        <v>5.4645624068062124E-15</v>
      </c>
      <c r="DI125" s="22">
        <f t="shared" si="69"/>
        <v>66.403208211626861</v>
      </c>
      <c r="DJ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541.99999999999989</v>
      </c>
      <c r="DP125" s="17">
        <f>DO125*VLOOKUP('Données projet'!$B$14,Paramètres!$A$1:$I$89,3,0)*VLOOKUP('Données projet'!$B$14,Paramètres!$A$1:$I$89,5,0)</f>
        <v>310.02399999999994</v>
      </c>
      <c r="DQ125" s="13">
        <f t="shared" si="97"/>
        <v>73.27384230442388</v>
      </c>
      <c r="DR125" s="20">
        <f t="shared" si="70"/>
        <v>667.57707534687154</v>
      </c>
      <c r="DS125" s="59">
        <f t="shared" si="71"/>
        <v>960.91040868020491</v>
      </c>
      <c r="DT125" s="59">
        <f ca="1">AVERAGE(OFFSET($DS$3,0,0,'Données projet'!$E$14+1,1))-AVERAGE(OFFSET($H$3,0,0,'Données projet'!$E$14+1,1))</f>
        <v>307.43900954374504</v>
      </c>
      <c r="DU125" s="59">
        <f t="shared" si="98"/>
        <v>185.25270859048999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49.883843131500264</v>
      </c>
      <c r="EB125" s="21">
        <f>EXP(-LN(2)/25)*EB124+(1-EXP(-LN(2)/25))/(LN(2)/25)*Calculateur!DW125*Calculateur!DY125*VLOOKUP('Données projet'!$B$14,Paramètres!$A$1:$I$89,3,0)*0.475*44/12</f>
        <v>2.0847400005752608</v>
      </c>
      <c r="EC125" s="21">
        <f>EXP(-LN(2)/2)*EC124+(1-EXP(-LN(2)/2))/(LN(2)/2)*DW125*DZ125*VLOOKUP('Données projet'!$B$14,Paramètres!$A$1:$I$89,3,0)*0.475*44/12</f>
        <v>5.1769538590795673E-15</v>
      </c>
      <c r="ED125" s="22">
        <f t="shared" si="72"/>
        <v>51.96858313207553</v>
      </c>
      <c r="EE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401</v>
      </c>
      <c r="EK125" s="17">
        <f>EJ125*VLOOKUP('Données projet'!$B$15,Paramètres!$A$1:$I$89,3,0)*VLOOKUP('Données projet'!$B$15,Paramètres!$A$1:$I$89,5,0)</f>
        <v>250.22399999999999</v>
      </c>
      <c r="EL125" s="13">
        <f t="shared" si="99"/>
        <v>60.633904580527918</v>
      </c>
      <c r="EM125" s="20">
        <f t="shared" si="73"/>
        <v>541.41085047775289</v>
      </c>
      <c r="EN125" s="59">
        <f t="shared" si="74"/>
        <v>834.74418381108626</v>
      </c>
      <c r="EO125" s="59">
        <f ca="1">AVERAGE(OFFSET($EN$3,0,0,'Données projet'!$E$15+1,1))-AVERAGE(OFFSET($H$3,0,0,'Données projet'!$E$15+1,1))</f>
        <v>269.77739619445515</v>
      </c>
      <c r="EP125" s="59">
        <f t="shared" si="100"/>
        <v>347.56964743629885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22.431219220939305</v>
      </c>
      <c r="EW125" s="21">
        <f>EXP(-LN(2)/25)*EW124+(1-EXP(-LN(2)/25))/(LN(2)/25)*Calculateur!ER125*Calculateur!ET125*VLOOKUP('Données projet'!$B$15,Paramètres!$A$1:$I$89,3,0)*0.475*44/12</f>
        <v>7.157786303033256</v>
      </c>
      <c r="EX125" s="21">
        <f>EXP(-LN(2)/2)*EX124+(1-EXP(-LN(2)/2))/(LN(2)/2)*ER125*EU125*VLOOKUP('Données projet'!$B$15,Paramètres!$A$1:$I$89,3,0)*0.475*44/12</f>
        <v>3.529741267554251E-16</v>
      </c>
      <c r="EY125" s="22">
        <f t="shared" si="75"/>
        <v>29.58900552397256</v>
      </c>
      <c r="EZ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367.99999999999972</v>
      </c>
      <c r="FF125" s="17">
        <f>FE125*VLOOKUP('Données projet'!$B$16,Paramètres!$A$1:$I$89,3,0)*VLOOKUP('Données projet'!$B$16,Paramètres!$A$1:$I$89,5,0)</f>
        <v>292.78079999999977</v>
      </c>
      <c r="FG125" s="13">
        <f t="shared" si="101"/>
        <v>69.660903052386217</v>
      </c>
      <c r="FH125" s="20">
        <f t="shared" si="76"/>
        <v>631.25263281623893</v>
      </c>
      <c r="FI125" s="59">
        <f t="shared" si="77"/>
        <v>924.58596614957219</v>
      </c>
      <c r="FJ125" s="59">
        <f ca="1">AVERAGE(OFFSET($FI$3,0,0,'Données projet'!$E$16+1,1))-AVERAGE(OFFSET($H$3,0,0,'Données projet'!$E$16+1,1))</f>
        <v>331.52724290297675</v>
      </c>
      <c r="FK125" s="59">
        <f t="shared" si="102"/>
        <v>322.79102610158054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26.827186127996004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26.827186127996004</v>
      </c>
      <c r="FU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852.00000000000011</v>
      </c>
      <c r="GA125" s="17">
        <f>FZ125*VLOOKUP('Données projet'!$B$17,Paramètres!$A$1:$I$89,3,0)*VLOOKUP('Données projet'!$B$17,Paramètres!$A$1:$I$89,5,0)</f>
        <v>420.88800000000009</v>
      </c>
      <c r="GB125" s="13">
        <f t="shared" si="103"/>
        <v>95.998759891259041</v>
      </c>
      <c r="GC125" s="20">
        <f t="shared" si="79"/>
        <v>900.24444014394294</v>
      </c>
      <c r="GD125" s="59">
        <f t="shared" si="80"/>
        <v>1193.5777734772762</v>
      </c>
      <c r="GE125" s="59">
        <f ca="1">AVERAGE(OFFSET($GD$3,0,0,'Données projet'!$E$17+1,1))-AVERAGE(OFFSET($H$3,0,0,'Données projet'!$E$17+1,1))</f>
        <v>434.08297999735811</v>
      </c>
      <c r="GF125" s="59">
        <f t="shared" si="104"/>
        <v>371.04090283546122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69.21576797810971</v>
      </c>
      <c r="GM125" s="21">
        <f>EXP(-LN(2)/25)*GM124+(1-EXP(-LN(2)/25))/(LN(2)/25)*Calculateur!GH125*Calculateur!GJ125*VLOOKUP('Données projet'!$B$17,Paramètres!$A$1:$I$89,3,0)*0.475*44/12</f>
        <v>4.0343579640762028</v>
      </c>
      <c r="GN125" s="21">
        <f>EXP(-LN(2)/2)*GN124+(1-EXP(-LN(2)/2))/(LN(2)/2)*GH125*GK125*VLOOKUP('Données projet'!$B$17,Paramètres!$A$1:$I$89,3,0)*0.475*44/12</f>
        <v>1.0680735613303046E-14</v>
      </c>
      <c r="GO125" s="21">
        <f t="shared" si="81"/>
        <v>73.250125942185932</v>
      </c>
      <c r="GP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614.99999999999989</v>
      </c>
      <c r="GV125" s="17">
        <f>GU125*VLOOKUP('Données projet'!$B$18,Paramètres!$A$1:$I$89,3,0)*VLOOKUP('Données projet'!$B$18,Paramètres!$A$1:$I$89,5,0)</f>
        <v>351.78</v>
      </c>
      <c r="GW125" s="13">
        <f t="shared" si="105"/>
        <v>81.92892344316067</v>
      </c>
      <c r="GX125" s="20">
        <f t="shared" si="82"/>
        <v>755.37637499683808</v>
      </c>
      <c r="GY125" s="59">
        <f t="shared" si="83"/>
        <v>1048.7097083301715</v>
      </c>
      <c r="GZ125" s="59">
        <f ca="1">AVERAGE(OFFSET($GY$3,0,0,'Données projet'!$E$18+1,1))-AVERAGE(OFFSET($H$3,0,0,'Données projet'!$E$18+1,1))</f>
        <v>362.57172983134313</v>
      </c>
      <c r="HA125" s="59">
        <f t="shared" si="106"/>
        <v>232.03250917542471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56.253756540998623</v>
      </c>
      <c r="HH125" s="21">
        <f>EXP(-LN(2)/25)*HH124+(1-EXP(-LN(2)/25))/(LN(2)/25)*Calculateur!HC125*Calculateur!HE125*VLOOKUP('Données projet'!$B$18,Paramètres!$A$1:$I$89,3,0)*0.475*44/12</f>
        <v>2.432196667337807</v>
      </c>
      <c r="HI125" s="21">
        <f>EXP(-LN(2)/2)*HI124+(1-EXP(-LN(2)/2))/(LN(2)/2)*HC125*HF125*VLOOKUP('Données projet'!$B$18,Paramètres!$A$1:$I$89,3,0)*0.475*44/12</f>
        <v>1.0641516265885774E-14</v>
      </c>
      <c r="HJ125" s="22">
        <f t="shared" si="84"/>
        <v>58.685953208336436</v>
      </c>
    </row>
    <row r="126" spans="1:218" x14ac:dyDescent="0.3">
      <c r="A126" s="10">
        <f t="shared" si="85"/>
        <v>123</v>
      </c>
      <c r="B126" s="71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5">
        <f t="shared" si="56"/>
        <v>425.90808813477543</v>
      </c>
      <c r="I126" s="6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266.99999999999983</v>
      </c>
      <c r="O126" s="13">
        <f>N126*VLOOKUP('Données projet'!$B$9,Paramètres!$A$1:$I$89,3,0)*VLOOKUP('Données projet'!$B$9,Paramètres!$A$1:$I$89,5,0)</f>
        <v>212.42519999999985</v>
      </c>
      <c r="P126" s="13">
        <f t="shared" si="87"/>
        <v>52.465198231787184</v>
      </c>
      <c r="Q126" s="20">
        <f t="shared" si="107"/>
        <v>461.35077692036231</v>
      </c>
      <c r="R126" s="59">
        <f t="shared" si="55"/>
        <v>754.68411025369562</v>
      </c>
      <c r="S126" s="59">
        <f ca="1">AVERAGE(OFFSET($R$3,0,0,'Données projet'!$E$9+1,1))-AVERAGE(OFFSET($H$3,0,0,'Données projet'!$E$9+1,1))</f>
        <v>225.2323446080772</v>
      </c>
      <c r="T126" s="59">
        <f t="shared" si="88"/>
        <v>222.29030402759292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18.514864448584149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18.514864448584149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732.99999999999966</v>
      </c>
      <c r="AJ126" s="13">
        <f>AI126*VLOOKUP('Données projet'!$B$10,Paramètres!$A$1:$I$89,3,0)*VLOOKUP('Données projet'!$B$10,Paramètres!$A$1:$I$89,5,0)</f>
        <v>362.1019999999998</v>
      </c>
      <c r="AK126" s="13">
        <f t="shared" si="89"/>
        <v>84.049487364732272</v>
      </c>
      <c r="AL126" s="20">
        <f t="shared" si="58"/>
        <v>777.04717382690842</v>
      </c>
      <c r="AM126" s="59">
        <f t="shared" si="59"/>
        <v>1070.3805071602417</v>
      </c>
      <c r="AN126" s="59">
        <f ca="1">AVERAGE(OFFSET($AM$3,0,0,'Données projet'!$E$10+1,1))-AVERAGE(OFFSET($H$3,0,0,'Données projet'!$E$10+1,1))</f>
        <v>360.05819346986135</v>
      </c>
      <c r="AO126" s="59">
        <f t="shared" si="90"/>
        <v>300.47468388351081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55.445434085048021</v>
      </c>
      <c r="AV126" s="21">
        <f>EXP(-LN(2)/25)*AV125+(1-EXP(-LN(2)/25))/(LN(2)/25)*Calculateur!AQ126*Calculateur!AS126*VLOOKUP('Données projet'!$B$10,Paramètres!$A$1:$I$89,3,0)*0.475*44/12</f>
        <v>3.2105767364107116</v>
      </c>
      <c r="AW126" s="21">
        <f>EXP(-LN(2)/2)*AW125+(1-EXP(-LN(2)/2))/(LN(2)/2)*AQ126*AT126*VLOOKUP('Données projet'!$B$10,Paramètres!$A$1:$I$89,3,0)*0.475*44/12</f>
        <v>5.2691306373678427E-16</v>
      </c>
      <c r="AX126" s="21">
        <f t="shared" si="60"/>
        <v>58.656010821458736</v>
      </c>
      <c r="AY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465.00000000000006</v>
      </c>
      <c r="BE126" s="13">
        <f>BD126*VLOOKUP('Données projet'!$B$11,Paramètres!$A$1:$I$89,3,0)*VLOOKUP('Données projet'!$B$11,Paramètres!$A$1:$I$89,5,0)</f>
        <v>265.98</v>
      </c>
      <c r="BF126" s="13">
        <f t="shared" si="91"/>
        <v>63.995380422211589</v>
      </c>
      <c r="BG126" s="20">
        <f t="shared" si="61"/>
        <v>574.70712090201857</v>
      </c>
      <c r="BH126" s="59">
        <f t="shared" si="62"/>
        <v>868.04045423535194</v>
      </c>
      <c r="BI126" s="59">
        <f ca="1">AVERAGE(OFFSET($BH$3,0,0,'Données projet'!$E$11+1,1))-AVERAGE(OFFSET($H$3,0,0,'Données projet'!$E$11+1,1))</f>
        <v>250.90038883668348</v>
      </c>
      <c r="BJ126" s="59">
        <f t="shared" si="92"/>
        <v>141.96132114475608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42.464821343015075</v>
      </c>
      <c r="BQ126" s="21">
        <f>EXP(-LN(2)/25)*BQ125+(1-EXP(-LN(2)/25))/(LN(2)/25)*Calculateur!BL126*Calculateur!BN126*VLOOKUP('Données projet'!$B$11,Paramètres!$A$1:$I$89,3,0)*0.475*44/12</f>
        <v>0.90335822128874632</v>
      </c>
      <c r="BR126" s="21">
        <f>EXP(-LN(2)/2)*BR125+(1-EXP(-LN(2)/2))/(LN(2)/2)*BL126*BO126*VLOOKUP('Données projet'!$B$11,Paramètres!$A$1:$I$89,3,0)*0.475*44/12</f>
        <v>3.7964328299916983E-14</v>
      </c>
      <c r="BS126" s="22">
        <f t="shared" si="63"/>
        <v>43.368179564303858</v>
      </c>
      <c r="BT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319</v>
      </c>
      <c r="BZ126" s="13">
        <f>BY126*VLOOKUP('Données projet'!$B$12,Paramètres!$A$1:$I$89,3,0)*VLOOKUP('Données projet'!$B$12,Paramètres!$A$1:$I$89,5,0)</f>
        <v>253.79640000000001</v>
      </c>
      <c r="CA126" s="13">
        <f t="shared" si="93"/>
        <v>61.39816832228076</v>
      </c>
      <c r="CB126" s="20">
        <f t="shared" si="64"/>
        <v>548.96387316130563</v>
      </c>
      <c r="CC126" s="59">
        <f t="shared" si="65"/>
        <v>842.29720649463889</v>
      </c>
      <c r="CD126" s="59">
        <f ca="1">AVERAGE(OFFSET($CC$3,0,0,'Données projet'!$E$12+1,1))-AVERAGE(OFFSET($H$3,0,0,'Données projet'!$E$12+1,1))</f>
        <v>279.49721661620544</v>
      </c>
      <c r="CE126" s="59">
        <f t="shared" si="94"/>
        <v>275.18739333988754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22.689003038643282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22.689003038643282</v>
      </c>
      <c r="CO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789</v>
      </c>
      <c r="CU126" s="17">
        <f>CT126*VLOOKUP('Données projet'!$B$13,Paramètres!$A$1:$I$89,3,0)*VLOOKUP('Données projet'!$B$13,Paramètres!$A$1:$I$89,5,0)</f>
        <v>389.76600000000002</v>
      </c>
      <c r="CV126" s="13">
        <f t="shared" si="95"/>
        <v>89.698759503620408</v>
      </c>
      <c r="CW126" s="20">
        <f t="shared" si="67"/>
        <v>835.06778946880547</v>
      </c>
      <c r="CX126" s="59">
        <f t="shared" si="68"/>
        <v>1128.4011228021388</v>
      </c>
      <c r="CY126" s="59">
        <f ca="1">AVERAGE(OFFSET($CX$3,0,0,'Données projet'!$E$13+1,1))-AVERAGE(OFFSET($H$3,0,0,'Données projet'!$E$13+1,1))</f>
        <v>396.27049617044378</v>
      </c>
      <c r="CZ126" s="59">
        <f t="shared" si="96"/>
        <v>335.2680289568774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61.505403014085495</v>
      </c>
      <c r="DG126" s="21">
        <f>EXP(-LN(2)/25)*DG125+(1-EXP(-LN(2)/25))/(LN(2)/25)*Calculateur!DB126*Calculateur!DD126*VLOOKUP('Données projet'!$B$13,Paramètres!$A$1:$I$89,3,0)*0.475*44/12</f>
        <v>3.5673074849007929</v>
      </c>
      <c r="DH126" s="21">
        <f>EXP(-LN(2)/2)*DH125+(1-EXP(-LN(2)/2))/(LN(2)/2)*DB126*DE126*VLOOKUP('Données projet'!$B$13,Paramètres!$A$1:$I$89,3,0)*0.475*44/12</f>
        <v>3.8640291340697539E-15</v>
      </c>
      <c r="DI126" s="22">
        <f t="shared" si="69"/>
        <v>65.072710498986282</v>
      </c>
      <c r="DJ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541.99999999999989</v>
      </c>
      <c r="DP126" s="17">
        <f>DO126*VLOOKUP('Données projet'!$B$14,Paramètres!$A$1:$I$89,3,0)*VLOOKUP('Données projet'!$B$14,Paramètres!$A$1:$I$89,5,0)</f>
        <v>310.02399999999994</v>
      </c>
      <c r="DQ126" s="13">
        <f t="shared" si="97"/>
        <v>73.27384230442388</v>
      </c>
      <c r="DR126" s="20">
        <f t="shared" si="70"/>
        <v>667.57707534687154</v>
      </c>
      <c r="DS126" s="59">
        <f t="shared" si="71"/>
        <v>960.91040868020491</v>
      </c>
      <c r="DT126" s="59">
        <f ca="1">AVERAGE(OFFSET($DS$3,0,0,'Données projet'!$E$14+1,1))-AVERAGE(OFFSET($H$3,0,0,'Données projet'!$E$14+1,1))</f>
        <v>307.43900954374504</v>
      </c>
      <c r="DU126" s="59">
        <f t="shared" si="98"/>
        <v>185.25270859048999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48.905651393831519</v>
      </c>
      <c r="EB126" s="21">
        <f>EXP(-LN(2)/25)*EB125+(1-EXP(-LN(2)/25))/(LN(2)/25)*Calculateur!DW126*Calculateur!DY126*VLOOKUP('Données projet'!$B$14,Paramètres!$A$1:$I$89,3,0)*0.475*44/12</f>
        <v>2.0277326756278184</v>
      </c>
      <c r="EC126" s="21">
        <f>EXP(-LN(2)/2)*EC125+(1-EXP(-LN(2)/2))/(LN(2)/2)*DW126*DZ126*VLOOKUP('Données projet'!$B$14,Paramètres!$A$1:$I$89,3,0)*0.475*44/12</f>
        <v>3.6606591796450283E-15</v>
      </c>
      <c r="ED126" s="22">
        <f t="shared" si="72"/>
        <v>50.933384069459343</v>
      </c>
      <c r="EE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401</v>
      </c>
      <c r="EK126" s="17">
        <f>EJ126*VLOOKUP('Données projet'!$B$15,Paramètres!$A$1:$I$89,3,0)*VLOOKUP('Données projet'!$B$15,Paramètres!$A$1:$I$89,5,0)</f>
        <v>250.22399999999999</v>
      </c>
      <c r="EL126" s="13">
        <f t="shared" si="99"/>
        <v>60.633904580527918</v>
      </c>
      <c r="EM126" s="20">
        <f t="shared" si="73"/>
        <v>541.41085047775289</v>
      </c>
      <c r="EN126" s="59">
        <f t="shared" si="74"/>
        <v>834.74418381108626</v>
      </c>
      <c r="EO126" s="59">
        <f ca="1">AVERAGE(OFFSET($EN$3,0,0,'Données projet'!$E$15+1,1))-AVERAGE(OFFSET($H$3,0,0,'Données projet'!$E$15+1,1))</f>
        <v>269.77739619445515</v>
      </c>
      <c r="EP126" s="59">
        <f t="shared" si="100"/>
        <v>347.56964743629885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21.991356693709456</v>
      </c>
      <c r="EW126" s="21">
        <f>EXP(-LN(2)/25)*EW125+(1-EXP(-LN(2)/25))/(LN(2)/25)*Calculateur!ER126*Calculateur!ET126*VLOOKUP('Données projet'!$B$15,Paramètres!$A$1:$I$89,3,0)*0.475*44/12</f>
        <v>6.9620562601651894</v>
      </c>
      <c r="EX126" s="21">
        <f>EXP(-LN(2)/2)*EX125+(1-EXP(-LN(2)/2))/(LN(2)/2)*ER126*EU126*VLOOKUP('Données projet'!$B$15,Paramètres!$A$1:$I$89,3,0)*0.475*44/12</f>
        <v>2.4959039861216106E-16</v>
      </c>
      <c r="EY126" s="22">
        <f t="shared" si="75"/>
        <v>28.953412953874647</v>
      </c>
      <c r="EZ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367.99999999999972</v>
      </c>
      <c r="FF126" s="17">
        <f>FE126*VLOOKUP('Données projet'!$B$16,Paramètres!$A$1:$I$89,3,0)*VLOOKUP('Données projet'!$B$16,Paramètres!$A$1:$I$89,5,0)</f>
        <v>292.78079999999977</v>
      </c>
      <c r="FG126" s="13">
        <f t="shared" si="101"/>
        <v>69.660903052386217</v>
      </c>
      <c r="FH126" s="20">
        <f t="shared" si="76"/>
        <v>631.25263281623893</v>
      </c>
      <c r="FI126" s="59">
        <f t="shared" si="77"/>
        <v>924.58596614957219</v>
      </c>
      <c r="FJ126" s="59">
        <f ca="1">AVERAGE(OFFSET($FI$3,0,0,'Données projet'!$E$16+1,1))-AVERAGE(OFFSET($H$3,0,0,'Données projet'!$E$16+1,1))</f>
        <v>331.52724290297675</v>
      </c>
      <c r="FK126" s="59">
        <f t="shared" si="102"/>
        <v>322.79102610158054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26.301121370993833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26.301121370993833</v>
      </c>
      <c r="FU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852.00000000000011</v>
      </c>
      <c r="GA126" s="17">
        <f>FZ126*VLOOKUP('Données projet'!$B$17,Paramètres!$A$1:$I$89,3,0)*VLOOKUP('Données projet'!$B$17,Paramètres!$A$1:$I$89,5,0)</f>
        <v>420.88800000000009</v>
      </c>
      <c r="GB126" s="13">
        <f t="shared" si="103"/>
        <v>95.998759891259041</v>
      </c>
      <c r="GC126" s="20">
        <f t="shared" si="79"/>
        <v>900.24444014394294</v>
      </c>
      <c r="GD126" s="59">
        <f t="shared" si="80"/>
        <v>1193.5777734772762</v>
      </c>
      <c r="GE126" s="59">
        <f ca="1">AVERAGE(OFFSET($GD$3,0,0,'Données projet'!$E$17+1,1))-AVERAGE(OFFSET($H$3,0,0,'Données projet'!$E$17+1,1))</f>
        <v>434.08297999735811</v>
      </c>
      <c r="GF126" s="59">
        <f t="shared" si="104"/>
        <v>371.04090283546122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67.858488985508814</v>
      </c>
      <c r="GM126" s="21">
        <f>EXP(-LN(2)/25)*GM125+(1-EXP(-LN(2)/25))/(LN(2)/25)*Calculateur!GH126*Calculateur!GJ126*VLOOKUP('Données projet'!$B$17,Paramètres!$A$1:$I$89,3,0)*0.475*44/12</f>
        <v>3.9240382333908745</v>
      </c>
      <c r="GN126" s="21">
        <f>EXP(-LN(2)/2)*GN125+(1-EXP(-LN(2)/2))/(LN(2)/2)*GH126*GK126*VLOOKUP('Données projet'!$B$17,Paramètres!$A$1:$I$89,3,0)*0.475*44/12</f>
        <v>7.5524205802272421E-15</v>
      </c>
      <c r="GO126" s="21">
        <f t="shared" si="81"/>
        <v>71.782527218899702</v>
      </c>
      <c r="GP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614.99999999999989</v>
      </c>
      <c r="GV126" s="17">
        <f>GU126*VLOOKUP('Données projet'!$B$18,Paramètres!$A$1:$I$89,3,0)*VLOOKUP('Données projet'!$B$18,Paramètres!$A$1:$I$89,5,0)</f>
        <v>351.78</v>
      </c>
      <c r="GW126" s="13">
        <f t="shared" si="105"/>
        <v>81.92892344316067</v>
      </c>
      <c r="GX126" s="20">
        <f t="shared" si="82"/>
        <v>755.37637499683808</v>
      </c>
      <c r="GY126" s="59">
        <f t="shared" si="83"/>
        <v>1048.7097083301715</v>
      </c>
      <c r="GZ126" s="59">
        <f ca="1">AVERAGE(OFFSET($GY$3,0,0,'Données projet'!$E$18+1,1))-AVERAGE(OFFSET($H$3,0,0,'Données projet'!$E$18+1,1))</f>
        <v>362.57172983134313</v>
      </c>
      <c r="HA126" s="59">
        <f t="shared" si="106"/>
        <v>232.03250917542471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55.15065468663316</v>
      </c>
      <c r="HH126" s="21">
        <f>EXP(-LN(2)/25)*HH125+(1-EXP(-LN(2)/25))/(LN(2)/25)*Calculateur!HC126*Calculateur!HE126*VLOOKUP('Données projet'!$B$18,Paramètres!$A$1:$I$89,3,0)*0.475*44/12</f>
        <v>2.3656881215657908</v>
      </c>
      <c r="HI126" s="21">
        <f>EXP(-LN(2)/2)*HI125+(1-EXP(-LN(2)/2))/(LN(2)/2)*HC126*HF126*VLOOKUP('Données projet'!$B$18,Paramètres!$A$1:$I$89,3,0)*0.475*44/12</f>
        <v>7.5246883137147783E-15</v>
      </c>
      <c r="HJ126" s="22">
        <f t="shared" si="84"/>
        <v>57.516342808198957</v>
      </c>
    </row>
    <row r="127" spans="1:218" x14ac:dyDescent="0.3">
      <c r="A127" s="10">
        <f t="shared" si="85"/>
        <v>124</v>
      </c>
      <c r="B127" s="71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5">
        <f t="shared" si="56"/>
        <v>426.95788372961988</v>
      </c>
      <c r="I127" s="6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266.99999999999983</v>
      </c>
      <c r="O127" s="13">
        <f>N127*VLOOKUP('Données projet'!$B$9,Paramètres!$A$1:$I$89,3,0)*VLOOKUP('Données projet'!$B$9,Paramètres!$A$1:$I$89,5,0)</f>
        <v>212.42519999999985</v>
      </c>
      <c r="P127" s="13">
        <f t="shared" si="87"/>
        <v>52.465198231787184</v>
      </c>
      <c r="Q127" s="20">
        <f t="shared" si="107"/>
        <v>461.35077692036231</v>
      </c>
      <c r="R127" s="59">
        <f t="shared" si="55"/>
        <v>754.68411025369562</v>
      </c>
      <c r="S127" s="59">
        <f ca="1">AVERAGE(OFFSET($R$3,0,0,'Données projet'!$E$9+1,1))-AVERAGE(OFFSET($H$3,0,0,'Données projet'!$E$9+1,1))</f>
        <v>225.2323446080772</v>
      </c>
      <c r="T127" s="59">
        <f t="shared" si="88"/>
        <v>222.29030402759292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18.151799249699639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18.151799249699639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732.99999999999966</v>
      </c>
      <c r="AJ127" s="13">
        <f>AI127*VLOOKUP('Données projet'!$B$10,Paramètres!$A$1:$I$89,3,0)*VLOOKUP('Données projet'!$B$10,Paramètres!$A$1:$I$89,5,0)</f>
        <v>362.1019999999998</v>
      </c>
      <c r="AK127" s="13">
        <f t="shared" si="89"/>
        <v>84.049487364732272</v>
      </c>
      <c r="AL127" s="20">
        <f t="shared" si="58"/>
        <v>777.04717382690842</v>
      </c>
      <c r="AM127" s="59">
        <f t="shared" si="59"/>
        <v>1070.3805071602417</v>
      </c>
      <c r="AN127" s="59">
        <f ca="1">AVERAGE(OFFSET($AM$3,0,0,'Données projet'!$E$10+1,1))-AVERAGE(OFFSET($H$3,0,0,'Données projet'!$E$10+1,1))</f>
        <v>360.05819346986135</v>
      </c>
      <c r="AO127" s="59">
        <f t="shared" si="90"/>
        <v>300.47468388351081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54.358182941015734</v>
      </c>
      <c r="AV127" s="21">
        <f>EXP(-LN(2)/25)*AV126+(1-EXP(-LN(2)/25))/(LN(2)/25)*Calculateur!AQ127*Calculateur!AS127*VLOOKUP('Données projet'!$B$10,Paramètres!$A$1:$I$89,3,0)*0.475*44/12</f>
        <v>3.1227833467166679</v>
      </c>
      <c r="AW127" s="21">
        <f>EXP(-LN(2)/2)*AW126+(1-EXP(-LN(2)/2))/(LN(2)/2)*AQ127*AT127*VLOOKUP('Données projet'!$B$10,Paramètres!$A$1:$I$89,3,0)*0.475*44/12</f>
        <v>3.7258380046405969E-16</v>
      </c>
      <c r="AX127" s="21">
        <f t="shared" si="60"/>
        <v>57.4809662877324</v>
      </c>
      <c r="AY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465.00000000000006</v>
      </c>
      <c r="BE127" s="13">
        <f>BD127*VLOOKUP('Données projet'!$B$11,Paramètres!$A$1:$I$89,3,0)*VLOOKUP('Données projet'!$B$11,Paramètres!$A$1:$I$89,5,0)</f>
        <v>265.98</v>
      </c>
      <c r="BF127" s="13">
        <f t="shared" si="91"/>
        <v>63.995380422211589</v>
      </c>
      <c r="BG127" s="20">
        <f t="shared" si="61"/>
        <v>574.70712090201857</v>
      </c>
      <c r="BH127" s="59">
        <f t="shared" si="62"/>
        <v>868.04045423535194</v>
      </c>
      <c r="BI127" s="59">
        <f ca="1">AVERAGE(OFFSET($BH$3,0,0,'Données projet'!$E$11+1,1))-AVERAGE(OFFSET($H$3,0,0,'Données projet'!$E$11+1,1))</f>
        <v>250.90038883668348</v>
      </c>
      <c r="BJ127" s="59">
        <f t="shared" si="92"/>
        <v>141.96132114475608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41.632112097462056</v>
      </c>
      <c r="BQ127" s="21">
        <f>EXP(-LN(2)/25)*BQ126+(1-EXP(-LN(2)/25))/(LN(2)/25)*Calculateur!BL127*Calculateur!BN127*VLOOKUP('Données projet'!$B$11,Paramètres!$A$1:$I$89,3,0)*0.475*44/12</f>
        <v>0.87865584322206136</v>
      </c>
      <c r="BR127" s="21">
        <f>EXP(-LN(2)/2)*BR126+(1-EXP(-LN(2)/2))/(LN(2)/2)*BL127*BO127*VLOOKUP('Données projet'!$B$11,Paramètres!$A$1:$I$89,3,0)*0.475*44/12</f>
        <v>2.6844833984063653E-14</v>
      </c>
      <c r="BS127" s="22">
        <f t="shared" si="63"/>
        <v>42.510767940684147</v>
      </c>
      <c r="BT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319</v>
      </c>
      <c r="BZ127" s="13">
        <f>BY127*VLOOKUP('Données projet'!$B$12,Paramètres!$A$1:$I$89,3,0)*VLOOKUP('Données projet'!$B$12,Paramètres!$A$1:$I$89,5,0)</f>
        <v>253.79640000000001</v>
      </c>
      <c r="CA127" s="13">
        <f t="shared" si="93"/>
        <v>61.39816832228076</v>
      </c>
      <c r="CB127" s="20">
        <f t="shared" si="64"/>
        <v>548.96387316130563</v>
      </c>
      <c r="CC127" s="59">
        <f t="shared" si="65"/>
        <v>842.29720649463889</v>
      </c>
      <c r="CD127" s="59">
        <f ca="1">AVERAGE(OFFSET($CC$3,0,0,'Données projet'!$E$12+1,1))-AVERAGE(OFFSET($H$3,0,0,'Données projet'!$E$12+1,1))</f>
        <v>279.49721661620544</v>
      </c>
      <c r="CE127" s="59">
        <f t="shared" si="94"/>
        <v>275.18739333988754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22.244085527980861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22.244085527980861</v>
      </c>
      <c r="CO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789</v>
      </c>
      <c r="CU127" s="17">
        <f>CT127*VLOOKUP('Données projet'!$B$13,Paramètres!$A$1:$I$89,3,0)*VLOOKUP('Données projet'!$B$13,Paramètres!$A$1:$I$89,5,0)</f>
        <v>389.76600000000002</v>
      </c>
      <c r="CV127" s="13">
        <f t="shared" si="95"/>
        <v>89.698759503620408</v>
      </c>
      <c r="CW127" s="20">
        <f t="shared" si="67"/>
        <v>835.06778946880547</v>
      </c>
      <c r="CX127" s="59">
        <f t="shared" si="68"/>
        <v>1128.4011228021388</v>
      </c>
      <c r="CY127" s="59">
        <f ca="1">AVERAGE(OFFSET($CX$3,0,0,'Données projet'!$E$13+1,1))-AVERAGE(OFFSET($H$3,0,0,'Données projet'!$E$13+1,1))</f>
        <v>396.27049617044378</v>
      </c>
      <c r="CZ127" s="59">
        <f t="shared" si="96"/>
        <v>335.2680289568774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60.299319575570856</v>
      </c>
      <c r="DG127" s="21">
        <f>EXP(-LN(2)/25)*DG126+(1-EXP(-LN(2)/25))/(LN(2)/25)*Calculateur!DB127*Calculateur!DD127*VLOOKUP('Données projet'!$B$13,Paramètres!$A$1:$I$89,3,0)*0.475*44/12</f>
        <v>3.469759274129633</v>
      </c>
      <c r="DH127" s="21">
        <f>EXP(-LN(2)/2)*DH126+(1-EXP(-LN(2)/2))/(LN(2)/2)*DB127*DE127*VLOOKUP('Données projet'!$B$13,Paramètres!$A$1:$I$89,3,0)*0.475*44/12</f>
        <v>2.7322812034031062E-15</v>
      </c>
      <c r="DI127" s="22">
        <f t="shared" si="69"/>
        <v>63.769078849700492</v>
      </c>
      <c r="DJ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541.99999999999989</v>
      </c>
      <c r="DP127" s="17">
        <f>DO127*VLOOKUP('Données projet'!$B$14,Paramètres!$A$1:$I$89,3,0)*VLOOKUP('Données projet'!$B$14,Paramètres!$A$1:$I$89,5,0)</f>
        <v>310.02399999999994</v>
      </c>
      <c r="DQ127" s="13">
        <f t="shared" si="97"/>
        <v>73.27384230442388</v>
      </c>
      <c r="DR127" s="20">
        <f t="shared" si="70"/>
        <v>667.57707534687154</v>
      </c>
      <c r="DS127" s="59">
        <f t="shared" si="71"/>
        <v>960.91040868020491</v>
      </c>
      <c r="DT127" s="59">
        <f ca="1">AVERAGE(OFFSET($DS$3,0,0,'Données projet'!$E$14+1,1))-AVERAGE(OFFSET($H$3,0,0,'Données projet'!$E$14+1,1))</f>
        <v>307.43900954374504</v>
      </c>
      <c r="DU127" s="59">
        <f t="shared" si="98"/>
        <v>185.25270859048999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47.946641399500415</v>
      </c>
      <c r="EB127" s="21">
        <f>EXP(-LN(2)/25)*EB126+(1-EXP(-LN(2)/25))/(LN(2)/25)*Calculateur!DW127*Calculateur!DY127*VLOOKUP('Données projet'!$B$14,Paramètres!$A$1:$I$89,3,0)*0.475*44/12</f>
        <v>1.9722842189789487</v>
      </c>
      <c r="EC127" s="21">
        <f>EXP(-LN(2)/2)*EC126+(1-EXP(-LN(2)/2))/(LN(2)/2)*DW127*DZ127*VLOOKUP('Données projet'!$B$14,Paramètres!$A$1:$I$89,3,0)*0.475*44/12</f>
        <v>2.5884769295397836E-15</v>
      </c>
      <c r="ED127" s="22">
        <f t="shared" si="72"/>
        <v>49.918925618479363</v>
      </c>
      <c r="EE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401</v>
      </c>
      <c r="EK127" s="17">
        <f>EJ127*VLOOKUP('Données projet'!$B$15,Paramètres!$A$1:$I$89,3,0)*VLOOKUP('Données projet'!$B$15,Paramètres!$A$1:$I$89,5,0)</f>
        <v>250.22399999999999</v>
      </c>
      <c r="EL127" s="13">
        <f t="shared" si="99"/>
        <v>60.633904580527918</v>
      </c>
      <c r="EM127" s="20">
        <f t="shared" si="73"/>
        <v>541.41085047775289</v>
      </c>
      <c r="EN127" s="59">
        <f t="shared" si="74"/>
        <v>834.74418381108626</v>
      </c>
      <c r="EO127" s="59">
        <f ca="1">AVERAGE(OFFSET($EN$3,0,0,'Données projet'!$E$15+1,1))-AVERAGE(OFFSET($H$3,0,0,'Données projet'!$E$15+1,1))</f>
        <v>269.77739619445515</v>
      </c>
      <c r="EP127" s="59">
        <f t="shared" si="100"/>
        <v>347.56964743629885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21.560119602348934</v>
      </c>
      <c r="EW127" s="21">
        <f>EXP(-LN(2)/25)*EW126+(1-EXP(-LN(2)/25))/(LN(2)/25)*Calculateur!ER127*Calculateur!ET127*VLOOKUP('Données projet'!$B$15,Paramètres!$A$1:$I$89,3,0)*0.475*44/12</f>
        <v>6.7716784656123457</v>
      </c>
      <c r="EX127" s="21">
        <f>EXP(-LN(2)/2)*EX126+(1-EXP(-LN(2)/2))/(LN(2)/2)*ER127*EU127*VLOOKUP('Données projet'!$B$15,Paramètres!$A$1:$I$89,3,0)*0.475*44/12</f>
        <v>1.7648706337771255E-16</v>
      </c>
      <c r="EY127" s="22">
        <f t="shared" si="75"/>
        <v>28.33179806796128</v>
      </c>
      <c r="EZ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367.99999999999972</v>
      </c>
      <c r="FF127" s="17">
        <f>FE127*VLOOKUP('Données projet'!$B$16,Paramètres!$A$1:$I$89,3,0)*VLOOKUP('Données projet'!$B$16,Paramètres!$A$1:$I$89,5,0)</f>
        <v>292.78079999999977</v>
      </c>
      <c r="FG127" s="13">
        <f t="shared" si="101"/>
        <v>69.660903052386217</v>
      </c>
      <c r="FH127" s="20">
        <f t="shared" si="76"/>
        <v>631.25263281623893</v>
      </c>
      <c r="FI127" s="59">
        <f t="shared" si="77"/>
        <v>924.58596614957219</v>
      </c>
      <c r="FJ127" s="59">
        <f ca="1">AVERAGE(OFFSET($FI$3,0,0,'Données projet'!$E$16+1,1))-AVERAGE(OFFSET($H$3,0,0,'Données projet'!$E$16+1,1))</f>
        <v>331.52724290297675</v>
      </c>
      <c r="FK127" s="59">
        <f t="shared" si="102"/>
        <v>322.79102610158054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25.785372423008656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25.785372423008656</v>
      </c>
      <c r="FU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852.00000000000011</v>
      </c>
      <c r="GA127" s="17">
        <f>FZ127*VLOOKUP('Données projet'!$B$17,Paramètres!$A$1:$I$89,3,0)*VLOOKUP('Données projet'!$B$17,Paramètres!$A$1:$I$89,5,0)</f>
        <v>420.88800000000009</v>
      </c>
      <c r="GB127" s="13">
        <f t="shared" si="103"/>
        <v>95.998759891259041</v>
      </c>
      <c r="GC127" s="20">
        <f t="shared" si="79"/>
        <v>900.24444014394294</v>
      </c>
      <c r="GD127" s="59">
        <f t="shared" si="80"/>
        <v>1193.5777734772762</v>
      </c>
      <c r="GE127" s="59">
        <f ca="1">AVERAGE(OFFSET($GD$3,0,0,'Données projet'!$E$17+1,1))-AVERAGE(OFFSET($H$3,0,0,'Données projet'!$E$17+1,1))</f>
        <v>434.08297999735811</v>
      </c>
      <c r="GF127" s="59">
        <f t="shared" si="104"/>
        <v>371.04090283546122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66.527825406094379</v>
      </c>
      <c r="GM127" s="21">
        <f>EXP(-LN(2)/25)*GM126+(1-EXP(-LN(2)/25))/(LN(2)/25)*Calculateur!GH127*Calculateur!GJ127*VLOOKUP('Données projet'!$B$17,Paramètres!$A$1:$I$89,3,0)*0.475*44/12</f>
        <v>3.816735201542599</v>
      </c>
      <c r="GN127" s="21">
        <f>EXP(-LN(2)/2)*GN126+(1-EXP(-LN(2)/2))/(LN(2)/2)*GH127*GK127*VLOOKUP('Données projet'!$B$17,Paramètres!$A$1:$I$89,3,0)*0.475*44/12</f>
        <v>5.3403678066515229E-15</v>
      </c>
      <c r="GO127" s="21">
        <f t="shared" si="81"/>
        <v>70.344560607636978</v>
      </c>
      <c r="GP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614.99999999999989</v>
      </c>
      <c r="GV127" s="17">
        <f>GU127*VLOOKUP('Données projet'!$B$18,Paramètres!$A$1:$I$89,3,0)*VLOOKUP('Données projet'!$B$18,Paramètres!$A$1:$I$89,5,0)</f>
        <v>351.78</v>
      </c>
      <c r="GW127" s="13">
        <f t="shared" si="105"/>
        <v>81.92892344316067</v>
      </c>
      <c r="GX127" s="20">
        <f t="shared" si="82"/>
        <v>755.37637499683808</v>
      </c>
      <c r="GY127" s="59">
        <f t="shared" si="83"/>
        <v>1048.7097083301715</v>
      </c>
      <c r="GZ127" s="59">
        <f ca="1">AVERAGE(OFFSET($GY$3,0,0,'Données projet'!$E$18+1,1))-AVERAGE(OFFSET($H$3,0,0,'Données projet'!$E$18+1,1))</f>
        <v>362.57172983134313</v>
      </c>
      <c r="HA127" s="59">
        <f t="shared" si="106"/>
        <v>232.03250917542471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54.069183986806109</v>
      </c>
      <c r="HH127" s="21">
        <f>EXP(-LN(2)/25)*HH126+(1-EXP(-LN(2)/25))/(LN(2)/25)*Calculateur!HC127*Calculateur!HE127*VLOOKUP('Données projet'!$B$18,Paramètres!$A$1:$I$89,3,0)*0.475*44/12</f>
        <v>2.3009982554754429</v>
      </c>
      <c r="HI127" s="21">
        <f>EXP(-LN(2)/2)*HI126+(1-EXP(-LN(2)/2))/(LN(2)/2)*HC127*HF127*VLOOKUP('Données projet'!$B$18,Paramètres!$A$1:$I$89,3,0)*0.475*44/12</f>
        <v>5.3207581329428871E-15</v>
      </c>
      <c r="HJ127" s="22">
        <f t="shared" si="84"/>
        <v>56.370182242281558</v>
      </c>
    </row>
    <row r="128" spans="1:218" x14ac:dyDescent="0.3">
      <c r="A128" s="10">
        <f t="shared" si="85"/>
        <v>125</v>
      </c>
      <c r="B128" s="71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5">
        <f t="shared" si="56"/>
        <v>428.00748035850785</v>
      </c>
      <c r="I128" s="6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266.99999999999983</v>
      </c>
      <c r="O128" s="13">
        <f>N128*VLOOKUP('Données projet'!$B$9,Paramètres!$A$1:$I$89,3,0)*VLOOKUP('Données projet'!$B$9,Paramètres!$A$1:$I$89,5,0)</f>
        <v>212.42519999999985</v>
      </c>
      <c r="P128" s="13">
        <f t="shared" si="87"/>
        <v>52.465198231787184</v>
      </c>
      <c r="Q128" s="20">
        <f t="shared" si="107"/>
        <v>461.35077692036231</v>
      </c>
      <c r="R128" s="59">
        <f t="shared" si="55"/>
        <v>754.68411025369562</v>
      </c>
      <c r="S128" s="59">
        <f ca="1">AVERAGE(OFFSET($R$3,0,0,'Données projet'!$E$9+1,1))-AVERAGE(OFFSET($H$3,0,0,'Données projet'!$E$9+1,1))</f>
        <v>225.2323446080772</v>
      </c>
      <c r="T128" s="59">
        <f t="shared" si="88"/>
        <v>222.29030402759292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17.795853537917353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17.795853537917353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732.99999999999966</v>
      </c>
      <c r="AJ128" s="13">
        <f>AI128*VLOOKUP('Données projet'!$B$10,Paramètres!$A$1:$I$89,3,0)*VLOOKUP('Données projet'!$B$10,Paramètres!$A$1:$I$89,5,0)</f>
        <v>362.1019999999998</v>
      </c>
      <c r="AK128" s="13">
        <f t="shared" si="89"/>
        <v>84.049487364732272</v>
      </c>
      <c r="AL128" s="20">
        <f t="shared" si="58"/>
        <v>777.04717382690842</v>
      </c>
      <c r="AM128" s="59">
        <f t="shared" si="59"/>
        <v>1070.3805071602417</v>
      </c>
      <c r="AN128" s="59">
        <f ca="1">AVERAGE(OFFSET($AM$3,0,0,'Données projet'!$E$10+1,1))-AVERAGE(OFFSET($H$3,0,0,'Données projet'!$E$10+1,1))</f>
        <v>360.05819346986135</v>
      </c>
      <c r="AO128" s="59">
        <f t="shared" si="90"/>
        <v>300.47468388351081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53.292252128760204</v>
      </c>
      <c r="AV128" s="21">
        <f>EXP(-LN(2)/25)*AV127+(1-EXP(-LN(2)/25))/(LN(2)/25)*Calculateur!AQ128*Calculateur!AS128*VLOOKUP('Données projet'!$B$10,Paramètres!$A$1:$I$89,3,0)*0.475*44/12</f>
        <v>3.0373906718806616</v>
      </c>
      <c r="AW128" s="21">
        <f>EXP(-LN(2)/2)*AW127+(1-EXP(-LN(2)/2))/(LN(2)/2)*AQ128*AT128*VLOOKUP('Données projet'!$B$10,Paramètres!$A$1:$I$89,3,0)*0.475*44/12</f>
        <v>2.6345653186839213E-16</v>
      </c>
      <c r="AX128" s="21">
        <f t="shared" si="60"/>
        <v>56.329642800640869</v>
      </c>
      <c r="AY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465.00000000000006</v>
      </c>
      <c r="BE128" s="13">
        <f>BD128*VLOOKUP('Données projet'!$B$11,Paramètres!$A$1:$I$89,3,0)*VLOOKUP('Données projet'!$B$11,Paramètres!$A$1:$I$89,5,0)</f>
        <v>265.98</v>
      </c>
      <c r="BF128" s="13">
        <f t="shared" si="91"/>
        <v>63.995380422211589</v>
      </c>
      <c r="BG128" s="20">
        <f t="shared" si="61"/>
        <v>574.70712090201857</v>
      </c>
      <c r="BH128" s="59">
        <f t="shared" si="62"/>
        <v>868.04045423535194</v>
      </c>
      <c r="BI128" s="59">
        <f ca="1">AVERAGE(OFFSET($BH$3,0,0,'Données projet'!$E$11+1,1))-AVERAGE(OFFSET($H$3,0,0,'Données projet'!$E$11+1,1))</f>
        <v>250.90038883668348</v>
      </c>
      <c r="BJ128" s="59">
        <f t="shared" si="92"/>
        <v>141.96132114475608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40.815731772311842</v>
      </c>
      <c r="BQ128" s="21">
        <f>EXP(-LN(2)/25)*BQ127+(1-EXP(-LN(2)/25))/(LN(2)/25)*Calculateur!BL128*Calculateur!BN128*VLOOKUP('Données projet'!$B$11,Paramètres!$A$1:$I$89,3,0)*0.475*44/12</f>
        <v>0.85462895298265151</v>
      </c>
      <c r="BR128" s="21">
        <f>EXP(-LN(2)/2)*BR127+(1-EXP(-LN(2)/2))/(LN(2)/2)*BL128*BO128*VLOOKUP('Données projet'!$B$11,Paramètres!$A$1:$I$89,3,0)*0.475*44/12</f>
        <v>1.8982164149958492E-14</v>
      </c>
      <c r="BS128" s="22">
        <f t="shared" si="63"/>
        <v>41.670360725294515</v>
      </c>
      <c r="BT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319</v>
      </c>
      <c r="BZ128" s="13">
        <f>BY128*VLOOKUP('Données projet'!$B$12,Paramètres!$A$1:$I$89,3,0)*VLOOKUP('Données projet'!$B$12,Paramètres!$A$1:$I$89,5,0)</f>
        <v>253.79640000000001</v>
      </c>
      <c r="CA128" s="13">
        <f t="shared" si="93"/>
        <v>61.39816832228076</v>
      </c>
      <c r="CB128" s="20">
        <f t="shared" si="64"/>
        <v>548.96387316130563</v>
      </c>
      <c r="CC128" s="59">
        <f t="shared" si="65"/>
        <v>842.29720649463889</v>
      </c>
      <c r="CD128" s="59">
        <f ca="1">AVERAGE(OFFSET($CC$3,0,0,'Données projet'!$E$12+1,1))-AVERAGE(OFFSET($H$3,0,0,'Données projet'!$E$12+1,1))</f>
        <v>279.49721661620544</v>
      </c>
      <c r="CE128" s="59">
        <f t="shared" si="94"/>
        <v>275.18739333988754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21.807892578329643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21.807892578329643</v>
      </c>
      <c r="CO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789</v>
      </c>
      <c r="CU128" s="17">
        <f>CT128*VLOOKUP('Données projet'!$B$13,Paramètres!$A$1:$I$89,3,0)*VLOOKUP('Données projet'!$B$13,Paramètres!$A$1:$I$89,5,0)</f>
        <v>389.76600000000002</v>
      </c>
      <c r="CV128" s="13">
        <f t="shared" si="95"/>
        <v>89.698759503620408</v>
      </c>
      <c r="CW128" s="20">
        <f t="shared" si="67"/>
        <v>835.06778946880547</v>
      </c>
      <c r="CX128" s="59">
        <f t="shared" si="68"/>
        <v>1128.4011228021388</v>
      </c>
      <c r="CY128" s="59">
        <f ca="1">AVERAGE(OFFSET($CX$3,0,0,'Données projet'!$E$13+1,1))-AVERAGE(OFFSET($H$3,0,0,'Données projet'!$E$13+1,1))</f>
        <v>396.27049617044378</v>
      </c>
      <c r="CZ128" s="59">
        <f t="shared" si="96"/>
        <v>335.2680289568774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59.116886697647232</v>
      </c>
      <c r="DG128" s="21">
        <f>EXP(-LN(2)/25)*DG127+(1-EXP(-LN(2)/25))/(LN(2)/25)*Calculateur!DB128*Calculateur!DD128*VLOOKUP('Données projet'!$B$13,Paramètres!$A$1:$I$89,3,0)*0.475*44/12</f>
        <v>3.3748785243118484</v>
      </c>
      <c r="DH128" s="21">
        <f>EXP(-LN(2)/2)*DH127+(1-EXP(-LN(2)/2))/(LN(2)/2)*DB128*DE128*VLOOKUP('Données projet'!$B$13,Paramètres!$A$1:$I$89,3,0)*0.475*44/12</f>
        <v>1.9320145670348769E-15</v>
      </c>
      <c r="DI128" s="22">
        <f t="shared" si="69"/>
        <v>62.491765221959078</v>
      </c>
      <c r="DJ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541.99999999999989</v>
      </c>
      <c r="DP128" s="17">
        <f>DO128*VLOOKUP('Données projet'!$B$14,Paramètres!$A$1:$I$89,3,0)*VLOOKUP('Données projet'!$B$14,Paramètres!$A$1:$I$89,5,0)</f>
        <v>310.02399999999994</v>
      </c>
      <c r="DQ128" s="13">
        <f t="shared" si="97"/>
        <v>73.27384230442388</v>
      </c>
      <c r="DR128" s="20">
        <f t="shared" si="70"/>
        <v>667.57707534687154</v>
      </c>
      <c r="DS128" s="59">
        <f t="shared" si="71"/>
        <v>960.91040868020491</v>
      </c>
      <c r="DT128" s="59">
        <f ca="1">AVERAGE(OFFSET($DS$3,0,0,'Données projet'!$E$14+1,1))-AVERAGE(OFFSET($H$3,0,0,'Données projet'!$E$14+1,1))</f>
        <v>307.43900954374504</v>
      </c>
      <c r="DU128" s="59">
        <f t="shared" si="98"/>
        <v>185.25270859048999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47.006437006219805</v>
      </c>
      <c r="EB128" s="21">
        <f>EXP(-LN(2)/25)*EB127+(1-EXP(-LN(2)/25))/(LN(2)/25)*Calculateur!DW128*Calculateur!DY128*VLOOKUP('Données projet'!$B$14,Paramètres!$A$1:$I$89,3,0)*0.475*44/12</f>
        <v>1.9183520032930499</v>
      </c>
      <c r="EC128" s="21">
        <f>EXP(-LN(2)/2)*EC127+(1-EXP(-LN(2)/2))/(LN(2)/2)*DW128*DZ128*VLOOKUP('Données projet'!$B$14,Paramètres!$A$1:$I$89,3,0)*0.475*44/12</f>
        <v>1.8303295898225142E-15</v>
      </c>
      <c r="ED128" s="22">
        <f t="shared" si="72"/>
        <v>48.924789009512857</v>
      </c>
      <c r="EE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401</v>
      </c>
      <c r="EK128" s="17">
        <f>EJ128*VLOOKUP('Données projet'!$B$15,Paramètres!$A$1:$I$89,3,0)*VLOOKUP('Données projet'!$B$15,Paramètres!$A$1:$I$89,5,0)</f>
        <v>250.22399999999999</v>
      </c>
      <c r="EL128" s="13">
        <f t="shared" si="99"/>
        <v>60.633904580527918</v>
      </c>
      <c r="EM128" s="20">
        <f t="shared" si="73"/>
        <v>541.41085047775289</v>
      </c>
      <c r="EN128" s="59">
        <f t="shared" si="74"/>
        <v>834.74418381108626</v>
      </c>
      <c r="EO128" s="59">
        <f ca="1">AVERAGE(OFFSET($EN$3,0,0,'Données projet'!$E$15+1,1))-AVERAGE(OFFSET($H$3,0,0,'Données projet'!$E$15+1,1))</f>
        <v>269.77739619445515</v>
      </c>
      <c r="EP128" s="59">
        <f t="shared" si="100"/>
        <v>347.56964743629885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21.137338807321338</v>
      </c>
      <c r="EW128" s="21">
        <f>EXP(-LN(2)/25)*EW127+(1-EXP(-LN(2)/25))/(LN(2)/25)*Calculateur!ER128*Calculateur!ET128*VLOOKUP('Données projet'!$B$15,Paramètres!$A$1:$I$89,3,0)*0.475*44/12</f>
        <v>6.5865065618630823</v>
      </c>
      <c r="EX128" s="21">
        <f>EXP(-LN(2)/2)*EX127+(1-EXP(-LN(2)/2))/(LN(2)/2)*ER128*EU128*VLOOKUP('Données projet'!$B$15,Paramètres!$A$1:$I$89,3,0)*0.475*44/12</f>
        <v>1.2479519930608053E-16</v>
      </c>
      <c r="EY128" s="22">
        <f t="shared" si="75"/>
        <v>27.723845369184421</v>
      </c>
      <c r="EZ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367.99999999999972</v>
      </c>
      <c r="FF128" s="17">
        <f>FE128*VLOOKUP('Données projet'!$B$16,Paramètres!$A$1:$I$89,3,0)*VLOOKUP('Données projet'!$B$16,Paramètres!$A$1:$I$89,5,0)</f>
        <v>292.78079999999977</v>
      </c>
      <c r="FG128" s="13">
        <f t="shared" si="101"/>
        <v>69.660903052386217</v>
      </c>
      <c r="FH128" s="20">
        <f t="shared" si="76"/>
        <v>631.25263281623893</v>
      </c>
      <c r="FI128" s="59">
        <f t="shared" si="77"/>
        <v>924.58596614957219</v>
      </c>
      <c r="FJ128" s="59">
        <f ca="1">AVERAGE(OFFSET($FI$3,0,0,'Données projet'!$E$16+1,1))-AVERAGE(OFFSET($H$3,0,0,'Données projet'!$E$16+1,1))</f>
        <v>331.52724290297675</v>
      </c>
      <c r="FK128" s="59">
        <f t="shared" si="102"/>
        <v>322.79102610158054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25.27973699731767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25.27973699731767</v>
      </c>
      <c r="FU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852.00000000000011</v>
      </c>
      <c r="GA128" s="17">
        <f>FZ128*VLOOKUP('Données projet'!$B$17,Paramètres!$A$1:$I$89,3,0)*VLOOKUP('Données projet'!$B$17,Paramètres!$A$1:$I$89,5,0)</f>
        <v>420.88800000000009</v>
      </c>
      <c r="GB128" s="13">
        <f t="shared" si="103"/>
        <v>95.998759891259041</v>
      </c>
      <c r="GC128" s="20">
        <f t="shared" si="79"/>
        <v>900.24444014394294</v>
      </c>
      <c r="GD128" s="59">
        <f t="shared" si="80"/>
        <v>1193.5777734772762</v>
      </c>
      <c r="GE128" s="59">
        <f ca="1">AVERAGE(OFFSET($GD$3,0,0,'Données projet'!$E$17+1,1))-AVERAGE(OFFSET($H$3,0,0,'Données projet'!$E$17+1,1))</f>
        <v>434.08297999735811</v>
      </c>
      <c r="GF128" s="59">
        <f t="shared" si="104"/>
        <v>371.04090283546122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65.223255327847625</v>
      </c>
      <c r="GM128" s="21">
        <f>EXP(-LN(2)/25)*GM127+(1-EXP(-LN(2)/25))/(LN(2)/25)*Calculateur!GH128*Calculateur!GJ128*VLOOKUP('Données projet'!$B$17,Paramètres!$A$1:$I$89,3,0)*0.475*44/12</f>
        <v>3.7123663767430357</v>
      </c>
      <c r="GN128" s="21">
        <f>EXP(-LN(2)/2)*GN127+(1-EXP(-LN(2)/2))/(LN(2)/2)*GH128*GK128*VLOOKUP('Données projet'!$B$17,Paramètres!$A$1:$I$89,3,0)*0.475*44/12</f>
        <v>3.776210290113621E-15</v>
      </c>
      <c r="GO128" s="21">
        <f t="shared" si="81"/>
        <v>68.935621704590659</v>
      </c>
      <c r="GP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614.99999999999989</v>
      </c>
      <c r="GV128" s="17">
        <f>GU128*VLOOKUP('Données projet'!$B$18,Paramètres!$A$1:$I$89,3,0)*VLOOKUP('Données projet'!$B$18,Paramètres!$A$1:$I$89,5,0)</f>
        <v>351.78</v>
      </c>
      <c r="GW128" s="13">
        <f t="shared" si="105"/>
        <v>81.92892344316067</v>
      </c>
      <c r="GX128" s="20">
        <f t="shared" si="82"/>
        <v>755.37637499683808</v>
      </c>
      <c r="GY128" s="59">
        <f t="shared" si="83"/>
        <v>1048.7097083301715</v>
      </c>
      <c r="GZ128" s="59">
        <f ca="1">AVERAGE(OFFSET($GY$3,0,0,'Données projet'!$E$18+1,1))-AVERAGE(OFFSET($H$3,0,0,'Données projet'!$E$18+1,1))</f>
        <v>362.57172983134313</v>
      </c>
      <c r="HA128" s="59">
        <f t="shared" si="106"/>
        <v>232.03250917542471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53.008920267770677</v>
      </c>
      <c r="HH128" s="21">
        <f>EXP(-LN(2)/25)*HH127+(1-EXP(-LN(2)/25))/(LN(2)/25)*Calculateur!HC128*Calculateur!HE128*VLOOKUP('Données projet'!$B$18,Paramètres!$A$1:$I$89,3,0)*0.475*44/12</f>
        <v>2.2380773371752278</v>
      </c>
      <c r="HI128" s="21">
        <f>EXP(-LN(2)/2)*HI127+(1-EXP(-LN(2)/2))/(LN(2)/2)*HC128*HF128*VLOOKUP('Données projet'!$B$18,Paramètres!$A$1:$I$89,3,0)*0.475*44/12</f>
        <v>3.7623441568573891E-15</v>
      </c>
      <c r="HJ128" s="22">
        <f t="shared" si="84"/>
        <v>55.246997604945911</v>
      </c>
    </row>
    <row r="129" spans="1:218" x14ac:dyDescent="0.3">
      <c r="A129" s="10">
        <f t="shared" si="85"/>
        <v>126</v>
      </c>
      <c r="B129" s="71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5">
        <f t="shared" si="56"/>
        <v>429.05687979765503</v>
      </c>
      <c r="I129" s="6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266.99999999999983</v>
      </c>
      <c r="O129" s="13">
        <f>N129*VLOOKUP('Données projet'!$B$9,Paramètres!$A$1:$I$89,3,0)*VLOOKUP('Données projet'!$B$9,Paramètres!$A$1:$I$89,5,0)</f>
        <v>212.42519999999985</v>
      </c>
      <c r="P129" s="13">
        <f t="shared" si="87"/>
        <v>52.465198231787184</v>
      </c>
      <c r="Q129" s="20">
        <f t="shared" si="107"/>
        <v>461.35077692036231</v>
      </c>
      <c r="R129" s="59">
        <f t="shared" si="55"/>
        <v>754.68411025369562</v>
      </c>
      <c r="S129" s="59">
        <f ca="1">AVERAGE(OFFSET($R$3,0,0,'Données projet'!$E$9+1,1))-AVERAGE(OFFSET($H$3,0,0,'Données projet'!$E$9+1,1))</f>
        <v>225.2323446080772</v>
      </c>
      <c r="T129" s="59">
        <f t="shared" si="88"/>
        <v>222.29030402759292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17.446887704437668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17.446887704437668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732.99999999999966</v>
      </c>
      <c r="AJ129" s="13">
        <f>AI129*VLOOKUP('Données projet'!$B$10,Paramètres!$A$1:$I$89,3,0)*VLOOKUP('Données projet'!$B$10,Paramètres!$A$1:$I$89,5,0)</f>
        <v>362.1019999999998</v>
      </c>
      <c r="AK129" s="13">
        <f t="shared" si="89"/>
        <v>84.049487364732272</v>
      </c>
      <c r="AL129" s="20">
        <f t="shared" si="58"/>
        <v>777.04717382690842</v>
      </c>
      <c r="AM129" s="59">
        <f t="shared" si="59"/>
        <v>1070.3805071602417</v>
      </c>
      <c r="AN129" s="59">
        <f ca="1">AVERAGE(OFFSET($AM$3,0,0,'Données projet'!$E$10+1,1))-AVERAGE(OFFSET($H$3,0,0,'Données projet'!$E$10+1,1))</f>
        <v>360.05819346986135</v>
      </c>
      <c r="AO129" s="59">
        <f t="shared" si="90"/>
        <v>300.47468388351081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52.247223569579404</v>
      </c>
      <c r="AV129" s="21">
        <f>EXP(-LN(2)/25)*AV128+(1-EXP(-LN(2)/25))/(LN(2)/25)*Calculateur!AQ129*Calculateur!AS129*VLOOKUP('Données projet'!$B$10,Paramètres!$A$1:$I$89,3,0)*0.475*44/12</f>
        <v>2.9543330642286514</v>
      </c>
      <c r="AW129" s="21">
        <f>EXP(-LN(2)/2)*AW128+(1-EXP(-LN(2)/2))/(LN(2)/2)*AQ129*AT129*VLOOKUP('Données projet'!$B$10,Paramètres!$A$1:$I$89,3,0)*0.475*44/12</f>
        <v>1.8629190023202985E-16</v>
      </c>
      <c r="AX129" s="21">
        <f t="shared" si="60"/>
        <v>55.201556633808053</v>
      </c>
      <c r="AY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465.00000000000006</v>
      </c>
      <c r="BE129" s="13">
        <f>BD129*VLOOKUP('Données projet'!$B$11,Paramètres!$A$1:$I$89,3,0)*VLOOKUP('Données projet'!$B$11,Paramètres!$A$1:$I$89,5,0)</f>
        <v>265.98</v>
      </c>
      <c r="BF129" s="13">
        <f t="shared" si="91"/>
        <v>63.995380422211589</v>
      </c>
      <c r="BG129" s="20">
        <f t="shared" si="61"/>
        <v>574.70712090201857</v>
      </c>
      <c r="BH129" s="59">
        <f t="shared" si="62"/>
        <v>868.04045423535194</v>
      </c>
      <c r="BI129" s="59">
        <f ca="1">AVERAGE(OFFSET($BH$3,0,0,'Données projet'!$E$11+1,1))-AVERAGE(OFFSET($H$3,0,0,'Données projet'!$E$11+1,1))</f>
        <v>250.90038883668348</v>
      </c>
      <c r="BJ129" s="59">
        <f t="shared" si="92"/>
        <v>141.96132114475608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40.015360167394995</v>
      </c>
      <c r="BQ129" s="21">
        <f>EXP(-LN(2)/25)*BQ128+(1-EXP(-LN(2)/25))/(LN(2)/25)*Calculateur!BL129*Calculateur!BN129*VLOOKUP('Données projet'!$B$11,Paramètres!$A$1:$I$89,3,0)*0.475*44/12</f>
        <v>0.83125907932035759</v>
      </c>
      <c r="BR129" s="21">
        <f>EXP(-LN(2)/2)*BR128+(1-EXP(-LN(2)/2))/(LN(2)/2)*BL129*BO129*VLOOKUP('Données projet'!$B$11,Paramètres!$A$1:$I$89,3,0)*0.475*44/12</f>
        <v>1.3422416992031826E-14</v>
      </c>
      <c r="BS129" s="22">
        <f t="shared" si="63"/>
        <v>40.846619246715363</v>
      </c>
      <c r="BT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319</v>
      </c>
      <c r="BZ129" s="13">
        <f>BY129*VLOOKUP('Données projet'!$B$12,Paramètres!$A$1:$I$89,3,0)*VLOOKUP('Données projet'!$B$12,Paramètres!$A$1:$I$89,5,0)</f>
        <v>253.79640000000001</v>
      </c>
      <c r="CA129" s="13">
        <f t="shared" si="93"/>
        <v>61.39816832228076</v>
      </c>
      <c r="CB129" s="20">
        <f t="shared" si="64"/>
        <v>548.96387316130563</v>
      </c>
      <c r="CC129" s="59">
        <f t="shared" si="65"/>
        <v>842.29720649463889</v>
      </c>
      <c r="CD129" s="59">
        <f ca="1">AVERAGE(OFFSET($CC$3,0,0,'Données projet'!$E$12+1,1))-AVERAGE(OFFSET($H$3,0,0,'Données projet'!$E$12+1,1))</f>
        <v>279.49721661620544</v>
      </c>
      <c r="CE129" s="59">
        <f t="shared" si="94"/>
        <v>275.18739333988754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21.380253106369658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21.380253106369658</v>
      </c>
      <c r="CO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789</v>
      </c>
      <c r="CU129" s="17">
        <f>CT129*VLOOKUP('Données projet'!$B$13,Paramètres!$A$1:$I$89,3,0)*VLOOKUP('Données projet'!$B$13,Paramètres!$A$1:$I$89,5,0)</f>
        <v>389.76600000000002</v>
      </c>
      <c r="CV129" s="13">
        <f t="shared" si="95"/>
        <v>89.698759503620408</v>
      </c>
      <c r="CW129" s="20">
        <f t="shared" si="67"/>
        <v>835.06778946880547</v>
      </c>
      <c r="CX129" s="59">
        <f t="shared" si="68"/>
        <v>1128.4011228021388</v>
      </c>
      <c r="CY129" s="59">
        <f ca="1">AVERAGE(OFFSET($CX$3,0,0,'Données projet'!$E$13+1,1))-AVERAGE(OFFSET($H$3,0,0,'Données projet'!$E$13+1,1))</f>
        <v>396.27049617044378</v>
      </c>
      <c r="CZ129" s="59">
        <f t="shared" si="96"/>
        <v>335.2680289568774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57.957640607246852</v>
      </c>
      <c r="DG129" s="21">
        <f>EXP(-LN(2)/25)*DG128+(1-EXP(-LN(2)/25))/(LN(2)/25)*Calculateur!DB129*Calculateur!DD129*VLOOKUP('Données projet'!$B$13,Paramètres!$A$1:$I$89,3,0)*0.475*44/12</f>
        <v>3.2825922935873928</v>
      </c>
      <c r="DH129" s="21">
        <f>EXP(-LN(2)/2)*DH128+(1-EXP(-LN(2)/2))/(LN(2)/2)*DB129*DE129*VLOOKUP('Données projet'!$B$13,Paramètres!$A$1:$I$89,3,0)*0.475*44/12</f>
        <v>1.3661406017015531E-15</v>
      </c>
      <c r="DI129" s="22">
        <f t="shared" si="69"/>
        <v>61.240232900834243</v>
      </c>
      <c r="DJ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541.99999999999989</v>
      </c>
      <c r="DP129" s="17">
        <f>DO129*VLOOKUP('Données projet'!$B$14,Paramètres!$A$1:$I$89,3,0)*VLOOKUP('Données projet'!$B$14,Paramètres!$A$1:$I$89,5,0)</f>
        <v>310.02399999999994</v>
      </c>
      <c r="DQ129" s="13">
        <f t="shared" si="97"/>
        <v>73.27384230442388</v>
      </c>
      <c r="DR129" s="20">
        <f t="shared" si="70"/>
        <v>667.57707534687154</v>
      </c>
      <c r="DS129" s="59">
        <f t="shared" si="71"/>
        <v>960.91040868020491</v>
      </c>
      <c r="DT129" s="59">
        <f ca="1">AVERAGE(OFFSET($DS$3,0,0,'Données projet'!$E$14+1,1))-AVERAGE(OFFSET($H$3,0,0,'Données projet'!$E$14+1,1))</f>
        <v>307.43900954374504</v>
      </c>
      <c r="DU129" s="59">
        <f t="shared" si="98"/>
        <v>185.25270859048999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46.084669447623376</v>
      </c>
      <c r="EB129" s="21">
        <f>EXP(-LN(2)/25)*EB128+(1-EXP(-LN(2)/25))/(LN(2)/25)*Calculateur!DW129*Calculateur!DY129*VLOOKUP('Données projet'!$B$14,Paramètres!$A$1:$I$89,3,0)*0.475*44/12</f>
        <v>1.8658945668812541</v>
      </c>
      <c r="EC129" s="21">
        <f>EXP(-LN(2)/2)*EC128+(1-EXP(-LN(2)/2))/(LN(2)/2)*DW129*DZ129*VLOOKUP('Données projet'!$B$14,Paramètres!$A$1:$I$89,3,0)*0.475*44/12</f>
        <v>1.2942384647698918E-15</v>
      </c>
      <c r="ED129" s="22">
        <f t="shared" si="72"/>
        <v>47.950564014504629</v>
      </c>
      <c r="EE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401</v>
      </c>
      <c r="EK129" s="17">
        <f>EJ129*VLOOKUP('Données projet'!$B$15,Paramètres!$A$1:$I$89,3,0)*VLOOKUP('Données projet'!$B$15,Paramètres!$A$1:$I$89,5,0)</f>
        <v>250.22399999999999</v>
      </c>
      <c r="EL129" s="13">
        <f t="shared" si="99"/>
        <v>60.633904580527918</v>
      </c>
      <c r="EM129" s="20">
        <f t="shared" si="73"/>
        <v>541.41085047775289</v>
      </c>
      <c r="EN129" s="59">
        <f t="shared" si="74"/>
        <v>834.74418381108626</v>
      </c>
      <c r="EO129" s="59">
        <f ca="1">AVERAGE(OFFSET($EN$3,0,0,'Données projet'!$E$15+1,1))-AVERAGE(OFFSET($H$3,0,0,'Données projet'!$E$15+1,1))</f>
        <v>269.77739619445515</v>
      </c>
      <c r="EP129" s="59">
        <f t="shared" si="100"/>
        <v>347.56964743629885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20.722848485813412</v>
      </c>
      <c r="EW129" s="21">
        <f>EXP(-LN(2)/25)*EW128+(1-EXP(-LN(2)/25))/(LN(2)/25)*Calculateur!ER129*Calculateur!ET129*VLOOKUP('Données projet'!$B$15,Paramètres!$A$1:$I$89,3,0)*0.475*44/12</f>
        <v>6.4063981935596095</v>
      </c>
      <c r="EX129" s="21">
        <f>EXP(-LN(2)/2)*EX128+(1-EXP(-LN(2)/2))/(LN(2)/2)*ER129*EU129*VLOOKUP('Données projet'!$B$15,Paramètres!$A$1:$I$89,3,0)*0.475*44/12</f>
        <v>8.8243531688856274E-17</v>
      </c>
      <c r="EY129" s="22">
        <f t="shared" si="75"/>
        <v>27.129246679373022</v>
      </c>
      <c r="EZ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367.99999999999972</v>
      </c>
      <c r="FF129" s="17">
        <f>FE129*VLOOKUP('Données projet'!$B$16,Paramètres!$A$1:$I$89,3,0)*VLOOKUP('Données projet'!$B$16,Paramètres!$A$1:$I$89,5,0)</f>
        <v>292.78079999999977</v>
      </c>
      <c r="FG129" s="13">
        <f t="shared" si="101"/>
        <v>69.660903052386217</v>
      </c>
      <c r="FH129" s="20">
        <f t="shared" si="76"/>
        <v>631.25263281623893</v>
      </c>
      <c r="FI129" s="59">
        <f t="shared" si="77"/>
        <v>924.58596614957219</v>
      </c>
      <c r="FJ129" s="59">
        <f ca="1">AVERAGE(OFFSET($FI$3,0,0,'Données projet'!$E$16+1,1))-AVERAGE(OFFSET($H$3,0,0,'Données projet'!$E$16+1,1))</f>
        <v>331.52724290297675</v>
      </c>
      <c r="FK129" s="59">
        <f t="shared" si="102"/>
        <v>322.79102610158054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24.784016773917326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24.784016773917326</v>
      </c>
      <c r="FU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852.00000000000011</v>
      </c>
      <c r="GA129" s="17">
        <f>FZ129*VLOOKUP('Données projet'!$B$17,Paramètres!$A$1:$I$89,3,0)*VLOOKUP('Données projet'!$B$17,Paramètres!$A$1:$I$89,5,0)</f>
        <v>420.88800000000009</v>
      </c>
      <c r="GB129" s="13">
        <f t="shared" si="103"/>
        <v>95.998759891259041</v>
      </c>
      <c r="GC129" s="20">
        <f t="shared" si="79"/>
        <v>900.24444014394294</v>
      </c>
      <c r="GD129" s="59">
        <f t="shared" si="80"/>
        <v>1193.5777734772762</v>
      </c>
      <c r="GE129" s="59">
        <f ca="1">AVERAGE(OFFSET($GD$3,0,0,'Données projet'!$E$17+1,1))-AVERAGE(OFFSET($H$3,0,0,'Données projet'!$E$17+1,1))</f>
        <v>434.08297999735811</v>
      </c>
      <c r="GF129" s="59">
        <f t="shared" si="104"/>
        <v>371.04090283546122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63.944267073126113</v>
      </c>
      <c r="GM129" s="21">
        <f>EXP(-LN(2)/25)*GM128+(1-EXP(-LN(2)/25))/(LN(2)/25)*Calculateur!GH129*Calculateur!GJ129*VLOOKUP('Données projet'!$B$17,Paramètres!$A$1:$I$89,3,0)*0.475*44/12</f>
        <v>3.6108515229461342</v>
      </c>
      <c r="GN129" s="21">
        <f>EXP(-LN(2)/2)*GN128+(1-EXP(-LN(2)/2))/(LN(2)/2)*GH129*GK129*VLOOKUP('Données projet'!$B$17,Paramètres!$A$1:$I$89,3,0)*0.475*44/12</f>
        <v>2.6701839033257615E-15</v>
      </c>
      <c r="GO129" s="21">
        <f t="shared" si="81"/>
        <v>67.555118596072248</v>
      </c>
      <c r="GP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614.99999999999989</v>
      </c>
      <c r="GV129" s="17">
        <f>GU129*VLOOKUP('Données projet'!$B$18,Paramètres!$A$1:$I$89,3,0)*VLOOKUP('Données projet'!$B$18,Paramètres!$A$1:$I$89,5,0)</f>
        <v>351.78</v>
      </c>
      <c r="GW129" s="13">
        <f t="shared" si="105"/>
        <v>81.92892344316067</v>
      </c>
      <c r="GX129" s="20">
        <f t="shared" si="82"/>
        <v>755.37637499683808</v>
      </c>
      <c r="GY129" s="59">
        <f t="shared" si="83"/>
        <v>1048.7097083301715</v>
      </c>
      <c r="GZ129" s="59">
        <f ca="1">AVERAGE(OFFSET($GY$3,0,0,'Données projet'!$E$18+1,1))-AVERAGE(OFFSET($H$3,0,0,'Données projet'!$E$18+1,1))</f>
        <v>362.57172983134313</v>
      </c>
      <c r="HA129" s="59">
        <f t="shared" si="106"/>
        <v>232.03250917542471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51.96944767356851</v>
      </c>
      <c r="HH129" s="21">
        <f>EXP(-LN(2)/25)*HH128+(1-EXP(-LN(2)/25))/(LN(2)/25)*Calculateur!HC129*Calculateur!HE129*VLOOKUP('Données projet'!$B$18,Paramètres!$A$1:$I$89,3,0)*0.475*44/12</f>
        <v>2.1768769946947994</v>
      </c>
      <c r="HI129" s="21">
        <f>EXP(-LN(2)/2)*HI128+(1-EXP(-LN(2)/2))/(LN(2)/2)*HC129*HF129*VLOOKUP('Données projet'!$B$18,Paramètres!$A$1:$I$89,3,0)*0.475*44/12</f>
        <v>2.6603790664714435E-15</v>
      </c>
      <c r="HJ129" s="22">
        <f t="shared" si="84"/>
        <v>54.146324668263311</v>
      </c>
    </row>
    <row r="130" spans="1:218" x14ac:dyDescent="0.3">
      <c r="A130" s="10">
        <f t="shared" si="85"/>
        <v>127</v>
      </c>
      <c r="B130" s="71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5">
        <f t="shared" si="56"/>
        <v>430.10608379345501</v>
      </c>
      <c r="I130" s="6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266.99999999999983</v>
      </c>
      <c r="O130" s="13">
        <f>N130*VLOOKUP('Données projet'!$B$9,Paramètres!$A$1:$I$89,3,0)*VLOOKUP('Données projet'!$B$9,Paramètres!$A$1:$I$89,5,0)</f>
        <v>212.42519999999985</v>
      </c>
      <c r="P130" s="13">
        <f t="shared" si="87"/>
        <v>52.465198231787184</v>
      </c>
      <c r="Q130" s="20">
        <f t="shared" si="107"/>
        <v>461.35077692036231</v>
      </c>
      <c r="R130" s="59">
        <f t="shared" si="55"/>
        <v>754.68411025369562</v>
      </c>
      <c r="S130" s="59">
        <f ca="1">AVERAGE(OFFSET($R$3,0,0,'Données projet'!$E$9+1,1))-AVERAGE(OFFSET($H$3,0,0,'Données projet'!$E$9+1,1))</f>
        <v>225.2323446080772</v>
      </c>
      <c r="T130" s="59">
        <f t="shared" si="88"/>
        <v>222.29030402759292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17.10476487810438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17.10476487810438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732.99999999999966</v>
      </c>
      <c r="AJ130" s="13">
        <f>AI130*VLOOKUP('Données projet'!$B$10,Paramètres!$A$1:$I$89,3,0)*VLOOKUP('Données projet'!$B$10,Paramètres!$A$1:$I$89,5,0)</f>
        <v>362.1019999999998</v>
      </c>
      <c r="AK130" s="13">
        <f t="shared" si="89"/>
        <v>84.049487364732272</v>
      </c>
      <c r="AL130" s="20">
        <f t="shared" si="58"/>
        <v>777.04717382690842</v>
      </c>
      <c r="AM130" s="59">
        <f t="shared" si="59"/>
        <v>1070.3805071602417</v>
      </c>
      <c r="AN130" s="59">
        <f ca="1">AVERAGE(OFFSET($AM$3,0,0,'Données projet'!$E$10+1,1))-AVERAGE(OFFSET($H$3,0,0,'Données projet'!$E$10+1,1))</f>
        <v>360.05819346986135</v>
      </c>
      <c r="AO130" s="59">
        <f t="shared" si="90"/>
        <v>300.47468388351081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51.222687383039663</v>
      </c>
      <c r="AV130" s="21">
        <f>EXP(-LN(2)/25)*AV129+(1-EXP(-LN(2)/25))/(LN(2)/25)*Calculateur!AQ130*Calculateur!AS130*VLOOKUP('Données projet'!$B$10,Paramètres!$A$1:$I$89,3,0)*0.475*44/12</f>
        <v>2.8735466712256952</v>
      </c>
      <c r="AW130" s="21">
        <f>EXP(-LN(2)/2)*AW129+(1-EXP(-LN(2)/2))/(LN(2)/2)*AQ130*AT130*VLOOKUP('Données projet'!$B$10,Paramètres!$A$1:$I$89,3,0)*0.475*44/12</f>
        <v>1.3172826593419607E-16</v>
      </c>
      <c r="AX130" s="21">
        <f t="shared" si="60"/>
        <v>54.096234054265359</v>
      </c>
      <c r="AY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465.00000000000006</v>
      </c>
      <c r="BE130" s="13">
        <f>BD130*VLOOKUP('Données projet'!$B$11,Paramètres!$A$1:$I$89,3,0)*VLOOKUP('Données projet'!$B$11,Paramètres!$A$1:$I$89,5,0)</f>
        <v>265.98</v>
      </c>
      <c r="BF130" s="13">
        <f t="shared" si="91"/>
        <v>63.995380422211589</v>
      </c>
      <c r="BG130" s="20">
        <f t="shared" si="61"/>
        <v>574.70712090201857</v>
      </c>
      <c r="BH130" s="59">
        <f t="shared" si="62"/>
        <v>868.04045423535194</v>
      </c>
      <c r="BI130" s="59">
        <f ca="1">AVERAGE(OFFSET($BH$3,0,0,'Données projet'!$E$11+1,1))-AVERAGE(OFFSET($H$3,0,0,'Données projet'!$E$11+1,1))</f>
        <v>250.90038883668348</v>
      </c>
      <c r="BJ130" s="59">
        <f t="shared" si="92"/>
        <v>141.96132114475608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39.230683361472096</v>
      </c>
      <c r="BQ130" s="21">
        <f>EXP(-LN(2)/25)*BQ129+(1-EXP(-LN(2)/25))/(LN(2)/25)*Calculateur!BL130*Calculateur!BN130*VLOOKUP('Données projet'!$B$11,Paramètres!$A$1:$I$89,3,0)*0.475*44/12</f>
        <v>0.80852825608232726</v>
      </c>
      <c r="BR130" s="21">
        <f>EXP(-LN(2)/2)*BR129+(1-EXP(-LN(2)/2))/(LN(2)/2)*BL130*BO130*VLOOKUP('Données projet'!$B$11,Paramètres!$A$1:$I$89,3,0)*0.475*44/12</f>
        <v>9.4910820749792459E-15</v>
      </c>
      <c r="BS130" s="22">
        <f t="shared" si="63"/>
        <v>40.039211617554429</v>
      </c>
      <c r="BT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319</v>
      </c>
      <c r="BZ130" s="13">
        <f>BY130*VLOOKUP('Données projet'!$B$12,Paramètres!$A$1:$I$89,3,0)*VLOOKUP('Données projet'!$B$12,Paramètres!$A$1:$I$89,5,0)</f>
        <v>253.79640000000001</v>
      </c>
      <c r="CA130" s="13">
        <f t="shared" si="93"/>
        <v>61.39816832228076</v>
      </c>
      <c r="CB130" s="20">
        <f t="shared" si="64"/>
        <v>548.96387316130563</v>
      </c>
      <c r="CC130" s="59">
        <f t="shared" si="65"/>
        <v>842.29720649463889</v>
      </c>
      <c r="CD130" s="59">
        <f ca="1">AVERAGE(OFFSET($CC$3,0,0,'Données projet'!$E$12+1,1))-AVERAGE(OFFSET($H$3,0,0,'Données projet'!$E$12+1,1))</f>
        <v>279.49721661620544</v>
      </c>
      <c r="CE130" s="59">
        <f t="shared" si="94"/>
        <v>275.18739333988754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20.960999383620486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20.960999383620486</v>
      </c>
      <c r="CO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789</v>
      </c>
      <c r="CU130" s="17">
        <f>CT130*VLOOKUP('Données projet'!$B$13,Paramètres!$A$1:$I$89,3,0)*VLOOKUP('Données projet'!$B$13,Paramètres!$A$1:$I$89,5,0)</f>
        <v>389.76600000000002</v>
      </c>
      <c r="CV130" s="13">
        <f t="shared" si="95"/>
        <v>89.698759503620408</v>
      </c>
      <c r="CW130" s="20">
        <f t="shared" si="67"/>
        <v>835.06778946880547</v>
      </c>
      <c r="CX130" s="59">
        <f t="shared" si="68"/>
        <v>1128.4011228021388</v>
      </c>
      <c r="CY130" s="59">
        <f ca="1">AVERAGE(OFFSET($CX$3,0,0,'Données projet'!$E$13+1,1))-AVERAGE(OFFSET($H$3,0,0,'Données projet'!$E$13+1,1))</f>
        <v>396.27049617044378</v>
      </c>
      <c r="CZ130" s="59">
        <f t="shared" si="96"/>
        <v>335.2680289568774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56.821126625608919</v>
      </c>
      <c r="DG130" s="21">
        <f>EXP(-LN(2)/25)*DG129+(1-EXP(-LN(2)/25))/(LN(2)/25)*Calculateur!DB130*Calculateur!DD130*VLOOKUP('Données projet'!$B$13,Paramètres!$A$1:$I$89,3,0)*0.475*44/12</f>
        <v>3.1928296346952192</v>
      </c>
      <c r="DH130" s="21">
        <f>EXP(-LN(2)/2)*DH129+(1-EXP(-LN(2)/2))/(LN(2)/2)*DB130*DE130*VLOOKUP('Données projet'!$B$13,Paramètres!$A$1:$I$89,3,0)*0.475*44/12</f>
        <v>9.6600728351743847E-16</v>
      </c>
      <c r="DI130" s="22">
        <f t="shared" si="69"/>
        <v>60.013956260304141</v>
      </c>
      <c r="DJ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541.99999999999989</v>
      </c>
      <c r="DP130" s="17">
        <f>DO130*VLOOKUP('Données projet'!$B$14,Paramètres!$A$1:$I$89,3,0)*VLOOKUP('Données projet'!$B$14,Paramètres!$A$1:$I$89,5,0)</f>
        <v>310.02399999999994</v>
      </c>
      <c r="DQ130" s="13">
        <f t="shared" si="97"/>
        <v>73.27384230442388</v>
      </c>
      <c r="DR130" s="20">
        <f t="shared" si="70"/>
        <v>667.57707534687154</v>
      </c>
      <c r="DS130" s="59">
        <f t="shared" si="71"/>
        <v>960.91040868020491</v>
      </c>
      <c r="DT130" s="59">
        <f ca="1">AVERAGE(OFFSET($DS$3,0,0,'Données projet'!$E$14+1,1))-AVERAGE(OFFSET($H$3,0,0,'Données projet'!$E$14+1,1))</f>
        <v>307.43900954374504</v>
      </c>
      <c r="DU130" s="59">
        <f t="shared" si="98"/>
        <v>185.25270859048999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45.180977188628326</v>
      </c>
      <c r="EB130" s="21">
        <f>EXP(-LN(2)/25)*EB129+(1-EXP(-LN(2)/25))/(LN(2)/25)*Calculateur!DW130*Calculateur!DY130*VLOOKUP('Données projet'!$B$14,Paramètres!$A$1:$I$89,3,0)*0.475*44/12</f>
        <v>1.8148715818267556</v>
      </c>
      <c r="EC130" s="21">
        <f>EXP(-LN(2)/2)*EC129+(1-EXP(-LN(2)/2))/(LN(2)/2)*DW130*DZ130*VLOOKUP('Données projet'!$B$14,Paramètres!$A$1:$I$89,3,0)*0.475*44/12</f>
        <v>9.1516479491125708E-16</v>
      </c>
      <c r="ED130" s="22">
        <f t="shared" si="72"/>
        <v>46.995848770455083</v>
      </c>
      <c r="EE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401</v>
      </c>
      <c r="EK130" s="17">
        <f>EJ130*VLOOKUP('Données projet'!$B$15,Paramètres!$A$1:$I$89,3,0)*VLOOKUP('Données projet'!$B$15,Paramètres!$A$1:$I$89,5,0)</f>
        <v>250.22399999999999</v>
      </c>
      <c r="EL130" s="13">
        <f t="shared" si="99"/>
        <v>60.633904580527918</v>
      </c>
      <c r="EM130" s="20">
        <f t="shared" si="73"/>
        <v>541.41085047775289</v>
      </c>
      <c r="EN130" s="59">
        <f t="shared" si="74"/>
        <v>834.74418381108626</v>
      </c>
      <c r="EO130" s="59">
        <f ca="1">AVERAGE(OFFSET($EN$3,0,0,'Données projet'!$E$15+1,1))-AVERAGE(OFFSET($H$3,0,0,'Données projet'!$E$15+1,1))</f>
        <v>269.77739619445515</v>
      </c>
      <c r="EP130" s="59">
        <f t="shared" si="100"/>
        <v>347.56964743629885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20.316486066696122</v>
      </c>
      <c r="EW130" s="21">
        <f>EXP(-LN(2)/25)*EW129+(1-EXP(-LN(2)/25))/(LN(2)/25)*Calculateur!ER130*Calculateur!ET130*VLOOKUP('Données projet'!$B$15,Paramètres!$A$1:$I$89,3,0)*0.475*44/12</f>
        <v>6.2312148980588828</v>
      </c>
      <c r="EX130" s="21">
        <f>EXP(-LN(2)/2)*EX129+(1-EXP(-LN(2)/2))/(LN(2)/2)*ER130*EU130*VLOOKUP('Données projet'!$B$15,Paramètres!$A$1:$I$89,3,0)*0.475*44/12</f>
        <v>6.2397599653040265E-17</v>
      </c>
      <c r="EY130" s="22">
        <f t="shared" si="75"/>
        <v>26.547700964755006</v>
      </c>
      <c r="EZ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367.99999999999972</v>
      </c>
      <c r="FF130" s="17">
        <f>FE130*VLOOKUP('Données projet'!$B$16,Paramètres!$A$1:$I$89,3,0)*VLOOKUP('Données projet'!$B$16,Paramètres!$A$1:$I$89,5,0)</f>
        <v>292.78079999999977</v>
      </c>
      <c r="FG130" s="13">
        <f t="shared" si="101"/>
        <v>69.660903052386217</v>
      </c>
      <c r="FH130" s="20">
        <f t="shared" si="76"/>
        <v>631.25263281623893</v>
      </c>
      <c r="FI130" s="59">
        <f t="shared" si="77"/>
        <v>924.58596614957219</v>
      </c>
      <c r="FJ130" s="59">
        <f ca="1">AVERAGE(OFFSET($FI$3,0,0,'Données projet'!$E$16+1,1))-AVERAGE(OFFSET($H$3,0,0,'Données projet'!$E$16+1,1))</f>
        <v>331.52724290297675</v>
      </c>
      <c r="FK130" s="59">
        <f t="shared" si="102"/>
        <v>322.79102610158054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24.298017321738385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24.298017321738385</v>
      </c>
      <c r="FU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852.00000000000011</v>
      </c>
      <c r="GA130" s="17">
        <f>FZ130*VLOOKUP('Données projet'!$B$17,Paramètres!$A$1:$I$89,3,0)*VLOOKUP('Données projet'!$B$17,Paramètres!$A$1:$I$89,5,0)</f>
        <v>420.88800000000009</v>
      </c>
      <c r="GB130" s="13">
        <f t="shared" si="103"/>
        <v>95.998759891259041</v>
      </c>
      <c r="GC130" s="20">
        <f t="shared" si="79"/>
        <v>900.24444014394294</v>
      </c>
      <c r="GD130" s="59">
        <f t="shared" si="80"/>
        <v>1193.5777734772762</v>
      </c>
      <c r="GE130" s="59">
        <f ca="1">AVERAGE(OFFSET($GD$3,0,0,'Données projet'!$E$17+1,1))-AVERAGE(OFFSET($H$3,0,0,'Données projet'!$E$17+1,1))</f>
        <v>434.08297999735811</v>
      </c>
      <c r="GF130" s="59">
        <f t="shared" si="104"/>
        <v>371.04090283546122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62.690358997973881</v>
      </c>
      <c r="GM130" s="21">
        <f>EXP(-LN(2)/25)*GM129+(1-EXP(-LN(2)/25))/(LN(2)/25)*Calculateur!GH130*Calculateur!GJ130*VLOOKUP('Données projet'!$B$17,Paramètres!$A$1:$I$89,3,0)*0.475*44/12</f>
        <v>3.5121125981647432</v>
      </c>
      <c r="GN130" s="21">
        <f>EXP(-LN(2)/2)*GN129+(1-EXP(-LN(2)/2))/(LN(2)/2)*GH130*GK130*VLOOKUP('Données projet'!$B$17,Paramètres!$A$1:$I$89,3,0)*0.475*44/12</f>
        <v>1.8881051450568105E-15</v>
      </c>
      <c r="GO130" s="21">
        <f t="shared" si="81"/>
        <v>66.202471596138622</v>
      </c>
      <c r="GP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614.99999999999989</v>
      </c>
      <c r="GV130" s="17">
        <f>GU130*VLOOKUP('Données projet'!$B$18,Paramètres!$A$1:$I$89,3,0)*VLOOKUP('Données projet'!$B$18,Paramètres!$A$1:$I$89,5,0)</f>
        <v>351.78</v>
      </c>
      <c r="GW130" s="13">
        <f t="shared" si="105"/>
        <v>81.92892344316067</v>
      </c>
      <c r="GX130" s="20">
        <f t="shared" si="82"/>
        <v>755.37637499683808</v>
      </c>
      <c r="GY130" s="59">
        <f t="shared" si="83"/>
        <v>1048.7097083301715</v>
      </c>
      <c r="GZ130" s="59">
        <f ca="1">AVERAGE(OFFSET($GY$3,0,0,'Données projet'!$E$18+1,1))-AVERAGE(OFFSET($H$3,0,0,'Données projet'!$E$18+1,1))</f>
        <v>362.57172983134313</v>
      </c>
      <c r="HA130" s="59">
        <f t="shared" si="106"/>
        <v>232.03250917542471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50.950358502922974</v>
      </c>
      <c r="HH130" s="21">
        <f>EXP(-LN(2)/25)*HH129+(1-EXP(-LN(2)/25))/(LN(2)/25)*Calculateur!HC130*Calculateur!HE130*VLOOKUP('Données projet'!$B$18,Paramètres!$A$1:$I$89,3,0)*0.475*44/12</f>
        <v>2.1173501787978841</v>
      </c>
      <c r="HI130" s="21">
        <f>EXP(-LN(2)/2)*HI129+(1-EXP(-LN(2)/2))/(LN(2)/2)*HC130*HF130*VLOOKUP('Données projet'!$B$18,Paramètres!$A$1:$I$89,3,0)*0.475*44/12</f>
        <v>1.8811720784286946E-15</v>
      </c>
      <c r="HJ130" s="22">
        <f t="shared" si="84"/>
        <v>53.067708681720859</v>
      </c>
    </row>
    <row r="131" spans="1:218" x14ac:dyDescent="0.3">
      <c r="A131" s="10">
        <f t="shared" si="85"/>
        <v>128</v>
      </c>
      <c r="B131" s="71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5">
        <f t="shared" si="56"/>
        <v>431.15509406321121</v>
      </c>
      <c r="I131" s="6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266.99999999999983</v>
      </c>
      <c r="O131" s="13">
        <f>N131*VLOOKUP('Données projet'!$B$9,Paramètres!$A$1:$I$89,3,0)*VLOOKUP('Données projet'!$B$9,Paramètres!$A$1:$I$89,5,0)</f>
        <v>212.42519999999985</v>
      </c>
      <c r="P131" s="13">
        <f t="shared" si="87"/>
        <v>52.465198231787184</v>
      </c>
      <c r="Q131" s="20">
        <f t="shared" ref="Q131:Q153" si="108">(O131+P131)*0.475*44/12</f>
        <v>461.35077692036231</v>
      </c>
      <c r="R131" s="59">
        <f t="shared" ref="R131:R194" si="109">Q131+(I131+J131)*44/12</f>
        <v>754.68411025369562</v>
      </c>
      <c r="S131" s="59">
        <f ca="1">AVERAGE(OFFSET($R$3,0,0,'Données projet'!$E$9+1,1))-AVERAGE(OFFSET($H$3,0,0,'Données projet'!$E$9+1,1))</f>
        <v>225.2323446080772</v>
      </c>
      <c r="T131" s="59">
        <f t="shared" si="88"/>
        <v>222.29030402759292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16.769350871721169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16.769350871721169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732.99999999999966</v>
      </c>
      <c r="AJ131" s="13">
        <f>AI131*VLOOKUP('Données projet'!$B$10,Paramètres!$A$1:$I$89,3,0)*VLOOKUP('Données projet'!$B$10,Paramètres!$A$1:$I$89,5,0)</f>
        <v>362.1019999999998</v>
      </c>
      <c r="AK131" s="13">
        <f t="shared" si="89"/>
        <v>84.049487364732272</v>
      </c>
      <c r="AL131" s="20">
        <f t="shared" si="58"/>
        <v>777.04717382690842</v>
      </c>
      <c r="AM131" s="59">
        <f t="shared" si="59"/>
        <v>1070.3805071602417</v>
      </c>
      <c r="AN131" s="59">
        <f ca="1">AVERAGE(OFFSET($AM$3,0,0,'Données projet'!$E$10+1,1))-AVERAGE(OFFSET($H$3,0,0,'Données projet'!$E$10+1,1))</f>
        <v>360.05819346986135</v>
      </c>
      <c r="AO131" s="59">
        <f t="shared" si="90"/>
        <v>300.47468388351081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50.21824172621259</v>
      </c>
      <c r="AV131" s="21">
        <f>EXP(-LN(2)/25)*AV130+(1-EXP(-LN(2)/25))/(LN(2)/25)*Calculateur!AQ131*Calculateur!AS131*VLOOKUP('Données projet'!$B$10,Paramètres!$A$1:$I$89,3,0)*0.475*44/12</f>
        <v>2.7949693863877765</v>
      </c>
      <c r="AW131" s="21">
        <f>EXP(-LN(2)/2)*AW130+(1-EXP(-LN(2)/2))/(LN(2)/2)*AQ131*AT131*VLOOKUP('Données projet'!$B$10,Paramètres!$A$1:$I$89,3,0)*0.475*44/12</f>
        <v>9.3145950116014923E-17</v>
      </c>
      <c r="AX131" s="21">
        <f t="shared" si="60"/>
        <v>53.013211112600366</v>
      </c>
      <c r="AY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465.00000000000006</v>
      </c>
      <c r="BE131" s="13">
        <f>BD131*VLOOKUP('Données projet'!$B$11,Paramètres!$A$1:$I$89,3,0)*VLOOKUP('Données projet'!$B$11,Paramètres!$A$1:$I$89,5,0)</f>
        <v>265.98</v>
      </c>
      <c r="BF131" s="13">
        <f t="shared" si="91"/>
        <v>63.995380422211589</v>
      </c>
      <c r="BG131" s="20">
        <f t="shared" si="61"/>
        <v>574.70712090201857</v>
      </c>
      <c r="BH131" s="59">
        <f t="shared" si="62"/>
        <v>868.04045423535194</v>
      </c>
      <c r="BI131" s="59">
        <f ca="1">AVERAGE(OFFSET($BH$3,0,0,'Données projet'!$E$11+1,1))-AVERAGE(OFFSET($H$3,0,0,'Données projet'!$E$11+1,1))</f>
        <v>250.90038883668348</v>
      </c>
      <c r="BJ131" s="59">
        <f t="shared" si="92"/>
        <v>141.96132114475608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38.46139358910775</v>
      </c>
      <c r="BQ131" s="21">
        <f>EXP(-LN(2)/25)*BQ130+(1-EXP(-LN(2)/25))/(LN(2)/25)*Calculateur!BL131*Calculateur!BN131*VLOOKUP('Données projet'!$B$11,Paramètres!$A$1:$I$89,3,0)*0.475*44/12</f>
        <v>0.7864190084011029</v>
      </c>
      <c r="BR131" s="21">
        <f>EXP(-LN(2)/2)*BR130+(1-EXP(-LN(2)/2))/(LN(2)/2)*BL131*BO131*VLOOKUP('Données projet'!$B$11,Paramètres!$A$1:$I$89,3,0)*0.475*44/12</f>
        <v>6.7112084960159131E-15</v>
      </c>
      <c r="BS131" s="22">
        <f t="shared" si="63"/>
        <v>39.247812597508862</v>
      </c>
      <c r="BT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319</v>
      </c>
      <c r="BZ131" s="13">
        <f>BY131*VLOOKUP('Données projet'!$B$12,Paramètres!$A$1:$I$89,3,0)*VLOOKUP('Données projet'!$B$12,Paramètres!$A$1:$I$89,5,0)</f>
        <v>253.79640000000001</v>
      </c>
      <c r="CA131" s="13">
        <f t="shared" si="93"/>
        <v>61.39816832228076</v>
      </c>
      <c r="CB131" s="20">
        <f t="shared" si="64"/>
        <v>548.96387316130563</v>
      </c>
      <c r="CC131" s="59">
        <f t="shared" si="65"/>
        <v>842.29720649463889</v>
      </c>
      <c r="CD131" s="59">
        <f ca="1">AVERAGE(OFFSET($CC$3,0,0,'Données projet'!$E$12+1,1))-AVERAGE(OFFSET($H$3,0,0,'Données projet'!$E$12+1,1))</f>
        <v>279.49721661620544</v>
      </c>
      <c r="CE131" s="59">
        <f t="shared" si="94"/>
        <v>275.18739333988754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20.549966970654904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20.549966970654904</v>
      </c>
      <c r="CO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789</v>
      </c>
      <c r="CU131" s="17">
        <f>CT131*VLOOKUP('Données projet'!$B$13,Paramètres!$A$1:$I$89,3,0)*VLOOKUP('Données projet'!$B$13,Paramètres!$A$1:$I$89,5,0)</f>
        <v>389.76600000000002</v>
      </c>
      <c r="CV131" s="13">
        <f t="shared" si="95"/>
        <v>89.698759503620408</v>
      </c>
      <c r="CW131" s="20">
        <f t="shared" si="67"/>
        <v>835.06778946880547</v>
      </c>
      <c r="CX131" s="59">
        <f t="shared" si="68"/>
        <v>1128.4011228021388</v>
      </c>
      <c r="CY131" s="59">
        <f ca="1">AVERAGE(OFFSET($CX$3,0,0,'Données projet'!$E$13+1,1))-AVERAGE(OFFSET($H$3,0,0,'Données projet'!$E$13+1,1))</f>
        <v>396.27049617044378</v>
      </c>
      <c r="CZ131" s="59">
        <f t="shared" si="96"/>
        <v>335.2680289568774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55.706898989945827</v>
      </c>
      <c r="DG131" s="21">
        <f>EXP(-LN(2)/25)*DG130+(1-EXP(-LN(2)/25))/(LN(2)/25)*Calculateur!DB131*Calculateur!DD131*VLOOKUP('Données projet'!$B$13,Paramètres!$A$1:$I$89,3,0)*0.475*44/12</f>
        <v>3.1055215404308654</v>
      </c>
      <c r="DH131" s="21">
        <f>EXP(-LN(2)/2)*DH130+(1-EXP(-LN(2)/2))/(LN(2)/2)*DB131*DE131*VLOOKUP('Données projet'!$B$13,Paramètres!$A$1:$I$89,3,0)*0.475*44/12</f>
        <v>6.8307030085077655E-16</v>
      </c>
      <c r="DI131" s="22">
        <f t="shared" si="69"/>
        <v>58.812420530376691</v>
      </c>
      <c r="DJ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541.99999999999989</v>
      </c>
      <c r="DP131" s="17">
        <f>DO131*VLOOKUP('Données projet'!$B$14,Paramètres!$A$1:$I$89,3,0)*VLOOKUP('Données projet'!$B$14,Paramètres!$A$1:$I$89,5,0)</f>
        <v>310.02399999999994</v>
      </c>
      <c r="DQ131" s="13">
        <f t="shared" si="97"/>
        <v>73.27384230442388</v>
      </c>
      <c r="DR131" s="20">
        <f t="shared" si="70"/>
        <v>667.57707534687154</v>
      </c>
      <c r="DS131" s="59">
        <f t="shared" si="71"/>
        <v>960.91040868020491</v>
      </c>
      <c r="DT131" s="59">
        <f ca="1">AVERAGE(OFFSET($DS$3,0,0,'Données projet'!$E$14+1,1))-AVERAGE(OFFSET($H$3,0,0,'Données projet'!$E$14+1,1))</f>
        <v>307.43900954374504</v>
      </c>
      <c r="DU131" s="59">
        <f t="shared" si="98"/>
        <v>185.25270859048999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44.295005783634316</v>
      </c>
      <c r="EB131" s="21">
        <f>EXP(-LN(2)/25)*EB130+(1-EXP(-LN(2)/25))/(LN(2)/25)*Calculateur!DW131*Calculateur!DY131*VLOOKUP('Données projet'!$B$14,Paramètres!$A$1:$I$89,3,0)*0.475*44/12</f>
        <v>1.7652438229817544</v>
      </c>
      <c r="EC131" s="21">
        <f>EXP(-LN(2)/2)*EC130+(1-EXP(-LN(2)/2))/(LN(2)/2)*DW131*DZ131*VLOOKUP('Données projet'!$B$14,Paramètres!$A$1:$I$89,3,0)*0.475*44/12</f>
        <v>6.4711923238494591E-16</v>
      </c>
      <c r="ED131" s="22">
        <f t="shared" si="72"/>
        <v>46.060249606616068</v>
      </c>
      <c r="EE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401</v>
      </c>
      <c r="EK131" s="17">
        <f>EJ131*VLOOKUP('Données projet'!$B$15,Paramètres!$A$1:$I$89,3,0)*VLOOKUP('Données projet'!$B$15,Paramètres!$A$1:$I$89,5,0)</f>
        <v>250.22399999999999</v>
      </c>
      <c r="EL131" s="13">
        <f t="shared" si="99"/>
        <v>60.633904580527918</v>
      </c>
      <c r="EM131" s="20">
        <f t="shared" si="73"/>
        <v>541.41085047775289</v>
      </c>
      <c r="EN131" s="59">
        <f t="shared" si="74"/>
        <v>834.74418381108626</v>
      </c>
      <c r="EO131" s="59">
        <f ca="1">AVERAGE(OFFSET($EN$3,0,0,'Données projet'!$E$15+1,1))-AVERAGE(OFFSET($H$3,0,0,'Données projet'!$E$15+1,1))</f>
        <v>269.77739619445515</v>
      </c>
      <c r="EP131" s="59">
        <f t="shared" si="100"/>
        <v>347.56964743629885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19.91809216676112</v>
      </c>
      <c r="EW131" s="21">
        <f>EXP(-LN(2)/25)*EW130+(1-EXP(-LN(2)/25))/(LN(2)/25)*Calculateur!ER131*Calculateur!ET131*VLOOKUP('Données projet'!$B$15,Paramètres!$A$1:$I$89,3,0)*0.475*44/12</f>
        <v>6.0608219989861132</v>
      </c>
      <c r="EX131" s="21">
        <f>EXP(-LN(2)/2)*EX130+(1-EXP(-LN(2)/2))/(LN(2)/2)*ER131*EU131*VLOOKUP('Données projet'!$B$15,Paramètres!$A$1:$I$89,3,0)*0.475*44/12</f>
        <v>4.4121765844428137E-17</v>
      </c>
      <c r="EY131" s="22">
        <f t="shared" si="75"/>
        <v>25.978914165747234</v>
      </c>
      <c r="EZ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367.99999999999972</v>
      </c>
      <c r="FF131" s="17">
        <f>FE131*VLOOKUP('Données projet'!$B$16,Paramètres!$A$1:$I$89,3,0)*VLOOKUP('Données projet'!$B$16,Paramètres!$A$1:$I$89,5,0)</f>
        <v>292.78079999999977</v>
      </c>
      <c r="FG131" s="13">
        <f t="shared" si="101"/>
        <v>69.660903052386217</v>
      </c>
      <c r="FH131" s="20">
        <f t="shared" si="76"/>
        <v>631.25263281623893</v>
      </c>
      <c r="FI131" s="59">
        <f t="shared" si="77"/>
        <v>924.58596614957219</v>
      </c>
      <c r="FJ131" s="59">
        <f ca="1">AVERAGE(OFFSET($FI$3,0,0,'Données projet'!$E$16+1,1))-AVERAGE(OFFSET($H$3,0,0,'Données projet'!$E$16+1,1))</f>
        <v>331.52724290297675</v>
      </c>
      <c r="FK131" s="59">
        <f t="shared" si="102"/>
        <v>322.79102610158054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23.821548022386274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23.821548022386274</v>
      </c>
      <c r="FU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852.00000000000011</v>
      </c>
      <c r="GA131" s="17">
        <f>FZ131*VLOOKUP('Données projet'!$B$17,Paramètres!$A$1:$I$89,3,0)*VLOOKUP('Données projet'!$B$17,Paramètres!$A$1:$I$89,5,0)</f>
        <v>420.88800000000009</v>
      </c>
      <c r="GB131" s="13">
        <f t="shared" si="103"/>
        <v>95.998759891259041</v>
      </c>
      <c r="GC131" s="20">
        <f t="shared" si="79"/>
        <v>900.24444014394294</v>
      </c>
      <c r="GD131" s="59">
        <f t="shared" si="80"/>
        <v>1193.5777734772762</v>
      </c>
      <c r="GE131" s="59">
        <f ca="1">AVERAGE(OFFSET($GD$3,0,0,'Données projet'!$E$17+1,1))-AVERAGE(OFFSET($H$3,0,0,'Données projet'!$E$17+1,1))</f>
        <v>434.08297999735811</v>
      </c>
      <c r="GF131" s="59">
        <f t="shared" si="104"/>
        <v>371.04090283546122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61.46103929536698</v>
      </c>
      <c r="GM131" s="21">
        <f>EXP(-LN(2)/25)*GM130+(1-EXP(-LN(2)/25))/(LN(2)/25)*Calculateur!GH131*Calculateur!GJ131*VLOOKUP('Données projet'!$B$17,Paramètres!$A$1:$I$89,3,0)*0.475*44/12</f>
        <v>3.4160736944739538</v>
      </c>
      <c r="GN131" s="21">
        <f>EXP(-LN(2)/2)*GN130+(1-EXP(-LN(2)/2))/(LN(2)/2)*GH131*GK131*VLOOKUP('Données projet'!$B$17,Paramètres!$A$1:$I$89,3,0)*0.475*44/12</f>
        <v>1.3350919516628807E-15</v>
      </c>
      <c r="GO131" s="21">
        <f t="shared" si="81"/>
        <v>64.877112989840938</v>
      </c>
      <c r="GP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614.99999999999989</v>
      </c>
      <c r="GV131" s="17">
        <f>GU131*VLOOKUP('Données projet'!$B$18,Paramètres!$A$1:$I$89,3,0)*VLOOKUP('Données projet'!$B$18,Paramètres!$A$1:$I$89,5,0)</f>
        <v>351.78</v>
      </c>
      <c r="GW131" s="13">
        <f t="shared" si="105"/>
        <v>81.92892344316067</v>
      </c>
      <c r="GX131" s="20">
        <f t="shared" si="82"/>
        <v>755.37637499683808</v>
      </c>
      <c r="GY131" s="59">
        <f t="shared" si="83"/>
        <v>1048.7097083301715</v>
      </c>
      <c r="GZ131" s="59">
        <f ca="1">AVERAGE(OFFSET($GY$3,0,0,'Données projet'!$E$18+1,1))-AVERAGE(OFFSET($H$3,0,0,'Données projet'!$E$18+1,1))</f>
        <v>362.57172983134313</v>
      </c>
      <c r="HA131" s="59">
        <f t="shared" si="106"/>
        <v>232.03250917542471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49.951253049330774</v>
      </c>
      <c r="HH131" s="21">
        <f>EXP(-LN(2)/25)*HH130+(1-EXP(-LN(2)/25))/(LN(2)/25)*Calculateur!HC131*Calculateur!HE131*VLOOKUP('Données projet'!$B$18,Paramètres!$A$1:$I$89,3,0)*0.475*44/12</f>
        <v>2.0594511268120494</v>
      </c>
      <c r="HI131" s="21">
        <f>EXP(-LN(2)/2)*HI130+(1-EXP(-LN(2)/2))/(LN(2)/2)*HC131*HF131*VLOOKUP('Données projet'!$B$18,Paramètres!$A$1:$I$89,3,0)*0.475*44/12</f>
        <v>1.3301895332357218E-15</v>
      </c>
      <c r="HJ131" s="22">
        <f t="shared" si="84"/>
        <v>52.010704176142823</v>
      </c>
    </row>
    <row r="132" spans="1:218" x14ac:dyDescent="0.3">
      <c r="A132" s="10">
        <f t="shared" si="85"/>
        <v>129</v>
      </c>
      <c r="B132" s="71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5">
        <f t="shared" ref="H132:H195" si="110">(B132+E132+F132)*44/12+(C132+D132)*0.475*44/12</f>
        <v>432.20391229584436</v>
      </c>
      <c r="I132" s="6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266.99999999999983</v>
      </c>
      <c r="O132" s="13">
        <f>N132*VLOOKUP('Données projet'!$B$9,Paramètres!$A$1:$I$89,3,0)*VLOOKUP('Données projet'!$B$9,Paramètres!$A$1:$I$89,5,0)</f>
        <v>212.42519999999985</v>
      </c>
      <c r="P132" s="13">
        <f t="shared" si="87"/>
        <v>52.465198231787184</v>
      </c>
      <c r="Q132" s="20">
        <f t="shared" si="108"/>
        <v>461.35077692036231</v>
      </c>
      <c r="R132" s="59">
        <f t="shared" si="109"/>
        <v>754.68411025369562</v>
      </c>
      <c r="S132" s="59">
        <f ca="1">AVERAGE(OFFSET($R$3,0,0,'Données projet'!$E$9+1,1))-AVERAGE(OFFSET($H$3,0,0,'Données projet'!$E$9+1,1))</f>
        <v>225.2323446080772</v>
      </c>
      <c r="T132" s="59">
        <f t="shared" si="88"/>
        <v>222.29030402759292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16.440514129420787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16.440514129420787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732.99999999999966</v>
      </c>
      <c r="AJ132" s="13">
        <f>AI132*VLOOKUP('Données projet'!$B$10,Paramètres!$A$1:$I$89,3,0)*VLOOKUP('Données projet'!$B$10,Paramètres!$A$1:$I$89,5,0)</f>
        <v>362.1019999999998</v>
      </c>
      <c r="AK132" s="13">
        <f t="shared" si="89"/>
        <v>84.049487364732272</v>
      </c>
      <c r="AL132" s="20">
        <f t="shared" ref="AL132:AL153" si="112">(AJ132+AK132)*0.475*44/12</f>
        <v>777.04717382690842</v>
      </c>
      <c r="AM132" s="59">
        <f t="shared" ref="AM132:AM195" si="113">AL132+(AD132+AE132)*44/12</f>
        <v>1070.3805071602417</v>
      </c>
      <c r="AN132" s="59">
        <f ca="1">AVERAGE(OFFSET($AM$3,0,0,'Données projet'!$E$10+1,1))-AVERAGE(OFFSET($H$3,0,0,'Données projet'!$E$10+1,1))</f>
        <v>360.05819346986135</v>
      </c>
      <c r="AO132" s="59">
        <f t="shared" si="90"/>
        <v>300.47468388351081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49.23349263606454</v>
      </c>
      <c r="AV132" s="21">
        <f>EXP(-LN(2)/25)*AV131+(1-EXP(-LN(2)/25))/(LN(2)/25)*Calculateur!AQ132*Calculateur!AS132*VLOOKUP('Données projet'!$B$10,Paramètres!$A$1:$I$89,3,0)*0.475*44/12</f>
        <v>2.7185408015359509</v>
      </c>
      <c r="AW132" s="21">
        <f>EXP(-LN(2)/2)*AW131+(1-EXP(-LN(2)/2))/(LN(2)/2)*AQ132*AT132*VLOOKUP('Données projet'!$B$10,Paramètres!$A$1:$I$89,3,0)*0.475*44/12</f>
        <v>6.5864132967098034E-17</v>
      </c>
      <c r="AX132" s="21">
        <f t="shared" ref="AX132:AX153" si="114">SUM(AU132:AW132)</f>
        <v>51.952033437600491</v>
      </c>
      <c r="AY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465.00000000000006</v>
      </c>
      <c r="BE132" s="13">
        <f>BD132*VLOOKUP('Données projet'!$B$11,Paramètres!$A$1:$I$89,3,0)*VLOOKUP('Données projet'!$B$11,Paramètres!$A$1:$I$89,5,0)</f>
        <v>265.98</v>
      </c>
      <c r="BF132" s="13">
        <f t="shared" si="91"/>
        <v>63.995380422211589</v>
      </c>
      <c r="BG132" s="20">
        <f t="shared" ref="BG132:BG153" si="115">(BE132+BF132)*0.475*44/12</f>
        <v>574.70712090201857</v>
      </c>
      <c r="BH132" s="59">
        <f t="shared" ref="BH132:BH195" si="116">BG132+(AY132+AZ132)*44/12</f>
        <v>868.04045423535194</v>
      </c>
      <c r="BI132" s="59">
        <f ca="1">AVERAGE(OFFSET($BH$3,0,0,'Données projet'!$E$11+1,1))-AVERAGE(OFFSET($H$3,0,0,'Données projet'!$E$11+1,1))</f>
        <v>250.90038883668348</v>
      </c>
      <c r="BJ132" s="59">
        <f t="shared" si="92"/>
        <v>141.96132114475608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37.70718911995904</v>
      </c>
      <c r="BQ132" s="21">
        <f>EXP(-LN(2)/25)*BQ131+(1-EXP(-LN(2)/25))/(LN(2)/25)*Calculateur!BL132*Calculateur!BN132*VLOOKUP('Données projet'!$B$11,Paramètres!$A$1:$I$89,3,0)*0.475*44/12</f>
        <v>0.76491433926039643</v>
      </c>
      <c r="BR132" s="21">
        <f>EXP(-LN(2)/2)*BR131+(1-EXP(-LN(2)/2))/(LN(2)/2)*BL132*BO132*VLOOKUP('Données projet'!$B$11,Paramètres!$A$1:$I$89,3,0)*0.475*44/12</f>
        <v>4.7455410374896229E-15</v>
      </c>
      <c r="BS132" s="22">
        <f t="shared" ref="BS132:BS153" si="117">SUM(BP132:BR132)</f>
        <v>38.47210345921944</v>
      </c>
      <c r="BT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319</v>
      </c>
      <c r="BZ132" s="13">
        <f>BY132*VLOOKUP('Données projet'!$B$12,Paramètres!$A$1:$I$89,3,0)*VLOOKUP('Données projet'!$B$12,Paramètres!$A$1:$I$89,5,0)</f>
        <v>253.79640000000001</v>
      </c>
      <c r="CA132" s="13">
        <f t="shared" si="93"/>
        <v>61.39816832228076</v>
      </c>
      <c r="CB132" s="20">
        <f t="shared" ref="CB132:CB153" si="118">(BZ132+CA132)*0.475*44/12</f>
        <v>548.96387316130563</v>
      </c>
      <c r="CC132" s="59">
        <f t="shared" ref="CC132:CC195" si="119">CB132+(BT132+BU132)*44/12</f>
        <v>842.29720649463889</v>
      </c>
      <c r="CD132" s="59">
        <f ca="1">AVERAGE(OFFSET($CC$3,0,0,'Données projet'!$E$12+1,1))-AVERAGE(OFFSET($H$3,0,0,'Données projet'!$E$12+1,1))</f>
        <v>279.49721661620544</v>
      </c>
      <c r="CE132" s="59">
        <f t="shared" si="94"/>
        <v>275.18739333988754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20.146994652602558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20.146994652602558</v>
      </c>
      <c r="CO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789</v>
      </c>
      <c r="CU132" s="17">
        <f>CT132*VLOOKUP('Données projet'!$B$13,Paramètres!$A$1:$I$89,3,0)*VLOOKUP('Données projet'!$B$13,Paramètres!$A$1:$I$89,5,0)</f>
        <v>389.76600000000002</v>
      </c>
      <c r="CV132" s="13">
        <f t="shared" si="95"/>
        <v>89.698759503620408</v>
      </c>
      <c r="CW132" s="20">
        <f t="shared" ref="CW132:CW153" si="121">(CU132+CV132)*0.475*44/12</f>
        <v>835.06778946880547</v>
      </c>
      <c r="CX132" s="59">
        <f t="shared" ref="CX132:CX195" si="122">CW132+(CO132+CP132)*44/12</f>
        <v>1128.4011228021388</v>
      </c>
      <c r="CY132" s="59">
        <f ca="1">AVERAGE(OFFSET($CX$3,0,0,'Données projet'!$E$13+1,1))-AVERAGE(OFFSET($H$3,0,0,'Données projet'!$E$13+1,1))</f>
        <v>396.27049617044378</v>
      </c>
      <c r="CZ132" s="59">
        <f t="shared" si="96"/>
        <v>335.2680289568774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54.61452067860634</v>
      </c>
      <c r="DG132" s="21">
        <f>EXP(-LN(2)/25)*DG131+(1-EXP(-LN(2)/25))/(LN(2)/25)*Calculateur!DB132*Calculateur!DD132*VLOOKUP('Données projet'!$B$13,Paramètres!$A$1:$I$89,3,0)*0.475*44/12</f>
        <v>3.0206008905955035</v>
      </c>
      <c r="DH132" s="21">
        <f>EXP(-LN(2)/2)*DH131+(1-EXP(-LN(2)/2))/(LN(2)/2)*DB132*DE132*VLOOKUP('Données projet'!$B$13,Paramètres!$A$1:$I$89,3,0)*0.475*44/12</f>
        <v>4.8300364175871923E-16</v>
      </c>
      <c r="DI132" s="22">
        <f t="shared" ref="DI132:DI153" si="123">SUM(DF132:DH132)</f>
        <v>57.635121569201843</v>
      </c>
      <c r="DJ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541.99999999999989</v>
      </c>
      <c r="DP132" s="17">
        <f>DO132*VLOOKUP('Données projet'!$B$14,Paramètres!$A$1:$I$89,3,0)*VLOOKUP('Données projet'!$B$14,Paramètres!$A$1:$I$89,5,0)</f>
        <v>310.02399999999994</v>
      </c>
      <c r="DQ132" s="13">
        <f t="shared" si="97"/>
        <v>73.27384230442388</v>
      </c>
      <c r="DR132" s="20">
        <f t="shared" ref="DR132:DR153" si="124">(DP132+DQ132)*0.475*44/12</f>
        <v>667.57707534687154</v>
      </c>
      <c r="DS132" s="59">
        <f t="shared" ref="DS132:DS195" si="125">DR132+(DJ132+DK132)*44/12</f>
        <v>960.91040868020491</v>
      </c>
      <c r="DT132" s="59">
        <f ca="1">AVERAGE(OFFSET($DS$3,0,0,'Données projet'!$E$14+1,1))-AVERAGE(OFFSET($H$3,0,0,'Données projet'!$E$14+1,1))</f>
        <v>307.43900954374504</v>
      </c>
      <c r="DU132" s="59">
        <f t="shared" si="98"/>
        <v>185.25270859048999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43.426407737503041</v>
      </c>
      <c r="EB132" s="21">
        <f>EXP(-LN(2)/25)*EB131+(1-EXP(-LN(2)/25))/(LN(2)/25)*Calculateur!DW132*Calculateur!DY132*VLOOKUP('Données projet'!$B$14,Paramètres!$A$1:$I$89,3,0)*0.475*44/12</f>
        <v>1.7169731378121802</v>
      </c>
      <c r="EC132" s="21">
        <f>EXP(-LN(2)/2)*EC131+(1-EXP(-LN(2)/2))/(LN(2)/2)*DW132*DZ132*VLOOKUP('Données projet'!$B$14,Paramètres!$A$1:$I$89,3,0)*0.475*44/12</f>
        <v>4.5758239745562854E-16</v>
      </c>
      <c r="ED132" s="22">
        <f t="shared" ref="ED132:ED153" si="126">SUM(EA132:EC132)</f>
        <v>45.143380875315223</v>
      </c>
      <c r="EE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401</v>
      </c>
      <c r="EK132" s="17">
        <f>EJ132*VLOOKUP('Données projet'!$B$15,Paramètres!$A$1:$I$89,3,0)*VLOOKUP('Données projet'!$B$15,Paramètres!$A$1:$I$89,5,0)</f>
        <v>250.22399999999999</v>
      </c>
      <c r="EL132" s="13">
        <f t="shared" si="99"/>
        <v>60.633904580527918</v>
      </c>
      <c r="EM132" s="20">
        <f t="shared" ref="EM132:EM153" si="127">(EK132+EL132)*0.475*44/12</f>
        <v>541.41085047775289</v>
      </c>
      <c r="EN132" s="59">
        <f t="shared" ref="EN132:EN195" si="128">EM132+(EE132+EF132)*44/12</f>
        <v>834.74418381108626</v>
      </c>
      <c r="EO132" s="59">
        <f ca="1">AVERAGE(OFFSET($EN$3,0,0,'Données projet'!$E$15+1,1))-AVERAGE(OFFSET($H$3,0,0,'Données projet'!$E$15+1,1))</f>
        <v>269.77739619445515</v>
      </c>
      <c r="EP132" s="59">
        <f t="shared" si="100"/>
        <v>347.56964743629885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19.527510528207557</v>
      </c>
      <c r="EW132" s="21">
        <f>EXP(-LN(2)/25)*EW131+(1-EXP(-LN(2)/25))/(LN(2)/25)*Calculateur!ER132*Calculateur!ET132*VLOOKUP('Données projet'!$B$15,Paramètres!$A$1:$I$89,3,0)*0.475*44/12</f>
        <v>5.8950885026990614</v>
      </c>
      <c r="EX132" s="21">
        <f>EXP(-LN(2)/2)*EX131+(1-EXP(-LN(2)/2))/(LN(2)/2)*ER132*EU132*VLOOKUP('Données projet'!$B$15,Paramètres!$A$1:$I$89,3,0)*0.475*44/12</f>
        <v>3.1198799826520132E-17</v>
      </c>
      <c r="EY132" s="22">
        <f t="shared" ref="EY132:EY153" si="129">SUM(EV132:EX132)</f>
        <v>25.422599030906618</v>
      </c>
      <c r="EZ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367.99999999999972</v>
      </c>
      <c r="FF132" s="17">
        <f>FE132*VLOOKUP('Données projet'!$B$16,Paramètres!$A$1:$I$89,3,0)*VLOOKUP('Données projet'!$B$16,Paramètres!$A$1:$I$89,5,0)</f>
        <v>292.78079999999977</v>
      </c>
      <c r="FG132" s="13">
        <f t="shared" si="101"/>
        <v>69.660903052386217</v>
      </c>
      <c r="FH132" s="20">
        <f t="shared" ref="FH132:FH153" si="130">(FF132+FG132)*0.475*44/12</f>
        <v>631.25263281623893</v>
      </c>
      <c r="FI132" s="59">
        <f t="shared" ref="FI132:FI195" si="131">FH132+(EZ132+FA132)*44/12</f>
        <v>924.58596614957219</v>
      </c>
      <c r="FJ132" s="59">
        <f ca="1">AVERAGE(OFFSET($FI$3,0,0,'Données projet'!$E$16+1,1))-AVERAGE(OFFSET($H$3,0,0,'Données projet'!$E$16+1,1))</f>
        <v>331.52724290297675</v>
      </c>
      <c r="FK132" s="59">
        <f t="shared" si="102"/>
        <v>322.79102610158054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23.354421995376882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23.354421995376882</v>
      </c>
      <c r="FU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852.00000000000011</v>
      </c>
      <c r="GA132" s="17">
        <f>FZ132*VLOOKUP('Données projet'!$B$17,Paramètres!$A$1:$I$89,3,0)*VLOOKUP('Données projet'!$B$17,Paramètres!$A$1:$I$89,5,0)</f>
        <v>420.88800000000009</v>
      </c>
      <c r="GB132" s="13">
        <f t="shared" si="103"/>
        <v>95.998759891259041</v>
      </c>
      <c r="GC132" s="20">
        <f t="shared" ref="GC132:GC153" si="133">(GA132+GB132)*0.475*44/12</f>
        <v>900.24444014394294</v>
      </c>
      <c r="GD132" s="59">
        <f t="shared" ref="GD132:GD195" si="134">GC132+(FU132+FV132)*44/12</f>
        <v>1193.5777734772762</v>
      </c>
      <c r="GE132" s="59">
        <f ca="1">AVERAGE(OFFSET($GD$3,0,0,'Données projet'!$E$17+1,1))-AVERAGE(OFFSET($H$3,0,0,'Données projet'!$E$17+1,1))</f>
        <v>434.08297999735811</v>
      </c>
      <c r="GF132" s="59">
        <f t="shared" si="104"/>
        <v>371.04090283546122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60.255825802317219</v>
      </c>
      <c r="GM132" s="21">
        <f>EXP(-LN(2)/25)*GM131+(1-EXP(-LN(2)/25))/(LN(2)/25)*Calculateur!GH132*Calculateur!GJ132*VLOOKUP('Données projet'!$B$17,Paramètres!$A$1:$I$89,3,0)*0.475*44/12</f>
        <v>3.3226609796550557</v>
      </c>
      <c r="GN132" s="21">
        <f>EXP(-LN(2)/2)*GN131+(1-EXP(-LN(2)/2))/(LN(2)/2)*GH132*GK132*VLOOKUP('Données projet'!$B$17,Paramètres!$A$1:$I$89,3,0)*0.475*44/12</f>
        <v>9.4405257252840526E-16</v>
      </c>
      <c r="GO132" s="21">
        <f t="shared" ref="GO132:GO153" si="135">SUM(GL132:GN132)</f>
        <v>63.578486781972273</v>
      </c>
      <c r="GP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614.99999999999989</v>
      </c>
      <c r="GV132" s="17">
        <f>GU132*VLOOKUP('Données projet'!$B$18,Paramètres!$A$1:$I$89,3,0)*VLOOKUP('Données projet'!$B$18,Paramètres!$A$1:$I$89,5,0)</f>
        <v>351.78</v>
      </c>
      <c r="GW132" s="13">
        <f t="shared" si="105"/>
        <v>81.92892344316067</v>
      </c>
      <c r="GX132" s="20">
        <f t="shared" ref="GX132:GX153" si="136">(GV132+GW132)*0.475*44/12</f>
        <v>755.37637499683808</v>
      </c>
      <c r="GY132" s="59">
        <f t="shared" ref="GY132:GY195" si="137">GX132+(GP132+GQ132)*44/12</f>
        <v>1048.7097083301715</v>
      </c>
      <c r="GZ132" s="59">
        <f ca="1">AVERAGE(OFFSET($GY$3,0,0,'Données projet'!$E$18+1,1))-AVERAGE(OFFSET($H$3,0,0,'Données projet'!$E$18+1,1))</f>
        <v>362.57172983134313</v>
      </c>
      <c r="HA132" s="59">
        <f t="shared" si="106"/>
        <v>232.03250917542471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48.971739444289362</v>
      </c>
      <c r="HH132" s="21">
        <f>EXP(-LN(2)/25)*HH131+(1-EXP(-LN(2)/25))/(LN(2)/25)*Calculateur!HC132*Calculateur!HE132*VLOOKUP('Données projet'!$B$18,Paramètres!$A$1:$I$89,3,0)*0.475*44/12</f>
        <v>2.0031353274475463</v>
      </c>
      <c r="HI132" s="21">
        <f>EXP(-LN(2)/2)*HI131+(1-EXP(-LN(2)/2))/(LN(2)/2)*HC132*HF132*VLOOKUP('Données projet'!$B$18,Paramètres!$A$1:$I$89,3,0)*0.475*44/12</f>
        <v>9.4058603921434728E-16</v>
      </c>
      <c r="HJ132" s="22">
        <f t="shared" ref="HJ132:HJ153" si="138">SUM(HG132:HI132)</f>
        <v>50.974874771736907</v>
      </c>
    </row>
    <row r="133" spans="1:218" x14ac:dyDescent="0.3">
      <c r="A133" s="10">
        <f t="shared" ref="A133:A152" si="139">A132+1</f>
        <v>130</v>
      </c>
      <c r="B133" s="71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5">
        <f t="shared" si="110"/>
        <v>433.25254015257815</v>
      </c>
      <c r="I133" s="6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266.99999999999983</v>
      </c>
      <c r="O133" s="13">
        <f>N133*VLOOKUP('Données projet'!$B$9,Paramètres!$A$1:$I$89,3,0)*VLOOKUP('Données projet'!$B$9,Paramètres!$A$1:$I$89,5,0)</f>
        <v>212.42519999999985</v>
      </c>
      <c r="P133" s="13">
        <f t="shared" ref="P133:P196" si="141">EXP(-1.0587+0.8836*LN(O133)+0.284)</f>
        <v>52.465198231787184</v>
      </c>
      <c r="Q133" s="20">
        <f t="shared" si="108"/>
        <v>461.35077692036231</v>
      </c>
      <c r="R133" s="59">
        <f t="shared" si="109"/>
        <v>754.68411025369562</v>
      </c>
      <c r="S133" s="59">
        <f ca="1">AVERAGE(OFFSET($R$3,0,0,'Données projet'!$E$9+1,1))-AVERAGE(OFFSET($H$3,0,0,'Données projet'!$E$9+1,1))</f>
        <v>225.2323446080772</v>
      </c>
      <c r="T133" s="59">
        <f t="shared" ref="T133:T196" si="142">$T$3</f>
        <v>222.29030402759292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16.11812567506631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16.11812567506631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732.99999999999966</v>
      </c>
      <c r="AJ133" s="13">
        <f>AI133*VLOOKUP('Données projet'!$B$10,Paramètres!$A$1:$I$89,3,0)*VLOOKUP('Données projet'!$B$10,Paramètres!$A$1:$I$89,5,0)</f>
        <v>362.1019999999998</v>
      </c>
      <c r="AK133" s="13">
        <f t="shared" ref="AK133:AK153" si="143">EXP(-1.0587+0.8836*LN(AJ133)+0.284)</f>
        <v>84.049487364732272</v>
      </c>
      <c r="AL133" s="20">
        <f t="shared" si="112"/>
        <v>777.04717382690842</v>
      </c>
      <c r="AM133" s="59">
        <f t="shared" si="113"/>
        <v>1070.3805071602417</v>
      </c>
      <c r="AN133" s="59">
        <f ca="1">AVERAGE(OFFSET($AM$3,0,0,'Données projet'!$E$10+1,1))-AVERAGE(OFFSET($H$3,0,0,'Données projet'!$E$10+1,1))</f>
        <v>360.05819346986135</v>
      </c>
      <c r="AO133" s="59">
        <f t="shared" ref="AO133:AO196" si="144">$AO$3</f>
        <v>300.47468388351081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48.268053874936662</v>
      </c>
      <c r="AV133" s="21">
        <f>EXP(-LN(2)/25)*AV132+(1-EXP(-LN(2)/25))/(LN(2)/25)*Calculateur!AQ133*Calculateur!AS133*VLOOKUP('Données projet'!$B$10,Paramètres!$A$1:$I$89,3,0)*0.475*44/12</f>
        <v>2.644202160356103</v>
      </c>
      <c r="AW133" s="21">
        <f>EXP(-LN(2)/2)*AW132+(1-EXP(-LN(2)/2))/(LN(2)/2)*AQ133*AT133*VLOOKUP('Données projet'!$B$10,Paramètres!$A$1:$I$89,3,0)*0.475*44/12</f>
        <v>4.6572975058007462E-17</v>
      </c>
      <c r="AX133" s="21">
        <f t="shared" si="114"/>
        <v>50.912256035292764</v>
      </c>
      <c r="AY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465.00000000000006</v>
      </c>
      <c r="BE133" s="13">
        <f>BD133*VLOOKUP('Données projet'!$B$11,Paramètres!$A$1:$I$89,3,0)*VLOOKUP('Données projet'!$B$11,Paramètres!$A$1:$I$89,5,0)</f>
        <v>265.98</v>
      </c>
      <c r="BF133" s="13">
        <f t="shared" ref="BF133:BF153" si="145">EXP(-1.0587+0.8836*LN(BE133)+0.284)</f>
        <v>63.995380422211589</v>
      </c>
      <c r="BG133" s="20">
        <f t="shared" si="115"/>
        <v>574.70712090201857</v>
      </c>
      <c r="BH133" s="59">
        <f t="shared" si="116"/>
        <v>868.04045423535194</v>
      </c>
      <c r="BI133" s="59">
        <f ca="1">AVERAGE(OFFSET($BH$3,0,0,'Données projet'!$E$11+1,1))-AVERAGE(OFFSET($H$3,0,0,'Données projet'!$E$11+1,1))</f>
        <v>250.90038883668348</v>
      </c>
      <c r="BJ133" s="59">
        <f t="shared" ref="BJ133:BJ196" si="146">$BJ$3</f>
        <v>141.96132114475608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36.967774140431032</v>
      </c>
      <c r="BQ133" s="21">
        <f>EXP(-LN(2)/25)*BQ132+(1-EXP(-LN(2)/25))/(LN(2)/25)*Calculateur!BL133*Calculateur!BN133*VLOOKUP('Données projet'!$B$11,Paramètres!$A$1:$I$89,3,0)*0.475*44/12</f>
        <v>0.74399771642822399</v>
      </c>
      <c r="BR133" s="21">
        <f>EXP(-LN(2)/2)*BR132+(1-EXP(-LN(2)/2))/(LN(2)/2)*BL133*BO133*VLOOKUP('Données projet'!$B$11,Paramètres!$A$1:$I$89,3,0)*0.475*44/12</f>
        <v>3.3556042480079566E-15</v>
      </c>
      <c r="BS133" s="22">
        <f t="shared" si="117"/>
        <v>37.711771856859258</v>
      </c>
      <c r="BT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319</v>
      </c>
      <c r="BZ133" s="13">
        <f>BY133*VLOOKUP('Données projet'!$B$12,Paramètres!$A$1:$I$89,3,0)*VLOOKUP('Données projet'!$B$12,Paramètres!$A$1:$I$89,5,0)</f>
        <v>253.79640000000001</v>
      </c>
      <c r="CA133" s="13">
        <f t="shared" ref="CA133:CA153" si="147">EXP(-1.0587+0.8836*LN(BZ133)+0.284)</f>
        <v>61.39816832228076</v>
      </c>
      <c r="CB133" s="20">
        <f t="shared" si="118"/>
        <v>548.96387316130563</v>
      </c>
      <c r="CC133" s="59">
        <f t="shared" si="119"/>
        <v>842.29720649463889</v>
      </c>
      <c r="CD133" s="59">
        <f ca="1">AVERAGE(OFFSET($CC$3,0,0,'Données projet'!$E$12+1,1))-AVERAGE(OFFSET($H$3,0,0,'Données projet'!$E$12+1,1))</f>
        <v>279.49721661620544</v>
      </c>
      <c r="CE133" s="59">
        <f t="shared" ref="CE133:CE196" si="148">$CE$3</f>
        <v>275.18739333988754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19.751924375918374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19.751924375918374</v>
      </c>
      <c r="CO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789</v>
      </c>
      <c r="CU133" s="17">
        <f>CT133*VLOOKUP('Données projet'!$B$13,Paramètres!$A$1:$I$89,3,0)*VLOOKUP('Données projet'!$B$13,Paramètres!$A$1:$I$89,5,0)</f>
        <v>389.76600000000002</v>
      </c>
      <c r="CV133" s="13">
        <f t="shared" ref="CV133:CV153" si="149">EXP(-1.0587+0.8836*LN(CU133)+0.284)</f>
        <v>89.698759503620408</v>
      </c>
      <c r="CW133" s="20">
        <f t="shared" si="121"/>
        <v>835.06778946880547</v>
      </c>
      <c r="CX133" s="59">
        <f t="shared" si="122"/>
        <v>1128.4011228021388</v>
      </c>
      <c r="CY133" s="59">
        <f ca="1">AVERAGE(OFFSET($CX$3,0,0,'Données projet'!$E$13+1,1))-AVERAGE(OFFSET($H$3,0,0,'Données projet'!$E$13+1,1))</f>
        <v>396.27049617044378</v>
      </c>
      <c r="CZ133" s="59">
        <f t="shared" ref="CZ133:CZ196" si="150">$CZ$3</f>
        <v>335.2680289568774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53.543563239667236</v>
      </c>
      <c r="DG133" s="21">
        <f>EXP(-LN(2)/25)*DG132+(1-EXP(-LN(2)/25))/(LN(2)/25)*Calculateur!DB133*Calculateur!DD133*VLOOKUP('Données projet'!$B$13,Paramètres!$A$1:$I$89,3,0)*0.475*44/12</f>
        <v>2.9380024003956722</v>
      </c>
      <c r="DH133" s="21">
        <f>EXP(-LN(2)/2)*DH132+(1-EXP(-LN(2)/2))/(LN(2)/2)*DB133*DE133*VLOOKUP('Données projet'!$B$13,Paramètres!$A$1:$I$89,3,0)*0.475*44/12</f>
        <v>3.4153515042538827E-16</v>
      </c>
      <c r="DI133" s="22">
        <f t="shared" si="123"/>
        <v>56.481565640062911</v>
      </c>
      <c r="DJ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541.99999999999989</v>
      </c>
      <c r="DP133" s="17">
        <f>DO133*VLOOKUP('Données projet'!$B$14,Paramètres!$A$1:$I$89,3,0)*VLOOKUP('Données projet'!$B$14,Paramètres!$A$1:$I$89,5,0)</f>
        <v>310.02399999999994</v>
      </c>
      <c r="DQ133" s="13">
        <f t="shared" ref="DQ133:DQ153" si="151">EXP(-1.0587+0.8836*LN(DP133)+0.284)</f>
        <v>73.27384230442388</v>
      </c>
      <c r="DR133" s="20">
        <f t="shared" si="124"/>
        <v>667.57707534687154</v>
      </c>
      <c r="DS133" s="59">
        <f t="shared" si="125"/>
        <v>960.91040868020491</v>
      </c>
      <c r="DT133" s="59">
        <f ca="1">AVERAGE(OFFSET($DS$3,0,0,'Données projet'!$E$14+1,1))-AVERAGE(OFFSET($H$3,0,0,'Données projet'!$E$14+1,1))</f>
        <v>307.43900954374504</v>
      </c>
      <c r="DU133" s="59">
        <f t="shared" ref="DU133:DU196" si="152">$DU$3</f>
        <v>185.25270859048999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42.574842369263905</v>
      </c>
      <c r="EB133" s="21">
        <f>EXP(-LN(2)/25)*EB132+(1-EXP(-LN(2)/25))/(LN(2)/25)*Calculateur!DW133*Calculateur!DY133*VLOOKUP('Données projet'!$B$14,Paramètres!$A$1:$I$89,3,0)*0.475*44/12</f>
        <v>1.670022417067013</v>
      </c>
      <c r="EC133" s="21">
        <f>EXP(-LN(2)/2)*EC132+(1-EXP(-LN(2)/2))/(LN(2)/2)*DW133*DZ133*VLOOKUP('Données projet'!$B$14,Paramètres!$A$1:$I$89,3,0)*0.475*44/12</f>
        <v>3.2355961619247296E-16</v>
      </c>
      <c r="ED133" s="22">
        <f t="shared" si="126"/>
        <v>44.244864786330915</v>
      </c>
      <c r="EE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401</v>
      </c>
      <c r="EK133" s="17">
        <f>EJ133*VLOOKUP('Données projet'!$B$15,Paramètres!$A$1:$I$89,3,0)*VLOOKUP('Données projet'!$B$15,Paramètres!$A$1:$I$89,5,0)</f>
        <v>250.22399999999999</v>
      </c>
      <c r="EL133" s="13">
        <f t="shared" ref="EL133:EL153" si="153">EXP(-1.0587+0.8836*LN(EK133)+0.284)</f>
        <v>60.633904580527918</v>
      </c>
      <c r="EM133" s="20">
        <f t="shared" si="127"/>
        <v>541.41085047775289</v>
      </c>
      <c r="EN133" s="59">
        <f t="shared" si="128"/>
        <v>834.74418381108626</v>
      </c>
      <c r="EO133" s="59">
        <f ca="1">AVERAGE(OFFSET($EN$3,0,0,'Données projet'!$E$15+1,1))-AVERAGE(OFFSET($H$3,0,0,'Données projet'!$E$15+1,1))</f>
        <v>269.77739619445515</v>
      </c>
      <c r="EP133" s="59">
        <f t="shared" ref="EP133:EP196" si="154">$EP$3</f>
        <v>347.56964743629885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19.144587957354755</v>
      </c>
      <c r="EW133" s="21">
        <f>EXP(-LN(2)/25)*EW132+(1-EXP(-LN(2)/25))/(LN(2)/25)*Calculateur!ER133*Calculateur!ET133*VLOOKUP('Données projet'!$B$15,Paramètres!$A$1:$I$89,3,0)*0.475*44/12</f>
        <v>5.7338869975835243</v>
      </c>
      <c r="EX133" s="21">
        <f>EXP(-LN(2)/2)*EX132+(1-EXP(-LN(2)/2))/(LN(2)/2)*ER133*EU133*VLOOKUP('Données projet'!$B$15,Paramètres!$A$1:$I$89,3,0)*0.475*44/12</f>
        <v>2.2060882922214069E-17</v>
      </c>
      <c r="EY133" s="22">
        <f t="shared" si="129"/>
        <v>24.87847495493828</v>
      </c>
      <c r="EZ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367.99999999999972</v>
      </c>
      <c r="FF133" s="17">
        <f>FE133*VLOOKUP('Données projet'!$B$16,Paramètres!$A$1:$I$89,3,0)*VLOOKUP('Données projet'!$B$16,Paramètres!$A$1:$I$89,5,0)</f>
        <v>292.78079999999977</v>
      </c>
      <c r="FG133" s="13">
        <f t="shared" ref="FG133:FG153" si="155">EXP(-1.0587+0.8836*LN(FF133)+0.284)</f>
        <v>69.660903052386217</v>
      </c>
      <c r="FH133" s="20">
        <f t="shared" si="130"/>
        <v>631.25263281623893</v>
      </c>
      <c r="FI133" s="59">
        <f t="shared" si="131"/>
        <v>924.58596614957219</v>
      </c>
      <c r="FJ133" s="59">
        <f ca="1">AVERAGE(OFFSET($FI$3,0,0,'Données projet'!$E$16+1,1))-AVERAGE(OFFSET($H$3,0,0,'Données projet'!$E$16+1,1))</f>
        <v>331.52724290297675</v>
      </c>
      <c r="FK133" s="59">
        <f t="shared" ref="FK133:FK196" si="156">$FK$3</f>
        <v>322.79102610158054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22.8964560248384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22.8964560248384</v>
      </c>
      <c r="FU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852.00000000000011</v>
      </c>
      <c r="GA133" s="17">
        <f>FZ133*VLOOKUP('Données projet'!$B$17,Paramètres!$A$1:$I$89,3,0)*VLOOKUP('Données projet'!$B$17,Paramètres!$A$1:$I$89,5,0)</f>
        <v>420.88800000000009</v>
      </c>
      <c r="GB133" s="13">
        <f t="shared" ref="GB133:GB153" si="157">EXP(-1.0587+0.8836*LN(GA133)+0.284)</f>
        <v>95.998759891259041</v>
      </c>
      <c r="GC133" s="20">
        <f t="shared" si="133"/>
        <v>900.24444014394294</v>
      </c>
      <c r="GD133" s="59">
        <f t="shared" si="134"/>
        <v>1193.5777734772762</v>
      </c>
      <c r="GE133" s="59">
        <f ca="1">AVERAGE(OFFSET($GD$3,0,0,'Données projet'!$E$17+1,1))-AVERAGE(OFFSET($H$3,0,0,'Données projet'!$E$17+1,1))</f>
        <v>434.08297999735811</v>
      </c>
      <c r="GF133" s="59">
        <f t="shared" ref="GF133:GF196" si="158">$GF$3</f>
        <v>371.04090283546122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59.074245810758519</v>
      </c>
      <c r="GM133" s="21">
        <f>EXP(-LN(2)/25)*GM132+(1-EXP(-LN(2)/25))/(LN(2)/25)*Calculateur!GH133*Calculateur!GJ133*VLOOKUP('Données projet'!$B$17,Paramètres!$A$1:$I$89,3,0)*0.475*44/12</f>
        <v>3.2318026404352413</v>
      </c>
      <c r="GN133" s="21">
        <f>EXP(-LN(2)/2)*GN132+(1-EXP(-LN(2)/2))/(LN(2)/2)*GH133*GK133*VLOOKUP('Données projet'!$B$17,Paramètres!$A$1:$I$89,3,0)*0.475*44/12</f>
        <v>6.6754597583144037E-16</v>
      </c>
      <c r="GO133" s="21">
        <f t="shared" si="135"/>
        <v>62.30604845119376</v>
      </c>
      <c r="GP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614.99999999999989</v>
      </c>
      <c r="GV133" s="17">
        <f>GU133*VLOOKUP('Données projet'!$B$18,Paramètres!$A$1:$I$89,3,0)*VLOOKUP('Données projet'!$B$18,Paramètres!$A$1:$I$89,5,0)</f>
        <v>351.78</v>
      </c>
      <c r="GW133" s="13">
        <f t="shared" ref="GW133:GW153" si="159">EXP(-1.0587+0.8836*LN(GV133)+0.284)</f>
        <v>81.92892344316067</v>
      </c>
      <c r="GX133" s="20">
        <f t="shared" si="136"/>
        <v>755.37637499683808</v>
      </c>
      <c r="GY133" s="59">
        <f t="shared" si="137"/>
        <v>1048.7097083301715</v>
      </c>
      <c r="GZ133" s="59">
        <f ca="1">AVERAGE(OFFSET($GY$3,0,0,'Données projet'!$E$18+1,1))-AVERAGE(OFFSET($H$3,0,0,'Données projet'!$E$18+1,1))</f>
        <v>362.57172983134313</v>
      </c>
      <c r="HA133" s="59">
        <f t="shared" ref="HA133:HA196" si="160">$HA$3</f>
        <v>232.03250917542471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48.011433503598511</v>
      </c>
      <c r="HH133" s="21">
        <f>EXP(-LN(2)/25)*HH132+(1-EXP(-LN(2)/25))/(LN(2)/25)*Calculateur!HC133*Calculateur!HE133*VLOOKUP('Données projet'!$B$18,Paramètres!$A$1:$I$89,3,0)*0.475*44/12</f>
        <v>1.9483594865781846</v>
      </c>
      <c r="HI133" s="21">
        <f>EXP(-LN(2)/2)*HI132+(1-EXP(-LN(2)/2))/(LN(2)/2)*HC133*HF133*VLOOKUP('Données projet'!$B$18,Paramètres!$A$1:$I$89,3,0)*0.475*44/12</f>
        <v>6.6509476661786088E-16</v>
      </c>
      <c r="HJ133" s="22">
        <f t="shared" si="138"/>
        <v>49.959792990176695</v>
      </c>
    </row>
    <row r="134" spans="1:218" x14ac:dyDescent="0.3">
      <c r="A134" s="10">
        <f t="shared" si="139"/>
        <v>131</v>
      </c>
      <c r="B134" s="71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5">
        <f t="shared" si="110"/>
        <v>434.30097926760288</v>
      </c>
      <c r="I134" s="6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266.99999999999983</v>
      </c>
      <c r="O134" s="13">
        <f>N134*VLOOKUP('Données projet'!$B$9,Paramètres!$A$1:$I$89,3,0)*VLOOKUP('Données projet'!$B$9,Paramètres!$A$1:$I$89,5,0)</f>
        <v>212.42519999999985</v>
      </c>
      <c r="P134" s="13">
        <f t="shared" si="141"/>
        <v>52.465198231787184</v>
      </c>
      <c r="Q134" s="20">
        <f t="shared" si="108"/>
        <v>461.35077692036231</v>
      </c>
      <c r="R134" s="59">
        <f t="shared" si="109"/>
        <v>754.68411025369562</v>
      </c>
      <c r="S134" s="59">
        <f ca="1">AVERAGE(OFFSET($R$3,0,0,'Données projet'!$E$9+1,1))-AVERAGE(OFFSET($H$3,0,0,'Données projet'!$E$9+1,1))</f>
        <v>225.2323446080772</v>
      </c>
      <c r="T134" s="59">
        <f t="shared" si="142"/>
        <v>222.29030402759292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15.802059061664181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15.802059061664181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732.99999999999966</v>
      </c>
      <c r="AJ134" s="13">
        <f>AI134*VLOOKUP('Données projet'!$B$10,Paramètres!$A$1:$I$89,3,0)*VLOOKUP('Données projet'!$B$10,Paramètres!$A$1:$I$89,5,0)</f>
        <v>362.1019999999998</v>
      </c>
      <c r="AK134" s="13">
        <f t="shared" si="143"/>
        <v>84.049487364732272</v>
      </c>
      <c r="AL134" s="20">
        <f t="shared" si="112"/>
        <v>777.04717382690842</v>
      </c>
      <c r="AM134" s="59">
        <f t="shared" si="113"/>
        <v>1070.3805071602417</v>
      </c>
      <c r="AN134" s="59">
        <f ca="1">AVERAGE(OFFSET($AM$3,0,0,'Données projet'!$E$10+1,1))-AVERAGE(OFFSET($H$3,0,0,'Données projet'!$E$10+1,1))</f>
        <v>360.05819346986135</v>
      </c>
      <c r="AO134" s="59">
        <f t="shared" si="144"/>
        <v>300.47468388351081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47.321546779054998</v>
      </c>
      <c r="AV134" s="21">
        <f>EXP(-LN(2)/25)*AV133+(1-EXP(-LN(2)/25))/(LN(2)/25)*Calculateur!AQ134*Calculateur!AS134*VLOOKUP('Données projet'!$B$10,Paramètres!$A$1:$I$89,3,0)*0.475*44/12</f>
        <v>2.571896313228617</v>
      </c>
      <c r="AW134" s="21">
        <f>EXP(-LN(2)/2)*AW133+(1-EXP(-LN(2)/2))/(LN(2)/2)*AQ134*AT134*VLOOKUP('Données projet'!$B$10,Paramètres!$A$1:$I$89,3,0)*0.475*44/12</f>
        <v>3.2932066483549017E-17</v>
      </c>
      <c r="AX134" s="21">
        <f t="shared" si="114"/>
        <v>49.893443092283619</v>
      </c>
      <c r="AY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465.00000000000006</v>
      </c>
      <c r="BE134" s="13">
        <f>BD134*VLOOKUP('Données projet'!$B$11,Paramètres!$A$1:$I$89,3,0)*VLOOKUP('Données projet'!$B$11,Paramètres!$A$1:$I$89,5,0)</f>
        <v>265.98</v>
      </c>
      <c r="BF134" s="13">
        <f t="shared" si="145"/>
        <v>63.995380422211589</v>
      </c>
      <c r="BG134" s="20">
        <f t="shared" si="115"/>
        <v>574.70712090201857</v>
      </c>
      <c r="BH134" s="59">
        <f t="shared" si="116"/>
        <v>868.04045423535194</v>
      </c>
      <c r="BI134" s="59">
        <f ca="1">AVERAGE(OFFSET($BH$3,0,0,'Données projet'!$E$11+1,1))-AVERAGE(OFFSET($H$3,0,0,'Données projet'!$E$11+1,1))</f>
        <v>250.90038883668348</v>
      </c>
      <c r="BJ134" s="59">
        <f t="shared" si="146"/>
        <v>141.96132114475608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36.242858637652965</v>
      </c>
      <c r="BQ134" s="21">
        <f>EXP(-LN(2)/25)*BQ133+(1-EXP(-LN(2)/25))/(LN(2)/25)*Calculateur!BL134*Calculateur!BN134*VLOOKUP('Données projet'!$B$11,Paramètres!$A$1:$I$89,3,0)*0.475*44/12</f>
        <v>0.72365305974735472</v>
      </c>
      <c r="BR134" s="21">
        <f>EXP(-LN(2)/2)*BR133+(1-EXP(-LN(2)/2))/(LN(2)/2)*BL134*BO134*VLOOKUP('Données projet'!$B$11,Paramètres!$A$1:$I$89,3,0)*0.475*44/12</f>
        <v>2.3727705187448115E-15</v>
      </c>
      <c r="BS134" s="22">
        <f t="shared" si="117"/>
        <v>36.966511697400321</v>
      </c>
      <c r="BT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319</v>
      </c>
      <c r="BZ134" s="13">
        <f>BY134*VLOOKUP('Données projet'!$B$12,Paramètres!$A$1:$I$89,3,0)*VLOOKUP('Données projet'!$B$12,Paramètres!$A$1:$I$89,5,0)</f>
        <v>253.79640000000001</v>
      </c>
      <c r="CA134" s="13">
        <f t="shared" si="147"/>
        <v>61.39816832228076</v>
      </c>
      <c r="CB134" s="20">
        <f t="shared" si="118"/>
        <v>548.96387316130563</v>
      </c>
      <c r="CC134" s="59">
        <f t="shared" si="119"/>
        <v>842.29720649463889</v>
      </c>
      <c r="CD134" s="59">
        <f ca="1">AVERAGE(OFFSET($CC$3,0,0,'Données projet'!$E$12+1,1))-AVERAGE(OFFSET($H$3,0,0,'Données projet'!$E$12+1,1))</f>
        <v>279.49721661620544</v>
      </c>
      <c r="CE134" s="59">
        <f t="shared" si="148"/>
        <v>275.18739333988754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19.364601186390892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19.364601186390892</v>
      </c>
      <c r="CO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789</v>
      </c>
      <c r="CU134" s="17">
        <f>CT134*VLOOKUP('Données projet'!$B$13,Paramètres!$A$1:$I$89,3,0)*VLOOKUP('Données projet'!$B$13,Paramètres!$A$1:$I$89,5,0)</f>
        <v>389.76600000000002</v>
      </c>
      <c r="CV134" s="13">
        <f t="shared" si="149"/>
        <v>89.698759503620408</v>
      </c>
      <c r="CW134" s="20">
        <f t="shared" si="121"/>
        <v>835.06778946880547</v>
      </c>
      <c r="CX134" s="59">
        <f t="shared" si="122"/>
        <v>1128.4011228021388</v>
      </c>
      <c r="CY134" s="59">
        <f ca="1">AVERAGE(OFFSET($CX$3,0,0,'Données projet'!$E$13+1,1))-AVERAGE(OFFSET($H$3,0,0,'Données projet'!$E$13+1,1))</f>
        <v>396.27049617044378</v>
      </c>
      <c r="CZ134" s="59">
        <f t="shared" si="150"/>
        <v>335.2680289568774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52.49360662288619</v>
      </c>
      <c r="DG134" s="21">
        <f>EXP(-LN(2)/25)*DG133+(1-EXP(-LN(2)/25))/(LN(2)/25)*Calculateur!DB134*Calculateur!DD134*VLOOKUP('Données projet'!$B$13,Paramètres!$A$1:$I$89,3,0)*0.475*44/12</f>
        <v>2.8576625702540213</v>
      </c>
      <c r="DH134" s="21">
        <f>EXP(-LN(2)/2)*DH133+(1-EXP(-LN(2)/2))/(LN(2)/2)*DB134*DE134*VLOOKUP('Données projet'!$B$13,Paramètres!$A$1:$I$89,3,0)*0.475*44/12</f>
        <v>2.4150182087935962E-16</v>
      </c>
      <c r="DI134" s="22">
        <f t="shared" si="123"/>
        <v>55.351269193140212</v>
      </c>
      <c r="DJ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541.99999999999989</v>
      </c>
      <c r="DP134" s="17">
        <f>DO134*VLOOKUP('Données projet'!$B$14,Paramètres!$A$1:$I$89,3,0)*VLOOKUP('Données projet'!$B$14,Paramètres!$A$1:$I$89,5,0)</f>
        <v>310.02399999999994</v>
      </c>
      <c r="DQ134" s="13">
        <f t="shared" si="151"/>
        <v>73.27384230442388</v>
      </c>
      <c r="DR134" s="20">
        <f t="shared" si="124"/>
        <v>667.57707534687154</v>
      </c>
      <c r="DS134" s="59">
        <f t="shared" si="125"/>
        <v>960.91040868020491</v>
      </c>
      <c r="DT134" s="59">
        <f ca="1">AVERAGE(OFFSET($DS$3,0,0,'Données projet'!$E$14+1,1))-AVERAGE(OFFSET($H$3,0,0,'Données projet'!$E$14+1,1))</f>
        <v>307.43900954374504</v>
      </c>
      <c r="DU134" s="59">
        <f t="shared" si="152"/>
        <v>185.25270859048999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41.73997567849235</v>
      </c>
      <c r="EB134" s="21">
        <f>EXP(-LN(2)/25)*EB133+(1-EXP(-LN(2)/25))/(LN(2)/25)*Calculateur!DW134*Calculateur!DY134*VLOOKUP('Données projet'!$B$14,Paramètres!$A$1:$I$89,3,0)*0.475*44/12</f>
        <v>1.6243555662496536</v>
      </c>
      <c r="EC134" s="21">
        <f>EXP(-LN(2)/2)*EC133+(1-EXP(-LN(2)/2))/(LN(2)/2)*DW134*DZ134*VLOOKUP('Données projet'!$B$14,Paramètres!$A$1:$I$89,3,0)*0.475*44/12</f>
        <v>2.2879119872781427E-16</v>
      </c>
      <c r="ED134" s="22">
        <f t="shared" si="126"/>
        <v>43.364331244742004</v>
      </c>
      <c r="EE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401</v>
      </c>
      <c r="EK134" s="17">
        <f>EJ134*VLOOKUP('Données projet'!$B$15,Paramètres!$A$1:$I$89,3,0)*VLOOKUP('Données projet'!$B$15,Paramètres!$A$1:$I$89,5,0)</f>
        <v>250.22399999999999</v>
      </c>
      <c r="EL134" s="13">
        <f t="shared" si="153"/>
        <v>60.633904580527918</v>
      </c>
      <c r="EM134" s="20">
        <f t="shared" si="127"/>
        <v>541.41085047775289</v>
      </c>
      <c r="EN134" s="59">
        <f t="shared" si="128"/>
        <v>834.74418381108626</v>
      </c>
      <c r="EO134" s="59">
        <f ca="1">AVERAGE(OFFSET($EN$3,0,0,'Données projet'!$E$15+1,1))-AVERAGE(OFFSET($H$3,0,0,'Données projet'!$E$15+1,1))</f>
        <v>269.77739619445515</v>
      </c>
      <c r="EP134" s="59">
        <f t="shared" si="154"/>
        <v>347.56964743629885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18.769174264556671</v>
      </c>
      <c r="EW134" s="21">
        <f>EXP(-LN(2)/25)*EW133+(1-EXP(-LN(2)/25))/(LN(2)/25)*Calculateur!ER134*Calculateur!ET134*VLOOKUP('Données projet'!$B$15,Paramètres!$A$1:$I$89,3,0)*0.475*44/12</f>
        <v>5.5770935561025903</v>
      </c>
      <c r="EX134" s="21">
        <f>EXP(-LN(2)/2)*EX133+(1-EXP(-LN(2)/2))/(LN(2)/2)*ER134*EU134*VLOOKUP('Données projet'!$B$15,Paramètres!$A$1:$I$89,3,0)*0.475*44/12</f>
        <v>1.5599399913260066E-17</v>
      </c>
      <c r="EY134" s="22">
        <f t="shared" si="129"/>
        <v>24.346267820659261</v>
      </c>
      <c r="EZ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367.99999999999972</v>
      </c>
      <c r="FF134" s="17">
        <f>FE134*VLOOKUP('Données projet'!$B$16,Paramètres!$A$1:$I$89,3,0)*VLOOKUP('Données projet'!$B$16,Paramètres!$A$1:$I$89,5,0)</f>
        <v>292.78079999999977</v>
      </c>
      <c r="FG134" s="13">
        <f t="shared" si="155"/>
        <v>69.660903052386217</v>
      </c>
      <c r="FH134" s="20">
        <f t="shared" si="130"/>
        <v>631.25263281623893</v>
      </c>
      <c r="FI134" s="59">
        <f t="shared" si="131"/>
        <v>924.58596614957219</v>
      </c>
      <c r="FJ134" s="59">
        <f ca="1">AVERAGE(OFFSET($FI$3,0,0,'Données projet'!$E$16+1,1))-AVERAGE(OFFSET($H$3,0,0,'Données projet'!$E$16+1,1))</f>
        <v>331.52724290297675</v>
      </c>
      <c r="FK134" s="59">
        <f t="shared" si="156"/>
        <v>322.79102610158054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22.44747048765052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22.44747048765052</v>
      </c>
      <c r="FU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852.00000000000011</v>
      </c>
      <c r="GA134" s="17">
        <f>FZ134*VLOOKUP('Données projet'!$B$17,Paramètres!$A$1:$I$89,3,0)*VLOOKUP('Données projet'!$B$17,Paramètres!$A$1:$I$89,5,0)</f>
        <v>420.88800000000009</v>
      </c>
      <c r="GB134" s="13">
        <f t="shared" si="157"/>
        <v>95.998759891259041</v>
      </c>
      <c r="GC134" s="20">
        <f t="shared" si="133"/>
        <v>900.24444014394294</v>
      </c>
      <c r="GD134" s="59">
        <f t="shared" si="134"/>
        <v>1193.5777734772762</v>
      </c>
      <c r="GE134" s="59">
        <f ca="1">AVERAGE(OFFSET($GD$3,0,0,'Données projet'!$E$17+1,1))-AVERAGE(OFFSET($H$3,0,0,'Données projet'!$E$17+1,1))</f>
        <v>434.08297999735811</v>
      </c>
      <c r="GF134" s="59">
        <f t="shared" si="158"/>
        <v>371.04090283546122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57.91583588214165</v>
      </c>
      <c r="GM134" s="21">
        <f>EXP(-LN(2)/25)*GM133+(1-EXP(-LN(2)/25))/(LN(2)/25)*Calculateur!GH134*Calculateur!GJ134*VLOOKUP('Données projet'!$B$17,Paramètres!$A$1:$I$89,3,0)*0.475*44/12</f>
        <v>3.1434288272794251</v>
      </c>
      <c r="GN134" s="21">
        <f>EXP(-LN(2)/2)*GN133+(1-EXP(-LN(2)/2))/(LN(2)/2)*GH134*GK134*VLOOKUP('Données projet'!$B$17,Paramètres!$A$1:$I$89,3,0)*0.475*44/12</f>
        <v>4.7202628626420263E-16</v>
      </c>
      <c r="GO134" s="21">
        <f t="shared" si="135"/>
        <v>61.059264709421072</v>
      </c>
      <c r="GP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614.99999999999989</v>
      </c>
      <c r="GV134" s="17">
        <f>GU134*VLOOKUP('Données projet'!$B$18,Paramètres!$A$1:$I$89,3,0)*VLOOKUP('Données projet'!$B$18,Paramètres!$A$1:$I$89,5,0)</f>
        <v>351.78</v>
      </c>
      <c r="GW134" s="13">
        <f t="shared" si="159"/>
        <v>81.92892344316067</v>
      </c>
      <c r="GX134" s="20">
        <f t="shared" si="136"/>
        <v>755.37637499683808</v>
      </c>
      <c r="GY134" s="59">
        <f t="shared" si="137"/>
        <v>1048.7097083301715</v>
      </c>
      <c r="GZ134" s="59">
        <f ca="1">AVERAGE(OFFSET($GY$3,0,0,'Données projet'!$E$18+1,1))-AVERAGE(OFFSET($H$3,0,0,'Données projet'!$E$18+1,1))</f>
        <v>362.57172983134313</v>
      </c>
      <c r="HA134" s="59">
        <f t="shared" si="160"/>
        <v>232.03250917542471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47.069958576675816</v>
      </c>
      <c r="HH134" s="21">
        <f>EXP(-LN(2)/25)*HH133+(1-EXP(-LN(2)/25))/(LN(2)/25)*Calculateur!HC134*Calculateur!HE134*VLOOKUP('Données projet'!$B$18,Paramètres!$A$1:$I$89,3,0)*0.475*44/12</f>
        <v>1.8950814939579317</v>
      </c>
      <c r="HI134" s="21">
        <f>EXP(-LN(2)/2)*HI133+(1-EXP(-LN(2)/2))/(LN(2)/2)*HC134*HF134*VLOOKUP('Données projet'!$B$18,Paramètres!$A$1:$I$89,3,0)*0.475*44/12</f>
        <v>4.7029301960717364E-16</v>
      </c>
      <c r="HJ134" s="22">
        <f t="shared" si="138"/>
        <v>48.965040070633748</v>
      </c>
    </row>
    <row r="135" spans="1:218" x14ac:dyDescent="0.3">
      <c r="A135" s="10">
        <f t="shared" si="139"/>
        <v>132</v>
      </c>
      <c r="B135" s="71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5">
        <f t="shared" si="110"/>
        <v>435.34923124871818</v>
      </c>
      <c r="I135" s="6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266.99999999999983</v>
      </c>
      <c r="O135" s="13">
        <f>N135*VLOOKUP('Données projet'!$B$9,Paramètres!$A$1:$I$89,3,0)*VLOOKUP('Données projet'!$B$9,Paramètres!$A$1:$I$89,5,0)</f>
        <v>212.42519999999985</v>
      </c>
      <c r="P135" s="13">
        <f t="shared" si="141"/>
        <v>52.465198231787184</v>
      </c>
      <c r="Q135" s="20">
        <f t="shared" si="108"/>
        <v>461.35077692036231</v>
      </c>
      <c r="R135" s="59">
        <f t="shared" si="109"/>
        <v>754.68411025369562</v>
      </c>
      <c r="S135" s="59">
        <f ca="1">AVERAGE(OFFSET($R$3,0,0,'Données projet'!$E$9+1,1))-AVERAGE(OFFSET($H$3,0,0,'Données projet'!$E$9+1,1))</f>
        <v>225.2323446080772</v>
      </c>
      <c r="T135" s="59">
        <f t="shared" si="142"/>
        <v>222.29030402759292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15.492190321769272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15.492190321769272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732.99999999999966</v>
      </c>
      <c r="AJ135" s="13">
        <f>AI135*VLOOKUP('Données projet'!$B$10,Paramètres!$A$1:$I$89,3,0)*VLOOKUP('Données projet'!$B$10,Paramètres!$A$1:$I$89,5,0)</f>
        <v>362.1019999999998</v>
      </c>
      <c r="AK135" s="13">
        <f t="shared" si="143"/>
        <v>84.049487364732272</v>
      </c>
      <c r="AL135" s="20">
        <f t="shared" si="112"/>
        <v>777.04717382690842</v>
      </c>
      <c r="AM135" s="59">
        <f t="shared" si="113"/>
        <v>1070.3805071602417</v>
      </c>
      <c r="AN135" s="59">
        <f ca="1">AVERAGE(OFFSET($AM$3,0,0,'Données projet'!$E$10+1,1))-AVERAGE(OFFSET($H$3,0,0,'Données projet'!$E$10+1,1))</f>
        <v>360.05819346986135</v>
      </c>
      <c r="AO135" s="59">
        <f t="shared" si="144"/>
        <v>300.47468388351081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46.393600110011249</v>
      </c>
      <c r="AV135" s="21">
        <f>EXP(-LN(2)/25)*AV134+(1-EXP(-LN(2)/25))/(LN(2)/25)*Calculateur!AQ135*Calculateur!AS135*VLOOKUP('Données projet'!$B$10,Paramètres!$A$1:$I$89,3,0)*0.475*44/12</f>
        <v>2.5015676732932315</v>
      </c>
      <c r="AW135" s="21">
        <f>EXP(-LN(2)/2)*AW134+(1-EXP(-LN(2)/2))/(LN(2)/2)*AQ135*AT135*VLOOKUP('Données projet'!$B$10,Paramètres!$A$1:$I$89,3,0)*0.475*44/12</f>
        <v>2.3286487529003731E-17</v>
      </c>
      <c r="AX135" s="21">
        <f t="shared" si="114"/>
        <v>48.89516778330448</v>
      </c>
      <c r="AY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465.00000000000006</v>
      </c>
      <c r="BE135" s="13">
        <f>BD135*VLOOKUP('Données projet'!$B$11,Paramètres!$A$1:$I$89,3,0)*VLOOKUP('Données projet'!$B$11,Paramètres!$A$1:$I$89,5,0)</f>
        <v>265.98</v>
      </c>
      <c r="BF135" s="13">
        <f t="shared" si="145"/>
        <v>63.995380422211589</v>
      </c>
      <c r="BG135" s="20">
        <f t="shared" si="115"/>
        <v>574.70712090201857</v>
      </c>
      <c r="BH135" s="59">
        <f t="shared" si="116"/>
        <v>868.04045423535194</v>
      </c>
      <c r="BI135" s="59">
        <f ca="1">AVERAGE(OFFSET($BH$3,0,0,'Données projet'!$E$11+1,1))-AVERAGE(OFFSET($H$3,0,0,'Données projet'!$E$11+1,1))</f>
        <v>250.90038883668348</v>
      </c>
      <c r="BJ135" s="59">
        <f t="shared" si="146"/>
        <v>141.96132114475608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35.532158285729579</v>
      </c>
      <c r="BQ135" s="21">
        <f>EXP(-LN(2)/25)*BQ134+(1-EXP(-LN(2)/25))/(LN(2)/25)*Calculateur!BL135*Calculateur!BN135*VLOOKUP('Données projet'!$B$11,Paramètres!$A$1:$I$89,3,0)*0.475*44/12</f>
        <v>0.70386472877330286</v>
      </c>
      <c r="BR135" s="21">
        <f>EXP(-LN(2)/2)*BR134+(1-EXP(-LN(2)/2))/(LN(2)/2)*BL135*BO135*VLOOKUP('Données projet'!$B$11,Paramètres!$A$1:$I$89,3,0)*0.475*44/12</f>
        <v>1.6778021240039783E-15</v>
      </c>
      <c r="BS135" s="22">
        <f t="shared" si="117"/>
        <v>36.236023014502884</v>
      </c>
      <c r="BT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319</v>
      </c>
      <c r="BZ135" s="13">
        <f>BY135*VLOOKUP('Données projet'!$B$12,Paramètres!$A$1:$I$89,3,0)*VLOOKUP('Données projet'!$B$12,Paramètres!$A$1:$I$89,5,0)</f>
        <v>253.79640000000001</v>
      </c>
      <c r="CA135" s="13">
        <f t="shared" si="147"/>
        <v>61.39816832228076</v>
      </c>
      <c r="CB135" s="20">
        <f t="shared" si="118"/>
        <v>548.96387316130563</v>
      </c>
      <c r="CC135" s="59">
        <f t="shared" si="119"/>
        <v>842.29720649463889</v>
      </c>
      <c r="CD135" s="59">
        <f ca="1">AVERAGE(OFFSET($CC$3,0,0,'Données projet'!$E$12+1,1))-AVERAGE(OFFSET($H$3,0,0,'Données projet'!$E$12+1,1))</f>
        <v>279.49721661620544</v>
      </c>
      <c r="CE135" s="59">
        <f t="shared" si="148"/>
        <v>275.18739333988754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18.984873168366228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18.984873168366228</v>
      </c>
      <c r="CO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789</v>
      </c>
      <c r="CU135" s="17">
        <f>CT135*VLOOKUP('Données projet'!$B$13,Paramètres!$A$1:$I$89,3,0)*VLOOKUP('Données projet'!$B$13,Paramètres!$A$1:$I$89,5,0)</f>
        <v>389.76600000000002</v>
      </c>
      <c r="CV135" s="13">
        <f t="shared" si="149"/>
        <v>89.698759503620408</v>
      </c>
      <c r="CW135" s="20">
        <f t="shared" si="121"/>
        <v>835.06778946880547</v>
      </c>
      <c r="CX135" s="59">
        <f t="shared" si="122"/>
        <v>1128.4011228021388</v>
      </c>
      <c r="CY135" s="59">
        <f ca="1">AVERAGE(OFFSET($CX$3,0,0,'Données projet'!$E$13+1,1))-AVERAGE(OFFSET($H$3,0,0,'Données projet'!$E$13+1,1))</f>
        <v>396.27049617044378</v>
      </c>
      <c r="CZ135" s="59">
        <f t="shared" si="150"/>
        <v>335.2680289568774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51.464239014949925</v>
      </c>
      <c r="DG135" s="21">
        <f>EXP(-LN(2)/25)*DG134+(1-EXP(-LN(2)/25))/(LN(2)/25)*Calculateur!DB135*Calculateur!DD135*VLOOKUP('Données projet'!$B$13,Paramètres!$A$1:$I$89,3,0)*0.475*44/12</f>
        <v>2.7795196369924819</v>
      </c>
      <c r="DH135" s="21">
        <f>EXP(-LN(2)/2)*DH134+(1-EXP(-LN(2)/2))/(LN(2)/2)*DB135*DE135*VLOOKUP('Données projet'!$B$13,Paramètres!$A$1:$I$89,3,0)*0.475*44/12</f>
        <v>1.7076757521269414E-16</v>
      </c>
      <c r="DI135" s="22">
        <f t="shared" si="123"/>
        <v>54.243758651942407</v>
      </c>
      <c r="DJ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541.99999999999989</v>
      </c>
      <c r="DP135" s="17">
        <f>DO135*VLOOKUP('Données projet'!$B$14,Paramètres!$A$1:$I$89,3,0)*VLOOKUP('Données projet'!$B$14,Paramètres!$A$1:$I$89,5,0)</f>
        <v>310.02399999999994</v>
      </c>
      <c r="DQ135" s="13">
        <f t="shared" si="151"/>
        <v>73.27384230442388</v>
      </c>
      <c r="DR135" s="20">
        <f t="shared" si="124"/>
        <v>667.57707534687154</v>
      </c>
      <c r="DS135" s="59">
        <f t="shared" si="125"/>
        <v>960.91040868020491</v>
      </c>
      <c r="DT135" s="59">
        <f ca="1">AVERAGE(OFFSET($DS$3,0,0,'Données projet'!$E$14+1,1))-AVERAGE(OFFSET($H$3,0,0,'Données projet'!$E$14+1,1))</f>
        <v>307.43900954374504</v>
      </c>
      <c r="DU135" s="59">
        <f t="shared" si="152"/>
        <v>185.25270859048999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40.921480214308424</v>
      </c>
      <c r="EB135" s="21">
        <f>EXP(-LN(2)/25)*EB134+(1-EXP(-LN(2)/25))/(LN(2)/25)*Calculateur!DW135*Calculateur!DY135*VLOOKUP('Données projet'!$B$14,Paramètres!$A$1:$I$89,3,0)*0.475*44/12</f>
        <v>1.5799374778694102</v>
      </c>
      <c r="EC135" s="21">
        <f>EXP(-LN(2)/2)*EC134+(1-EXP(-LN(2)/2))/(LN(2)/2)*DW135*DZ135*VLOOKUP('Données projet'!$B$14,Paramètres!$A$1:$I$89,3,0)*0.475*44/12</f>
        <v>1.6177980809623648E-16</v>
      </c>
      <c r="ED135" s="22">
        <f t="shared" si="126"/>
        <v>42.501417692177831</v>
      </c>
      <c r="EE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401</v>
      </c>
      <c r="EK135" s="17">
        <f>EJ135*VLOOKUP('Données projet'!$B$15,Paramètres!$A$1:$I$89,3,0)*VLOOKUP('Données projet'!$B$15,Paramètres!$A$1:$I$89,5,0)</f>
        <v>250.22399999999999</v>
      </c>
      <c r="EL135" s="13">
        <f t="shared" si="153"/>
        <v>60.633904580527918</v>
      </c>
      <c r="EM135" s="20">
        <f t="shared" si="127"/>
        <v>541.41085047775289</v>
      </c>
      <c r="EN135" s="59">
        <f t="shared" si="128"/>
        <v>834.74418381108626</v>
      </c>
      <c r="EO135" s="59">
        <f ca="1">AVERAGE(OFFSET($EN$3,0,0,'Données projet'!$E$15+1,1))-AVERAGE(OFFSET($H$3,0,0,'Données projet'!$E$15+1,1))</f>
        <v>269.77739619445515</v>
      </c>
      <c r="EP135" s="59">
        <f t="shared" si="154"/>
        <v>347.56964743629885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18.401122205294612</v>
      </c>
      <c r="EW135" s="21">
        <f>EXP(-LN(2)/25)*EW134+(1-EXP(-LN(2)/25))/(LN(2)/25)*Calculateur!ER135*Calculateur!ET135*VLOOKUP('Données projet'!$B$15,Paramètres!$A$1:$I$89,3,0)*0.475*44/12</f>
        <v>5.4245876395243613</v>
      </c>
      <c r="EX135" s="21">
        <f>EXP(-LN(2)/2)*EX134+(1-EXP(-LN(2)/2))/(LN(2)/2)*ER135*EU135*VLOOKUP('Données projet'!$B$15,Paramètres!$A$1:$I$89,3,0)*0.475*44/12</f>
        <v>1.1030441461107034E-17</v>
      </c>
      <c r="EY135" s="22">
        <f t="shared" si="129"/>
        <v>23.825709844818974</v>
      </c>
      <c r="EZ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367.99999999999972</v>
      </c>
      <c r="FF135" s="17">
        <f>FE135*VLOOKUP('Données projet'!$B$16,Paramètres!$A$1:$I$89,3,0)*VLOOKUP('Données projet'!$B$16,Paramètres!$A$1:$I$89,5,0)</f>
        <v>292.78079999999977</v>
      </c>
      <c r="FG135" s="13">
        <f t="shared" si="155"/>
        <v>69.660903052386217</v>
      </c>
      <c r="FH135" s="20">
        <f t="shared" si="130"/>
        <v>631.25263281623893</v>
      </c>
      <c r="FI135" s="59">
        <f t="shared" si="131"/>
        <v>924.58596614957219</v>
      </c>
      <c r="FJ135" s="59">
        <f ca="1">AVERAGE(OFFSET($FI$3,0,0,'Données projet'!$E$16+1,1))-AVERAGE(OFFSET($H$3,0,0,'Données projet'!$E$16+1,1))</f>
        <v>331.52724290297675</v>
      </c>
      <c r="FK135" s="59">
        <f t="shared" si="156"/>
        <v>322.79102610158054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22.007289282992758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22.007289282992758</v>
      </c>
      <c r="FU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852.00000000000011</v>
      </c>
      <c r="GA135" s="17">
        <f>FZ135*VLOOKUP('Données projet'!$B$17,Paramètres!$A$1:$I$89,3,0)*VLOOKUP('Données projet'!$B$17,Paramètres!$A$1:$I$89,5,0)</f>
        <v>420.88800000000009</v>
      </c>
      <c r="GB135" s="13">
        <f t="shared" si="157"/>
        <v>95.998759891259041</v>
      </c>
      <c r="GC135" s="20">
        <f t="shared" si="133"/>
        <v>900.24444014394294</v>
      </c>
      <c r="GD135" s="59">
        <f t="shared" si="134"/>
        <v>1193.5777734772762</v>
      </c>
      <c r="GE135" s="59">
        <f ca="1">AVERAGE(OFFSET($GD$3,0,0,'Données projet'!$E$17+1,1))-AVERAGE(OFFSET($H$3,0,0,'Données projet'!$E$17+1,1))</f>
        <v>434.08297999735811</v>
      </c>
      <c r="GF135" s="59">
        <f t="shared" si="158"/>
        <v>371.04090283546122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56.780141665664672</v>
      </c>
      <c r="GM135" s="21">
        <f>EXP(-LN(2)/25)*GM134+(1-EXP(-LN(2)/25))/(LN(2)/25)*Calculateur!GH135*Calculateur!GJ135*VLOOKUP('Données projet'!$B$17,Paramètres!$A$1:$I$89,3,0)*0.475*44/12</f>
        <v>3.0574716006917315</v>
      </c>
      <c r="GN135" s="21">
        <f>EXP(-LN(2)/2)*GN134+(1-EXP(-LN(2)/2))/(LN(2)/2)*GH135*GK135*VLOOKUP('Données projet'!$B$17,Paramètres!$A$1:$I$89,3,0)*0.475*44/12</f>
        <v>3.3377298791572018E-16</v>
      </c>
      <c r="GO135" s="21">
        <f t="shared" si="135"/>
        <v>59.837613266356406</v>
      </c>
      <c r="GP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614.99999999999989</v>
      </c>
      <c r="GV135" s="17">
        <f>GU135*VLOOKUP('Données projet'!$B$18,Paramètres!$A$1:$I$89,3,0)*VLOOKUP('Données projet'!$B$18,Paramètres!$A$1:$I$89,5,0)</f>
        <v>351.78</v>
      </c>
      <c r="GW135" s="13">
        <f t="shared" si="159"/>
        <v>81.92892344316067</v>
      </c>
      <c r="GX135" s="20">
        <f t="shared" si="136"/>
        <v>755.37637499683808</v>
      </c>
      <c r="GY135" s="59">
        <f t="shared" si="137"/>
        <v>1048.7097083301715</v>
      </c>
      <c r="GZ135" s="59">
        <f ca="1">AVERAGE(OFFSET($GY$3,0,0,'Données projet'!$E$18+1,1))-AVERAGE(OFFSET($H$3,0,0,'Données projet'!$E$18+1,1))</f>
        <v>362.57172983134313</v>
      </c>
      <c r="HA135" s="59">
        <f t="shared" si="160"/>
        <v>232.03250917542471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46.146945398827071</v>
      </c>
      <c r="HH135" s="21">
        <f>EXP(-LN(2)/25)*HH134+(1-EXP(-LN(2)/25))/(LN(2)/25)*Calculateur!HC135*Calculateur!HE135*VLOOKUP('Données projet'!$B$18,Paramètres!$A$1:$I$89,3,0)*0.475*44/12</f>
        <v>1.8432603908476475</v>
      </c>
      <c r="HI135" s="21">
        <f>EXP(-LN(2)/2)*HI134+(1-EXP(-LN(2)/2))/(LN(2)/2)*HC135*HF135*VLOOKUP('Données projet'!$B$18,Paramètres!$A$1:$I$89,3,0)*0.475*44/12</f>
        <v>3.3254738330893044E-16</v>
      </c>
      <c r="HJ135" s="22">
        <f t="shared" si="138"/>
        <v>47.990205789674718</v>
      </c>
    </row>
    <row r="136" spans="1:218" x14ac:dyDescent="0.3">
      <c r="A136" s="10">
        <f t="shared" si="139"/>
        <v>133</v>
      </c>
      <c r="B136" s="71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5">
        <f t="shared" si="110"/>
        <v>436.39729767795615</v>
      </c>
      <c r="I136" s="6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266.99999999999983</v>
      </c>
      <c r="O136" s="13">
        <f>N136*VLOOKUP('Données projet'!$B$9,Paramètres!$A$1:$I$89,3,0)*VLOOKUP('Données projet'!$B$9,Paramètres!$A$1:$I$89,5,0)</f>
        <v>212.42519999999985</v>
      </c>
      <c r="P136" s="13">
        <f t="shared" si="141"/>
        <v>52.465198231787184</v>
      </c>
      <c r="Q136" s="20">
        <f t="shared" si="108"/>
        <v>461.35077692036231</v>
      </c>
      <c r="R136" s="59">
        <f t="shared" si="109"/>
        <v>754.68411025369562</v>
      </c>
      <c r="S136" s="59">
        <f ca="1">AVERAGE(OFFSET($R$3,0,0,'Données projet'!$E$9+1,1))-AVERAGE(OFFSET($H$3,0,0,'Données projet'!$E$9+1,1))</f>
        <v>225.2323446080772</v>
      </c>
      <c r="T136" s="59">
        <f t="shared" si="142"/>
        <v>222.29030402759292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15.188397918862432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15.188397918862432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732.99999999999966</v>
      </c>
      <c r="AJ136" s="13">
        <f>AI136*VLOOKUP('Données projet'!$B$10,Paramètres!$A$1:$I$89,3,0)*VLOOKUP('Données projet'!$B$10,Paramètres!$A$1:$I$89,5,0)</f>
        <v>362.1019999999998</v>
      </c>
      <c r="AK136" s="13">
        <f t="shared" si="143"/>
        <v>84.049487364732272</v>
      </c>
      <c r="AL136" s="20">
        <f t="shared" si="112"/>
        <v>777.04717382690842</v>
      </c>
      <c r="AM136" s="59">
        <f t="shared" si="113"/>
        <v>1070.3805071602417</v>
      </c>
      <c r="AN136" s="59">
        <f ca="1">AVERAGE(OFFSET($AM$3,0,0,'Données projet'!$E$10+1,1))-AVERAGE(OFFSET($H$3,0,0,'Données projet'!$E$10+1,1))</f>
        <v>360.05819346986135</v>
      </c>
      <c r="AO136" s="59">
        <f t="shared" si="144"/>
        <v>300.47468388351081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45.483849909155872</v>
      </c>
      <c r="AV136" s="21">
        <f>EXP(-LN(2)/25)*AV135+(1-EXP(-LN(2)/25))/(LN(2)/25)*Calculateur!AQ136*Calculateur!AS136*VLOOKUP('Données projet'!$B$10,Paramètres!$A$1:$I$89,3,0)*0.475*44/12</f>
        <v>2.4331621737153015</v>
      </c>
      <c r="AW136" s="21">
        <f>EXP(-LN(2)/2)*AW135+(1-EXP(-LN(2)/2))/(LN(2)/2)*AQ136*AT136*VLOOKUP('Données projet'!$B$10,Paramètres!$A$1:$I$89,3,0)*0.475*44/12</f>
        <v>1.6466033241774508E-17</v>
      </c>
      <c r="AX136" s="21">
        <f t="shared" si="114"/>
        <v>47.917012082871175</v>
      </c>
      <c r="AY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465.00000000000006</v>
      </c>
      <c r="BE136" s="13">
        <f>BD136*VLOOKUP('Données projet'!$B$11,Paramètres!$A$1:$I$89,3,0)*VLOOKUP('Données projet'!$B$11,Paramètres!$A$1:$I$89,5,0)</f>
        <v>265.98</v>
      </c>
      <c r="BF136" s="13">
        <f t="shared" si="145"/>
        <v>63.995380422211589</v>
      </c>
      <c r="BG136" s="20">
        <f t="shared" si="115"/>
        <v>574.70712090201857</v>
      </c>
      <c r="BH136" s="59">
        <f t="shared" si="116"/>
        <v>868.04045423535194</v>
      </c>
      <c r="BI136" s="59">
        <f ca="1">AVERAGE(OFFSET($BH$3,0,0,'Données projet'!$E$11+1,1))-AVERAGE(OFFSET($H$3,0,0,'Données projet'!$E$11+1,1))</f>
        <v>250.90038883668348</v>
      </c>
      <c r="BJ136" s="59">
        <f t="shared" si="146"/>
        <v>141.96132114475608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34.835394334222997</v>
      </c>
      <c r="BQ136" s="21">
        <f>EXP(-LN(2)/25)*BQ135+(1-EXP(-LN(2)/25))/(LN(2)/25)*Calculateur!BL136*Calculateur!BN136*VLOOKUP('Données projet'!$B$11,Paramètres!$A$1:$I$89,3,0)*0.475*44/12</f>
        <v>0.68461751075035948</v>
      </c>
      <c r="BR136" s="21">
        <f>EXP(-LN(2)/2)*BR135+(1-EXP(-LN(2)/2))/(LN(2)/2)*BL136*BO136*VLOOKUP('Données projet'!$B$11,Paramètres!$A$1:$I$89,3,0)*0.475*44/12</f>
        <v>1.1863852593724057E-15</v>
      </c>
      <c r="BS136" s="22">
        <f t="shared" si="117"/>
        <v>35.520011844973354</v>
      </c>
      <c r="BT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319</v>
      </c>
      <c r="BZ136" s="13">
        <f>BY136*VLOOKUP('Données projet'!$B$12,Paramètres!$A$1:$I$89,3,0)*VLOOKUP('Données projet'!$B$12,Paramètres!$A$1:$I$89,5,0)</f>
        <v>253.79640000000001</v>
      </c>
      <c r="CA136" s="13">
        <f t="shared" si="147"/>
        <v>61.39816832228076</v>
      </c>
      <c r="CB136" s="20">
        <f t="shared" si="118"/>
        <v>548.96387316130563</v>
      </c>
      <c r="CC136" s="59">
        <f t="shared" si="119"/>
        <v>842.29720649463889</v>
      </c>
      <c r="CD136" s="59">
        <f ca="1">AVERAGE(OFFSET($CC$3,0,0,'Données projet'!$E$12+1,1))-AVERAGE(OFFSET($H$3,0,0,'Données projet'!$E$12+1,1))</f>
        <v>279.49721661620544</v>
      </c>
      <c r="CE136" s="59">
        <f t="shared" si="148"/>
        <v>275.18739333988754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18.612591385163807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18.612591385163807</v>
      </c>
      <c r="CO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789</v>
      </c>
      <c r="CU136" s="17">
        <f>CT136*VLOOKUP('Données projet'!$B$13,Paramètres!$A$1:$I$89,3,0)*VLOOKUP('Données projet'!$B$13,Paramètres!$A$1:$I$89,5,0)</f>
        <v>389.76600000000002</v>
      </c>
      <c r="CV136" s="13">
        <f t="shared" si="149"/>
        <v>89.698759503620408</v>
      </c>
      <c r="CW136" s="20">
        <f t="shared" si="121"/>
        <v>835.06778946880547</v>
      </c>
      <c r="CX136" s="59">
        <f t="shared" si="122"/>
        <v>1128.4011228021388</v>
      </c>
      <c r="CY136" s="59">
        <f ca="1">AVERAGE(OFFSET($CX$3,0,0,'Données projet'!$E$13+1,1))-AVERAGE(OFFSET($H$3,0,0,'Données projet'!$E$13+1,1))</f>
        <v>396.27049617044378</v>
      </c>
      <c r="CZ136" s="59">
        <f t="shared" si="150"/>
        <v>335.2680289568774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50.455056677953046</v>
      </c>
      <c r="DG136" s="21">
        <f>EXP(-LN(2)/25)*DG135+(1-EXP(-LN(2)/25))/(LN(2)/25)*Calculateur!DB136*Calculateur!DD136*VLOOKUP('Données projet'!$B$13,Paramètres!$A$1:$I$89,3,0)*0.475*44/12</f>
        <v>2.7035135263503376</v>
      </c>
      <c r="DH136" s="21">
        <f>EXP(-LN(2)/2)*DH135+(1-EXP(-LN(2)/2))/(LN(2)/2)*DB136*DE136*VLOOKUP('Données projet'!$B$13,Paramètres!$A$1:$I$89,3,0)*0.475*44/12</f>
        <v>1.2075091043967981E-16</v>
      </c>
      <c r="DI136" s="22">
        <f t="shared" si="123"/>
        <v>53.158570204303381</v>
      </c>
      <c r="DJ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541.99999999999989</v>
      </c>
      <c r="DP136" s="17">
        <f>DO136*VLOOKUP('Données projet'!$B$14,Paramètres!$A$1:$I$89,3,0)*VLOOKUP('Données projet'!$B$14,Paramètres!$A$1:$I$89,5,0)</f>
        <v>310.02399999999994</v>
      </c>
      <c r="DQ136" s="13">
        <f t="shared" si="151"/>
        <v>73.27384230442388</v>
      </c>
      <c r="DR136" s="20">
        <f t="shared" si="124"/>
        <v>667.57707534687154</v>
      </c>
      <c r="DS136" s="59">
        <f t="shared" si="125"/>
        <v>960.91040868020491</v>
      </c>
      <c r="DT136" s="59">
        <f ca="1">AVERAGE(OFFSET($DS$3,0,0,'Données projet'!$E$14+1,1))-AVERAGE(OFFSET($H$3,0,0,'Données projet'!$E$14+1,1))</f>
        <v>307.43900954374504</v>
      </c>
      <c r="DU136" s="59">
        <f t="shared" si="152"/>
        <v>185.25270859048999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40.119034946944204</v>
      </c>
      <c r="EB136" s="21">
        <f>EXP(-LN(2)/25)*EB135+(1-EXP(-LN(2)/25))/(LN(2)/25)*Calculateur!DW136*Calculateur!DY136*VLOOKUP('Données projet'!$B$14,Paramètres!$A$1:$I$89,3,0)*0.475*44/12</f>
        <v>1.5367340044517701</v>
      </c>
      <c r="EC136" s="21">
        <f>EXP(-LN(2)/2)*EC135+(1-EXP(-LN(2)/2))/(LN(2)/2)*DW136*DZ136*VLOOKUP('Données projet'!$B$14,Paramètres!$A$1:$I$89,3,0)*0.475*44/12</f>
        <v>1.1439559936390714E-16</v>
      </c>
      <c r="ED136" s="22">
        <f t="shared" si="126"/>
        <v>41.655768951395977</v>
      </c>
      <c r="EE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401</v>
      </c>
      <c r="EK136" s="17">
        <f>EJ136*VLOOKUP('Données projet'!$B$15,Paramètres!$A$1:$I$89,3,0)*VLOOKUP('Données projet'!$B$15,Paramètres!$A$1:$I$89,5,0)</f>
        <v>250.22399999999999</v>
      </c>
      <c r="EL136" s="13">
        <f t="shared" si="153"/>
        <v>60.633904580527918</v>
      </c>
      <c r="EM136" s="20">
        <f t="shared" si="127"/>
        <v>541.41085047775289</v>
      </c>
      <c r="EN136" s="59">
        <f t="shared" si="128"/>
        <v>834.74418381108626</v>
      </c>
      <c r="EO136" s="59">
        <f ca="1">AVERAGE(OFFSET($EN$3,0,0,'Données projet'!$E$15+1,1))-AVERAGE(OFFSET($H$3,0,0,'Données projet'!$E$15+1,1))</f>
        <v>269.77739619445515</v>
      </c>
      <c r="EP136" s="59">
        <f t="shared" si="154"/>
        <v>347.56964743629885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18.040287422425095</v>
      </c>
      <c r="EW136" s="21">
        <f>EXP(-LN(2)/25)*EW135+(1-EXP(-LN(2)/25))/(LN(2)/25)*Calculateur!ER136*Calculateur!ET136*VLOOKUP('Données projet'!$B$15,Paramètres!$A$1:$I$89,3,0)*0.475*44/12</f>
        <v>5.2762520052549018</v>
      </c>
      <c r="EX136" s="21">
        <f>EXP(-LN(2)/2)*EX135+(1-EXP(-LN(2)/2))/(LN(2)/2)*ER136*EU136*VLOOKUP('Données projet'!$B$15,Paramètres!$A$1:$I$89,3,0)*0.475*44/12</f>
        <v>7.7996999566300331E-18</v>
      </c>
      <c r="EY136" s="22">
        <f t="shared" si="129"/>
        <v>23.316539427679999</v>
      </c>
      <c r="EZ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367.99999999999972</v>
      </c>
      <c r="FF136" s="17">
        <f>FE136*VLOOKUP('Données projet'!$B$16,Paramètres!$A$1:$I$89,3,0)*VLOOKUP('Données projet'!$B$16,Paramètres!$A$1:$I$89,5,0)</f>
        <v>292.78079999999977</v>
      </c>
      <c r="FG136" s="13">
        <f t="shared" si="155"/>
        <v>69.660903052386217</v>
      </c>
      <c r="FH136" s="20">
        <f t="shared" si="130"/>
        <v>631.25263281623893</v>
      </c>
      <c r="FI136" s="59">
        <f t="shared" si="131"/>
        <v>924.58596614957219</v>
      </c>
      <c r="FJ136" s="59">
        <f ca="1">AVERAGE(OFFSET($FI$3,0,0,'Données projet'!$E$16+1,1))-AVERAGE(OFFSET($H$3,0,0,'Données projet'!$E$16+1,1))</f>
        <v>331.52724290297675</v>
      </c>
      <c r="FK136" s="59">
        <f t="shared" si="156"/>
        <v>322.79102610158054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21.57573976327431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21.57573976327431</v>
      </c>
      <c r="FU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852.00000000000011</v>
      </c>
      <c r="GA136" s="17">
        <f>FZ136*VLOOKUP('Données projet'!$B$17,Paramètres!$A$1:$I$89,3,0)*VLOOKUP('Données projet'!$B$17,Paramètres!$A$1:$I$89,5,0)</f>
        <v>420.88800000000009</v>
      </c>
      <c r="GB136" s="13">
        <f t="shared" si="157"/>
        <v>95.998759891259041</v>
      </c>
      <c r="GC136" s="20">
        <f t="shared" si="133"/>
        <v>900.24444014394294</v>
      </c>
      <c r="GD136" s="59">
        <f t="shared" si="134"/>
        <v>1193.5777734772762</v>
      </c>
      <c r="GE136" s="59">
        <f ca="1">AVERAGE(OFFSET($GD$3,0,0,'Données projet'!$E$17+1,1))-AVERAGE(OFFSET($H$3,0,0,'Données projet'!$E$17+1,1))</f>
        <v>434.08297999735811</v>
      </c>
      <c r="GF136" s="59">
        <f t="shared" si="158"/>
        <v>371.04090283546122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55.66671772006773</v>
      </c>
      <c r="GM136" s="21">
        <f>EXP(-LN(2)/25)*GM135+(1-EXP(-LN(2)/25))/(LN(2)/25)*Calculateur!GH136*Calculateur!GJ136*VLOOKUP('Données projet'!$B$17,Paramètres!$A$1:$I$89,3,0)*0.475*44/12</f>
        <v>2.9738648789853728</v>
      </c>
      <c r="GN136" s="21">
        <f>EXP(-LN(2)/2)*GN135+(1-EXP(-LN(2)/2))/(LN(2)/2)*GH136*GK136*VLOOKUP('Données projet'!$B$17,Paramètres!$A$1:$I$89,3,0)*0.475*44/12</f>
        <v>2.3601314313210132E-16</v>
      </c>
      <c r="GO136" s="21">
        <f t="shared" si="135"/>
        <v>58.640582599053104</v>
      </c>
      <c r="GP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614.99999999999989</v>
      </c>
      <c r="GV136" s="17">
        <f>GU136*VLOOKUP('Données projet'!$B$18,Paramètres!$A$1:$I$89,3,0)*VLOOKUP('Données projet'!$B$18,Paramètres!$A$1:$I$89,5,0)</f>
        <v>351.78</v>
      </c>
      <c r="GW136" s="13">
        <f t="shared" si="159"/>
        <v>81.92892344316067</v>
      </c>
      <c r="GX136" s="20">
        <f t="shared" si="136"/>
        <v>755.37637499683808</v>
      </c>
      <c r="GY136" s="59">
        <f t="shared" si="137"/>
        <v>1048.7097083301715</v>
      </c>
      <c r="GZ136" s="59">
        <f ca="1">AVERAGE(OFFSET($GY$3,0,0,'Données projet'!$E$18+1,1))-AVERAGE(OFFSET($H$3,0,0,'Données projet'!$E$18+1,1))</f>
        <v>362.57172983134313</v>
      </c>
      <c r="HA136" s="59">
        <f t="shared" si="160"/>
        <v>232.03250917542471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45.242031946413498</v>
      </c>
      <c r="HH136" s="21">
        <f>EXP(-LN(2)/25)*HH135+(1-EXP(-LN(2)/25))/(LN(2)/25)*Calculateur!HC136*Calculateur!HE136*VLOOKUP('Données projet'!$B$18,Paramètres!$A$1:$I$89,3,0)*0.475*44/12</f>
        <v>1.7928563385270675</v>
      </c>
      <c r="HI136" s="21">
        <f>EXP(-LN(2)/2)*HI135+(1-EXP(-LN(2)/2))/(LN(2)/2)*HC136*HF136*VLOOKUP('Données projet'!$B$18,Paramètres!$A$1:$I$89,3,0)*0.475*44/12</f>
        <v>2.3514650980358682E-16</v>
      </c>
      <c r="HJ136" s="22">
        <f t="shared" si="138"/>
        <v>47.034888284940564</v>
      </c>
    </row>
    <row r="137" spans="1:218" x14ac:dyDescent="0.3">
      <c r="A137" s="10">
        <f t="shared" si="139"/>
        <v>134</v>
      </c>
      <c r="B137" s="71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5">
        <f t="shared" si="110"/>
        <v>437.4451801121844</v>
      </c>
      <c r="I137" s="6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266.99999999999983</v>
      </c>
      <c r="O137" s="13">
        <f>N137*VLOOKUP('Données projet'!$B$9,Paramètres!$A$1:$I$89,3,0)*VLOOKUP('Données projet'!$B$9,Paramètres!$A$1:$I$89,5,0)</f>
        <v>212.42519999999985</v>
      </c>
      <c r="P137" s="13">
        <f t="shared" si="141"/>
        <v>52.465198231787184</v>
      </c>
      <c r="Q137" s="20">
        <f t="shared" si="108"/>
        <v>461.35077692036231</v>
      </c>
      <c r="R137" s="59">
        <f t="shared" si="109"/>
        <v>754.68411025369562</v>
      </c>
      <c r="S137" s="59">
        <f ca="1">AVERAGE(OFFSET($R$3,0,0,'Données projet'!$E$9+1,1))-AVERAGE(OFFSET($H$3,0,0,'Données projet'!$E$9+1,1))</f>
        <v>225.2323446080772</v>
      </c>
      <c r="T137" s="59">
        <f t="shared" si="142"/>
        <v>222.29030402759292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14.890562699681524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14.890562699681524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732.99999999999966</v>
      </c>
      <c r="AJ137" s="13">
        <f>AI137*VLOOKUP('Données projet'!$B$10,Paramètres!$A$1:$I$89,3,0)*VLOOKUP('Données projet'!$B$10,Paramètres!$A$1:$I$89,5,0)</f>
        <v>362.1019999999998</v>
      </c>
      <c r="AK137" s="13">
        <f t="shared" si="143"/>
        <v>84.049487364732272</v>
      </c>
      <c r="AL137" s="20">
        <f t="shared" si="112"/>
        <v>777.04717382690842</v>
      </c>
      <c r="AM137" s="59">
        <f t="shared" si="113"/>
        <v>1070.3805071602417</v>
      </c>
      <c r="AN137" s="59">
        <f ca="1">AVERAGE(OFFSET($AM$3,0,0,'Données projet'!$E$10+1,1))-AVERAGE(OFFSET($H$3,0,0,'Données projet'!$E$10+1,1))</f>
        <v>360.05819346986135</v>
      </c>
      <c r="AO137" s="59">
        <f t="shared" si="144"/>
        <v>300.47468388351081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44.591939354846431</v>
      </c>
      <c r="AV137" s="21">
        <f>EXP(-LN(2)/25)*AV136+(1-EXP(-LN(2)/25))/(LN(2)/25)*Calculateur!AQ137*Calculateur!AS137*VLOOKUP('Données projet'!$B$10,Paramètres!$A$1:$I$89,3,0)*0.475*44/12</f>
        <v>2.3666272261206189</v>
      </c>
      <c r="AW137" s="21">
        <f>EXP(-LN(2)/2)*AW136+(1-EXP(-LN(2)/2))/(LN(2)/2)*AQ137*AT137*VLOOKUP('Données projet'!$B$10,Paramètres!$A$1:$I$89,3,0)*0.475*44/12</f>
        <v>1.1643243764501865E-17</v>
      </c>
      <c r="AX137" s="21">
        <f t="shared" si="114"/>
        <v>46.958566580967052</v>
      </c>
      <c r="AY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465.00000000000006</v>
      </c>
      <c r="BE137" s="13">
        <f>BD137*VLOOKUP('Données projet'!$B$11,Paramètres!$A$1:$I$89,3,0)*VLOOKUP('Données projet'!$B$11,Paramètres!$A$1:$I$89,5,0)</f>
        <v>265.98</v>
      </c>
      <c r="BF137" s="13">
        <f t="shared" si="145"/>
        <v>63.995380422211589</v>
      </c>
      <c r="BG137" s="20">
        <f t="shared" si="115"/>
        <v>574.70712090201857</v>
      </c>
      <c r="BH137" s="59">
        <f t="shared" si="116"/>
        <v>868.04045423535194</v>
      </c>
      <c r="BI137" s="59">
        <f ca="1">AVERAGE(OFFSET($BH$3,0,0,'Données projet'!$E$11+1,1))-AVERAGE(OFFSET($H$3,0,0,'Données projet'!$E$11+1,1))</f>
        <v>250.90038883668348</v>
      </c>
      <c r="BJ137" s="59">
        <f t="shared" si="146"/>
        <v>141.96132114475608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34.152293498821415</v>
      </c>
      <c r="BQ137" s="21">
        <f>EXP(-LN(2)/25)*BQ136+(1-EXP(-LN(2)/25))/(LN(2)/25)*Calculateur!BL137*Calculateur!BN137*VLOOKUP('Données projet'!$B$11,Paramètres!$A$1:$I$89,3,0)*0.475*44/12</f>
        <v>0.66589660891642077</v>
      </c>
      <c r="BR137" s="21">
        <f>EXP(-LN(2)/2)*BR136+(1-EXP(-LN(2)/2))/(LN(2)/2)*BL137*BO137*VLOOKUP('Données projet'!$B$11,Paramètres!$A$1:$I$89,3,0)*0.475*44/12</f>
        <v>8.3890106200198914E-16</v>
      </c>
      <c r="BS137" s="22">
        <f t="shared" si="117"/>
        <v>34.818190107737834</v>
      </c>
      <c r="BT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319</v>
      </c>
      <c r="BZ137" s="13">
        <f>BY137*VLOOKUP('Données projet'!$B$12,Paramètres!$A$1:$I$89,3,0)*VLOOKUP('Données projet'!$B$12,Paramètres!$A$1:$I$89,5,0)</f>
        <v>253.79640000000001</v>
      </c>
      <c r="CA137" s="13">
        <f t="shared" si="147"/>
        <v>61.39816832228076</v>
      </c>
      <c r="CB137" s="20">
        <f t="shared" si="118"/>
        <v>548.96387316130563</v>
      </c>
      <c r="CC137" s="59">
        <f t="shared" si="119"/>
        <v>842.29720649463889</v>
      </c>
      <c r="CD137" s="59">
        <f ca="1">AVERAGE(OFFSET($CC$3,0,0,'Données projet'!$E$12+1,1))-AVERAGE(OFFSET($H$3,0,0,'Données projet'!$E$12+1,1))</f>
        <v>279.49721661620544</v>
      </c>
      <c r="CE137" s="59">
        <f t="shared" si="148"/>
        <v>275.18739333988754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18.247609820660518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18.247609820660518</v>
      </c>
      <c r="CO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789</v>
      </c>
      <c r="CU137" s="17">
        <f>CT137*VLOOKUP('Données projet'!$B$13,Paramètres!$A$1:$I$89,3,0)*VLOOKUP('Données projet'!$B$13,Paramètres!$A$1:$I$89,5,0)</f>
        <v>389.76600000000002</v>
      </c>
      <c r="CV137" s="13">
        <f t="shared" si="149"/>
        <v>89.698759503620408</v>
      </c>
      <c r="CW137" s="20">
        <f t="shared" si="121"/>
        <v>835.06778946880547</v>
      </c>
      <c r="CX137" s="59">
        <f t="shared" si="122"/>
        <v>1128.4011228021388</v>
      </c>
      <c r="CY137" s="59">
        <f ca="1">AVERAGE(OFFSET($CX$3,0,0,'Données projet'!$E$13+1,1))-AVERAGE(OFFSET($H$3,0,0,'Données projet'!$E$13+1,1))</f>
        <v>396.27049617044378</v>
      </c>
      <c r="CZ137" s="59">
        <f t="shared" si="150"/>
        <v>335.2680289568774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49.465663791044229</v>
      </c>
      <c r="DG137" s="21">
        <f>EXP(-LN(2)/25)*DG136+(1-EXP(-LN(2)/25))/(LN(2)/25)*Calculateur!DB137*Calculateur!DD137*VLOOKUP('Données projet'!$B$13,Paramètres!$A$1:$I$89,3,0)*0.475*44/12</f>
        <v>2.6295858068006903</v>
      </c>
      <c r="DH137" s="21">
        <f>EXP(-LN(2)/2)*DH136+(1-EXP(-LN(2)/2))/(LN(2)/2)*DB137*DE137*VLOOKUP('Données projet'!$B$13,Paramètres!$A$1:$I$89,3,0)*0.475*44/12</f>
        <v>8.5383787606347068E-17</v>
      </c>
      <c r="DI137" s="22">
        <f t="shared" si="123"/>
        <v>52.095249597844919</v>
      </c>
      <c r="DJ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541.99999999999989</v>
      </c>
      <c r="DP137" s="17">
        <f>DO137*VLOOKUP('Données projet'!$B$14,Paramètres!$A$1:$I$89,3,0)*VLOOKUP('Données projet'!$B$14,Paramètres!$A$1:$I$89,5,0)</f>
        <v>310.02399999999994</v>
      </c>
      <c r="DQ137" s="13">
        <f t="shared" si="151"/>
        <v>73.27384230442388</v>
      </c>
      <c r="DR137" s="20">
        <f t="shared" si="124"/>
        <v>667.57707534687154</v>
      </c>
      <c r="DS137" s="59">
        <f t="shared" si="125"/>
        <v>960.91040868020491</v>
      </c>
      <c r="DT137" s="59">
        <f ca="1">AVERAGE(OFFSET($DS$3,0,0,'Données projet'!$E$14+1,1))-AVERAGE(OFFSET($H$3,0,0,'Données projet'!$E$14+1,1))</f>
        <v>307.43900954374504</v>
      </c>
      <c r="DU137" s="59">
        <f t="shared" si="152"/>
        <v>185.25270859048999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39.332325141829713</v>
      </c>
      <c r="EB137" s="21">
        <f>EXP(-LN(2)/25)*EB136+(1-EXP(-LN(2)/25))/(LN(2)/25)*Calculateur!DW137*Calculateur!DY137*VLOOKUP('Données projet'!$B$14,Paramètres!$A$1:$I$89,3,0)*0.475*44/12</f>
        <v>1.4947119322867075</v>
      </c>
      <c r="EC137" s="21">
        <f>EXP(-LN(2)/2)*EC136+(1-EXP(-LN(2)/2))/(LN(2)/2)*DW137*DZ137*VLOOKUP('Données projet'!$B$14,Paramètres!$A$1:$I$89,3,0)*0.475*44/12</f>
        <v>8.0889904048118239E-17</v>
      </c>
      <c r="ED137" s="22">
        <f t="shared" si="126"/>
        <v>40.827037074116419</v>
      </c>
      <c r="EE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401</v>
      </c>
      <c r="EK137" s="17">
        <f>EJ137*VLOOKUP('Données projet'!$B$15,Paramètres!$A$1:$I$89,3,0)*VLOOKUP('Données projet'!$B$15,Paramètres!$A$1:$I$89,5,0)</f>
        <v>250.22399999999999</v>
      </c>
      <c r="EL137" s="13">
        <f t="shared" si="153"/>
        <v>60.633904580527918</v>
      </c>
      <c r="EM137" s="20">
        <f t="shared" si="127"/>
        <v>541.41085047775289</v>
      </c>
      <c r="EN137" s="59">
        <f t="shared" si="128"/>
        <v>834.74418381108626</v>
      </c>
      <c r="EO137" s="59">
        <f ca="1">AVERAGE(OFFSET($EN$3,0,0,'Données projet'!$E$15+1,1))-AVERAGE(OFFSET($H$3,0,0,'Données projet'!$E$15+1,1))</f>
        <v>269.77739619445515</v>
      </c>
      <c r="EP137" s="59">
        <f t="shared" si="154"/>
        <v>347.56964743629885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17.686528389560163</v>
      </c>
      <c r="EW137" s="21">
        <f>EXP(-LN(2)/25)*EW136+(1-EXP(-LN(2)/25))/(LN(2)/25)*Calculateur!ER137*Calculateur!ET137*VLOOKUP('Données projet'!$B$15,Paramètres!$A$1:$I$89,3,0)*0.475*44/12</f>
        <v>5.1319726167051725</v>
      </c>
      <c r="EX137" s="21">
        <f>EXP(-LN(2)/2)*EX136+(1-EXP(-LN(2)/2))/(LN(2)/2)*ER137*EU137*VLOOKUP('Données projet'!$B$15,Paramètres!$A$1:$I$89,3,0)*0.475*44/12</f>
        <v>5.5152207305535171E-18</v>
      </c>
      <c r="EY137" s="22">
        <f t="shared" si="129"/>
        <v>22.818501006265336</v>
      </c>
      <c r="EZ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367.99999999999972</v>
      </c>
      <c r="FF137" s="17">
        <f>FE137*VLOOKUP('Données projet'!$B$16,Paramètres!$A$1:$I$89,3,0)*VLOOKUP('Données projet'!$B$16,Paramètres!$A$1:$I$89,5,0)</f>
        <v>292.78079999999977</v>
      </c>
      <c r="FG137" s="13">
        <f t="shared" si="155"/>
        <v>69.660903052386217</v>
      </c>
      <c r="FH137" s="20">
        <f t="shared" si="130"/>
        <v>631.25263281623893</v>
      </c>
      <c r="FI137" s="59">
        <f t="shared" si="131"/>
        <v>924.58596614957219</v>
      </c>
      <c r="FJ137" s="59">
        <f ca="1">AVERAGE(OFFSET($FI$3,0,0,'Données projet'!$E$16+1,1))-AVERAGE(OFFSET($H$3,0,0,'Données projet'!$E$16+1,1))</f>
        <v>331.52724290297675</v>
      </c>
      <c r="FK137" s="59">
        <f t="shared" si="156"/>
        <v>322.79102610158054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21.152652666418323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21.152652666418323</v>
      </c>
      <c r="FU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852.00000000000011</v>
      </c>
      <c r="GA137" s="17">
        <f>FZ137*VLOOKUP('Données projet'!$B$17,Paramètres!$A$1:$I$89,3,0)*VLOOKUP('Données projet'!$B$17,Paramètres!$A$1:$I$89,5,0)</f>
        <v>420.88800000000009</v>
      </c>
      <c r="GB137" s="13">
        <f t="shared" si="157"/>
        <v>95.998759891259041</v>
      </c>
      <c r="GC137" s="20">
        <f t="shared" si="133"/>
        <v>900.24444014394294</v>
      </c>
      <c r="GD137" s="59">
        <f t="shared" si="134"/>
        <v>1193.5777734772762</v>
      </c>
      <c r="GE137" s="59">
        <f ca="1">AVERAGE(OFFSET($GD$3,0,0,'Données projet'!$E$17+1,1))-AVERAGE(OFFSET($H$3,0,0,'Données projet'!$E$17+1,1))</f>
        <v>434.08297999735811</v>
      </c>
      <c r="GF137" s="59">
        <f t="shared" si="158"/>
        <v>371.04090283546122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54.5751273389224</v>
      </c>
      <c r="GM137" s="21">
        <f>EXP(-LN(2)/25)*GM136+(1-EXP(-LN(2)/25))/(LN(2)/25)*Calculateur!GH137*Calculateur!GJ137*VLOOKUP('Données projet'!$B$17,Paramètres!$A$1:$I$89,3,0)*0.475*44/12</f>
        <v>2.8925443874807608</v>
      </c>
      <c r="GN137" s="21">
        <f>EXP(-LN(2)/2)*GN136+(1-EXP(-LN(2)/2))/(LN(2)/2)*GH137*GK137*VLOOKUP('Données projet'!$B$17,Paramètres!$A$1:$I$89,3,0)*0.475*44/12</f>
        <v>1.6688649395786009E-16</v>
      </c>
      <c r="GO137" s="21">
        <f t="shared" si="135"/>
        <v>57.467671726403161</v>
      </c>
      <c r="GP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614.99999999999989</v>
      </c>
      <c r="GV137" s="17">
        <f>GU137*VLOOKUP('Données projet'!$B$18,Paramètres!$A$1:$I$89,3,0)*VLOOKUP('Données projet'!$B$18,Paramètres!$A$1:$I$89,5,0)</f>
        <v>351.78</v>
      </c>
      <c r="GW137" s="13">
        <f t="shared" si="159"/>
        <v>81.92892344316067</v>
      </c>
      <c r="GX137" s="20">
        <f t="shared" si="136"/>
        <v>755.37637499683808</v>
      </c>
      <c r="GY137" s="59">
        <f t="shared" si="137"/>
        <v>1048.7097083301715</v>
      </c>
      <c r="GZ137" s="59">
        <f ca="1">AVERAGE(OFFSET($GY$3,0,0,'Données projet'!$E$18+1,1))-AVERAGE(OFFSET($H$3,0,0,'Données projet'!$E$18+1,1))</f>
        <v>362.57172983134313</v>
      </c>
      <c r="HA137" s="59">
        <f t="shared" si="160"/>
        <v>232.03250917542471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44.354863294859044</v>
      </c>
      <c r="HH137" s="21">
        <f>EXP(-LN(2)/25)*HH136+(1-EXP(-LN(2)/25))/(LN(2)/25)*Calculateur!HC137*Calculateur!HE137*VLOOKUP('Données projet'!$B$18,Paramètres!$A$1:$I$89,3,0)*0.475*44/12</f>
        <v>1.7438305876678277</v>
      </c>
      <c r="HI137" s="21">
        <f>EXP(-LN(2)/2)*HI136+(1-EXP(-LN(2)/2))/(LN(2)/2)*HC137*HF137*VLOOKUP('Données projet'!$B$18,Paramètres!$A$1:$I$89,3,0)*0.475*44/12</f>
        <v>1.6627369165446522E-16</v>
      </c>
      <c r="HJ137" s="22">
        <f t="shared" si="138"/>
        <v>46.098693882526874</v>
      </c>
    </row>
    <row r="138" spans="1:218" x14ac:dyDescent="0.3">
      <c r="A138" s="10">
        <f t="shared" si="139"/>
        <v>135</v>
      </c>
      <c r="B138" s="71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5">
        <f t="shared" si="110"/>
        <v>438.49288008369155</v>
      </c>
      <c r="I138" s="6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266.99999999999983</v>
      </c>
      <c r="O138" s="13">
        <f>N138*VLOOKUP('Données projet'!$B$9,Paramètres!$A$1:$I$89,3,0)*VLOOKUP('Données projet'!$B$9,Paramètres!$A$1:$I$89,5,0)</f>
        <v>212.42519999999985</v>
      </c>
      <c r="P138" s="13">
        <f t="shared" si="141"/>
        <v>52.465198231787184</v>
      </c>
      <c r="Q138" s="20">
        <f t="shared" si="108"/>
        <v>461.35077692036231</v>
      </c>
      <c r="R138" s="59">
        <f t="shared" si="109"/>
        <v>754.68411025369562</v>
      </c>
      <c r="S138" s="59">
        <f ca="1">AVERAGE(OFFSET($R$3,0,0,'Données projet'!$E$9+1,1))-AVERAGE(OFFSET($H$3,0,0,'Données projet'!$E$9+1,1))</f>
        <v>225.2323446080772</v>
      </c>
      <c r="T138" s="59">
        <f t="shared" si="142"/>
        <v>222.29030402759292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14.598567847487208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14.598567847487208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732.99999999999966</v>
      </c>
      <c r="AJ138" s="13">
        <f>AI138*VLOOKUP('Données projet'!$B$10,Paramètres!$A$1:$I$89,3,0)*VLOOKUP('Données projet'!$B$10,Paramètres!$A$1:$I$89,5,0)</f>
        <v>362.1019999999998</v>
      </c>
      <c r="AK138" s="13">
        <f t="shared" si="143"/>
        <v>84.049487364732272</v>
      </c>
      <c r="AL138" s="20">
        <f t="shared" si="112"/>
        <v>777.04717382690842</v>
      </c>
      <c r="AM138" s="59">
        <f t="shared" si="113"/>
        <v>1070.3805071602417</v>
      </c>
      <c r="AN138" s="59">
        <f ca="1">AVERAGE(OFFSET($AM$3,0,0,'Données projet'!$E$10+1,1))-AVERAGE(OFFSET($H$3,0,0,'Données projet'!$E$10+1,1))</f>
        <v>360.05819346986135</v>
      </c>
      <c r="AO138" s="59">
        <f t="shared" si="144"/>
        <v>300.47468388351081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43.717518622495284</v>
      </c>
      <c r="AV138" s="21">
        <f>EXP(-LN(2)/25)*AV137+(1-EXP(-LN(2)/25))/(LN(2)/25)*Calculateur!AQ138*Calculateur!AS138*VLOOKUP('Données projet'!$B$10,Paramètres!$A$1:$I$89,3,0)*0.475*44/12</f>
        <v>2.301911680166834</v>
      </c>
      <c r="AW138" s="21">
        <f>EXP(-LN(2)/2)*AW137+(1-EXP(-LN(2)/2))/(LN(2)/2)*AQ138*AT138*VLOOKUP('Données projet'!$B$10,Paramètres!$A$1:$I$89,3,0)*0.475*44/12</f>
        <v>8.2330166208872542E-18</v>
      </c>
      <c r="AX138" s="21">
        <f t="shared" si="114"/>
        <v>46.019430302662116</v>
      </c>
      <c r="AY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465.00000000000006</v>
      </c>
      <c r="BE138" s="13">
        <f>BD138*VLOOKUP('Données projet'!$B$11,Paramètres!$A$1:$I$89,3,0)*VLOOKUP('Données projet'!$B$11,Paramètres!$A$1:$I$89,5,0)</f>
        <v>265.98</v>
      </c>
      <c r="BF138" s="13">
        <f t="shared" si="145"/>
        <v>63.995380422211589</v>
      </c>
      <c r="BG138" s="20">
        <f t="shared" si="115"/>
        <v>574.70712090201857</v>
      </c>
      <c r="BH138" s="59">
        <f t="shared" si="116"/>
        <v>868.04045423535194</v>
      </c>
      <c r="BI138" s="59">
        <f ca="1">AVERAGE(OFFSET($BH$3,0,0,'Données projet'!$E$11+1,1))-AVERAGE(OFFSET($H$3,0,0,'Données projet'!$E$11+1,1))</f>
        <v>250.90038883668348</v>
      </c>
      <c r="BJ138" s="59">
        <f t="shared" si="146"/>
        <v>141.96132114475608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33.482587854151689</v>
      </c>
      <c r="BQ138" s="21">
        <f>EXP(-LN(2)/25)*BQ137+(1-EXP(-LN(2)/25))/(LN(2)/25)*Calculateur!BL138*Calculateur!BN138*VLOOKUP('Données projet'!$B$11,Paramètres!$A$1:$I$89,3,0)*0.475*44/12</f>
        <v>0.64768763112762051</v>
      </c>
      <c r="BR138" s="21">
        <f>EXP(-LN(2)/2)*BR137+(1-EXP(-LN(2)/2))/(LN(2)/2)*BL138*BO138*VLOOKUP('Données projet'!$B$11,Paramètres!$A$1:$I$89,3,0)*0.475*44/12</f>
        <v>5.9319262968620287E-16</v>
      </c>
      <c r="BS138" s="22">
        <f t="shared" si="117"/>
        <v>34.130275485279306</v>
      </c>
      <c r="BT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319</v>
      </c>
      <c r="BZ138" s="13">
        <f>BY138*VLOOKUP('Données projet'!$B$12,Paramètres!$A$1:$I$89,3,0)*VLOOKUP('Données projet'!$B$12,Paramètres!$A$1:$I$89,5,0)</f>
        <v>253.79640000000001</v>
      </c>
      <c r="CA138" s="13">
        <f t="shared" si="147"/>
        <v>61.39816832228076</v>
      </c>
      <c r="CB138" s="20">
        <f t="shared" si="118"/>
        <v>548.96387316130563</v>
      </c>
      <c r="CC138" s="59">
        <f t="shared" si="119"/>
        <v>842.29720649463889</v>
      </c>
      <c r="CD138" s="59">
        <f ca="1">AVERAGE(OFFSET($CC$3,0,0,'Données projet'!$E$12+1,1))-AVERAGE(OFFSET($H$3,0,0,'Données projet'!$E$12+1,1))</f>
        <v>279.49721661620544</v>
      </c>
      <c r="CE138" s="59">
        <f t="shared" si="148"/>
        <v>275.18739333988754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17.889785322020366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17.889785322020366</v>
      </c>
      <c r="CO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789</v>
      </c>
      <c r="CU138" s="17">
        <f>CT138*VLOOKUP('Données projet'!$B$13,Paramètres!$A$1:$I$89,3,0)*VLOOKUP('Données projet'!$B$13,Paramètres!$A$1:$I$89,5,0)</f>
        <v>389.76600000000002</v>
      </c>
      <c r="CV138" s="13">
        <f t="shared" si="149"/>
        <v>89.698759503620408</v>
      </c>
      <c r="CW138" s="20">
        <f t="shared" si="121"/>
        <v>835.06778946880547</v>
      </c>
      <c r="CX138" s="59">
        <f t="shared" si="122"/>
        <v>1128.4011228021388</v>
      </c>
      <c r="CY138" s="59">
        <f ca="1">AVERAGE(OFFSET($CX$3,0,0,'Données projet'!$E$13+1,1))-AVERAGE(OFFSET($H$3,0,0,'Données projet'!$E$13+1,1))</f>
        <v>396.27049617044378</v>
      </c>
      <c r="CZ138" s="59">
        <f t="shared" si="150"/>
        <v>335.2680289568774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48.49567229517762</v>
      </c>
      <c r="DG138" s="21">
        <f>EXP(-LN(2)/25)*DG137+(1-EXP(-LN(2)/25))/(LN(2)/25)*Calculateur!DB138*Calculateur!DD138*VLOOKUP('Données projet'!$B$13,Paramètres!$A$1:$I$89,3,0)*0.475*44/12</f>
        <v>2.5576796446298178</v>
      </c>
      <c r="DH138" s="21">
        <f>EXP(-LN(2)/2)*DH137+(1-EXP(-LN(2)/2))/(LN(2)/2)*DB138*DE138*VLOOKUP('Données projet'!$B$13,Paramètres!$A$1:$I$89,3,0)*0.475*44/12</f>
        <v>6.0375455219839904E-17</v>
      </c>
      <c r="DI138" s="22">
        <f t="shared" si="123"/>
        <v>51.053351939807435</v>
      </c>
      <c r="DJ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541.99999999999989</v>
      </c>
      <c r="DP138" s="17">
        <f>DO138*VLOOKUP('Données projet'!$B$14,Paramètres!$A$1:$I$89,3,0)*VLOOKUP('Données projet'!$B$14,Paramètres!$A$1:$I$89,5,0)</f>
        <v>310.02399999999994</v>
      </c>
      <c r="DQ138" s="13">
        <f t="shared" si="151"/>
        <v>73.27384230442388</v>
      </c>
      <c r="DR138" s="20">
        <f t="shared" si="124"/>
        <v>667.57707534687154</v>
      </c>
      <c r="DS138" s="59">
        <f t="shared" si="125"/>
        <v>960.91040868020491</v>
      </c>
      <c r="DT138" s="59">
        <f ca="1">AVERAGE(OFFSET($DS$3,0,0,'Données projet'!$E$14+1,1))-AVERAGE(OFFSET($H$3,0,0,'Données projet'!$E$14+1,1))</f>
        <v>307.43900954374504</v>
      </c>
      <c r="DU138" s="59">
        <f t="shared" si="152"/>
        <v>185.25270859048999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38.561042236147919</v>
      </c>
      <c r="EB138" s="21">
        <f>EXP(-LN(2)/25)*EB137+(1-EXP(-LN(2)/25))/(LN(2)/25)*Calculateur!DW138*Calculateur!DY138*VLOOKUP('Données projet'!$B$14,Paramètres!$A$1:$I$89,3,0)*0.475*44/12</f>
        <v>1.4538389558948432</v>
      </c>
      <c r="EC138" s="21">
        <f>EXP(-LN(2)/2)*EC137+(1-EXP(-LN(2)/2))/(LN(2)/2)*DW138*DZ138*VLOOKUP('Données projet'!$B$14,Paramètres!$A$1:$I$89,3,0)*0.475*44/12</f>
        <v>5.7197799681953568E-17</v>
      </c>
      <c r="ED138" s="22">
        <f t="shared" si="126"/>
        <v>40.014881192042765</v>
      </c>
      <c r="EE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401</v>
      </c>
      <c r="EK138" s="17">
        <f>EJ138*VLOOKUP('Données projet'!$B$15,Paramètres!$A$1:$I$89,3,0)*VLOOKUP('Données projet'!$B$15,Paramètres!$A$1:$I$89,5,0)</f>
        <v>250.22399999999999</v>
      </c>
      <c r="EL138" s="13">
        <f t="shared" si="153"/>
        <v>60.633904580527918</v>
      </c>
      <c r="EM138" s="20">
        <f t="shared" si="127"/>
        <v>541.41085047775289</v>
      </c>
      <c r="EN138" s="59">
        <f t="shared" si="128"/>
        <v>834.74418381108626</v>
      </c>
      <c r="EO138" s="59">
        <f ca="1">AVERAGE(OFFSET($EN$3,0,0,'Données projet'!$E$15+1,1))-AVERAGE(OFFSET($H$3,0,0,'Données projet'!$E$15+1,1))</f>
        <v>269.77739619445515</v>
      </c>
      <c r="EP138" s="59">
        <f t="shared" si="154"/>
        <v>347.56964743629885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17.339706355558008</v>
      </c>
      <c r="EW138" s="21">
        <f>EXP(-LN(2)/25)*EW137+(1-EXP(-LN(2)/25))/(LN(2)/25)*Calculateur!ER138*Calculateur!ET138*VLOOKUP('Données projet'!$B$15,Paramètres!$A$1:$I$89,3,0)*0.475*44/12</f>
        <v>4.991638555622659</v>
      </c>
      <c r="EX138" s="21">
        <f>EXP(-LN(2)/2)*EX137+(1-EXP(-LN(2)/2))/(LN(2)/2)*ER138*EU138*VLOOKUP('Données projet'!$B$15,Paramètres!$A$1:$I$89,3,0)*0.475*44/12</f>
        <v>3.8998499783150165E-18</v>
      </c>
      <c r="EY138" s="22">
        <f t="shared" si="129"/>
        <v>22.331344911180665</v>
      </c>
      <c r="EZ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367.99999999999972</v>
      </c>
      <c r="FF138" s="17">
        <f>FE138*VLOOKUP('Données projet'!$B$16,Paramètres!$A$1:$I$89,3,0)*VLOOKUP('Données projet'!$B$16,Paramètres!$A$1:$I$89,5,0)</f>
        <v>292.78079999999977</v>
      </c>
      <c r="FG138" s="13">
        <f t="shared" si="155"/>
        <v>69.660903052386217</v>
      </c>
      <c r="FH138" s="20">
        <f t="shared" si="130"/>
        <v>631.25263281623893</v>
      </c>
      <c r="FI138" s="59">
        <f t="shared" si="131"/>
        <v>924.58596614957219</v>
      </c>
      <c r="FJ138" s="59">
        <f ca="1">AVERAGE(OFFSET($FI$3,0,0,'Données projet'!$E$16+1,1))-AVERAGE(OFFSET($H$3,0,0,'Données projet'!$E$16+1,1))</f>
        <v>331.52724290297675</v>
      </c>
      <c r="FK138" s="59">
        <f t="shared" si="156"/>
        <v>322.79102610158054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20.737862049474035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20.737862049474035</v>
      </c>
      <c r="FU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852.00000000000011</v>
      </c>
      <c r="GA138" s="17">
        <f>FZ138*VLOOKUP('Données projet'!$B$17,Paramètres!$A$1:$I$89,3,0)*VLOOKUP('Données projet'!$B$17,Paramètres!$A$1:$I$89,5,0)</f>
        <v>420.88800000000009</v>
      </c>
      <c r="GB138" s="13">
        <f t="shared" si="157"/>
        <v>95.998759891259041</v>
      </c>
      <c r="GC138" s="20">
        <f t="shared" si="133"/>
        <v>900.24444014394294</v>
      </c>
      <c r="GD138" s="59">
        <f t="shared" si="134"/>
        <v>1193.5777734772762</v>
      </c>
      <c r="GE138" s="59">
        <f ca="1">AVERAGE(OFFSET($GD$3,0,0,'Données projet'!$E$17+1,1))-AVERAGE(OFFSET($H$3,0,0,'Données projet'!$E$17+1,1))</f>
        <v>434.08297999735811</v>
      </c>
      <c r="GF138" s="59">
        <f t="shared" si="158"/>
        <v>371.04090283546122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53.504942379346936</v>
      </c>
      <c r="GM138" s="21">
        <f>EXP(-LN(2)/25)*GM137+(1-EXP(-LN(2)/25))/(LN(2)/25)*Calculateur!GH138*Calculateur!GJ138*VLOOKUP('Données projet'!$B$17,Paramètres!$A$1:$I$89,3,0)*0.475*44/12</f>
        <v>2.8134476090928011</v>
      </c>
      <c r="GN138" s="21">
        <f>EXP(-LN(2)/2)*GN137+(1-EXP(-LN(2)/2))/(LN(2)/2)*GH138*GK138*VLOOKUP('Données projet'!$B$17,Paramètres!$A$1:$I$89,3,0)*0.475*44/12</f>
        <v>1.1800657156605066E-16</v>
      </c>
      <c r="GO138" s="21">
        <f t="shared" si="135"/>
        <v>56.318389988439733</v>
      </c>
      <c r="GP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614.99999999999989</v>
      </c>
      <c r="GV138" s="17">
        <f>GU138*VLOOKUP('Données projet'!$B$18,Paramètres!$A$1:$I$89,3,0)*VLOOKUP('Données projet'!$B$18,Paramètres!$A$1:$I$89,5,0)</f>
        <v>351.78</v>
      </c>
      <c r="GW138" s="13">
        <f t="shared" si="159"/>
        <v>81.92892344316067</v>
      </c>
      <c r="GX138" s="20">
        <f t="shared" si="136"/>
        <v>755.37637499683808</v>
      </c>
      <c r="GY138" s="59">
        <f t="shared" si="137"/>
        <v>1048.7097083301715</v>
      </c>
      <c r="GZ138" s="59">
        <f ca="1">AVERAGE(OFFSET($GY$3,0,0,'Données projet'!$E$18+1,1))-AVERAGE(OFFSET($H$3,0,0,'Données projet'!$E$18+1,1))</f>
        <v>362.57172983134313</v>
      </c>
      <c r="HA138" s="59">
        <f t="shared" si="160"/>
        <v>232.03250917542471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43.485091479442126</v>
      </c>
      <c r="HH138" s="21">
        <f>EXP(-LN(2)/25)*HH137+(1-EXP(-LN(2)/25))/(LN(2)/25)*Calculateur!HC138*Calculateur!HE138*VLOOKUP('Données projet'!$B$18,Paramètres!$A$1:$I$89,3,0)*0.475*44/12</f>
        <v>1.696145448543986</v>
      </c>
      <c r="HI138" s="21">
        <f>EXP(-LN(2)/2)*HI137+(1-EXP(-LN(2)/2))/(LN(2)/2)*HC138*HF138*VLOOKUP('Données projet'!$B$18,Paramètres!$A$1:$I$89,3,0)*0.475*44/12</f>
        <v>1.1757325490179341E-16</v>
      </c>
      <c r="HJ138" s="22">
        <f t="shared" si="138"/>
        <v>45.181236927986113</v>
      </c>
    </row>
    <row r="139" spans="1:218" x14ac:dyDescent="0.3">
      <c r="A139" s="10">
        <f t="shared" si="139"/>
        <v>136</v>
      </c>
      <c r="B139" s="71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5">
        <f t="shared" si="110"/>
        <v>439.54039910075409</v>
      </c>
      <c r="I139" s="6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266.99999999999983</v>
      </c>
      <c r="O139" s="13">
        <f>N139*VLOOKUP('Données projet'!$B$9,Paramètres!$A$1:$I$89,3,0)*VLOOKUP('Données projet'!$B$9,Paramètres!$A$1:$I$89,5,0)</f>
        <v>212.42519999999985</v>
      </c>
      <c r="P139" s="13">
        <f t="shared" si="141"/>
        <v>52.465198231787184</v>
      </c>
      <c r="Q139" s="20">
        <f t="shared" si="108"/>
        <v>461.35077692036231</v>
      </c>
      <c r="R139" s="59">
        <f t="shared" si="109"/>
        <v>754.68411025369562</v>
      </c>
      <c r="S139" s="59">
        <f ca="1">AVERAGE(OFFSET($R$3,0,0,'Données projet'!$E$9+1,1))-AVERAGE(OFFSET($H$3,0,0,'Données projet'!$E$9+1,1))</f>
        <v>225.2323446080772</v>
      </c>
      <c r="T139" s="59">
        <f t="shared" si="142"/>
        <v>222.29030402759292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14.31229883624515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14.31229883624515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732.99999999999966</v>
      </c>
      <c r="AJ139" s="13">
        <f>AI139*VLOOKUP('Données projet'!$B$10,Paramètres!$A$1:$I$89,3,0)*VLOOKUP('Données projet'!$B$10,Paramètres!$A$1:$I$89,5,0)</f>
        <v>362.1019999999998</v>
      </c>
      <c r="AK139" s="13">
        <f t="shared" si="143"/>
        <v>84.049487364732272</v>
      </c>
      <c r="AL139" s="20">
        <f t="shared" si="112"/>
        <v>777.04717382690842</v>
      </c>
      <c r="AM139" s="59">
        <f t="shared" si="113"/>
        <v>1070.3805071602417</v>
      </c>
      <c r="AN139" s="59">
        <f ca="1">AVERAGE(OFFSET($AM$3,0,0,'Données projet'!$E$10+1,1))-AVERAGE(OFFSET($H$3,0,0,'Données projet'!$E$10+1,1))</f>
        <v>360.05819346986135</v>
      </c>
      <c r="AO139" s="59">
        <f t="shared" si="144"/>
        <v>300.47468388351081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42.860244747361556</v>
      </c>
      <c r="AV139" s="21">
        <f>EXP(-LN(2)/25)*AV138+(1-EXP(-LN(2)/25))/(LN(2)/25)*Calculateur!AQ139*Calculateur!AS139*VLOOKUP('Données projet'!$B$10,Paramètres!$A$1:$I$89,3,0)*0.475*44/12</f>
        <v>2.2389657842203978</v>
      </c>
      <c r="AW139" s="21">
        <f>EXP(-LN(2)/2)*AW138+(1-EXP(-LN(2)/2))/(LN(2)/2)*AQ139*AT139*VLOOKUP('Données projet'!$B$10,Paramètres!$A$1:$I$89,3,0)*0.475*44/12</f>
        <v>5.8216218822509327E-18</v>
      </c>
      <c r="AX139" s="21">
        <f t="shared" si="114"/>
        <v>45.099210531581953</v>
      </c>
      <c r="AY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465.00000000000006</v>
      </c>
      <c r="BE139" s="13">
        <f>BD139*VLOOKUP('Données projet'!$B$11,Paramètres!$A$1:$I$89,3,0)*VLOOKUP('Données projet'!$B$11,Paramètres!$A$1:$I$89,5,0)</f>
        <v>265.98</v>
      </c>
      <c r="BF139" s="13">
        <f t="shared" si="145"/>
        <v>63.995380422211589</v>
      </c>
      <c r="BG139" s="20">
        <f t="shared" si="115"/>
        <v>574.70712090201857</v>
      </c>
      <c r="BH139" s="59">
        <f t="shared" si="116"/>
        <v>868.04045423535194</v>
      </c>
      <c r="BI139" s="59">
        <f ca="1">AVERAGE(OFFSET($BH$3,0,0,'Données projet'!$E$11+1,1))-AVERAGE(OFFSET($H$3,0,0,'Données projet'!$E$11+1,1))</f>
        <v>250.90038883668348</v>
      </c>
      <c r="BJ139" s="59">
        <f t="shared" si="146"/>
        <v>141.96132114475608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32.826014728693828</v>
      </c>
      <c r="BQ139" s="21">
        <f>EXP(-LN(2)/25)*BQ138+(1-EXP(-LN(2)/25))/(LN(2)/25)*Calculateur!BL139*Calculateur!BN139*VLOOKUP('Données projet'!$B$11,Paramètres!$A$1:$I$89,3,0)*0.475*44/12</f>
        <v>0.62997657879402347</v>
      </c>
      <c r="BR139" s="21">
        <f>EXP(-LN(2)/2)*BR138+(1-EXP(-LN(2)/2))/(LN(2)/2)*BL139*BO139*VLOOKUP('Données projet'!$B$11,Paramètres!$A$1:$I$89,3,0)*0.475*44/12</f>
        <v>4.1945053100099457E-16</v>
      </c>
      <c r="BS139" s="22">
        <f t="shared" si="117"/>
        <v>33.455991307487849</v>
      </c>
      <c r="BT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319</v>
      </c>
      <c r="BZ139" s="13">
        <f>BY139*VLOOKUP('Données projet'!$B$12,Paramètres!$A$1:$I$89,3,0)*VLOOKUP('Données projet'!$B$12,Paramètres!$A$1:$I$89,5,0)</f>
        <v>253.79640000000001</v>
      </c>
      <c r="CA139" s="13">
        <f t="shared" si="147"/>
        <v>61.39816832228076</v>
      </c>
      <c r="CB139" s="20">
        <f t="shared" si="118"/>
        <v>548.96387316130563</v>
      </c>
      <c r="CC139" s="59">
        <f t="shared" si="119"/>
        <v>842.29720649463889</v>
      </c>
      <c r="CD139" s="59">
        <f ca="1">AVERAGE(OFFSET($CC$3,0,0,'Données projet'!$E$12+1,1))-AVERAGE(OFFSET($H$3,0,0,'Données projet'!$E$12+1,1))</f>
        <v>279.49721661620544</v>
      </c>
      <c r="CE139" s="59">
        <f t="shared" si="148"/>
        <v>275.18739333988754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17.538977543547151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17.538977543547151</v>
      </c>
      <c r="CO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789</v>
      </c>
      <c r="CU139" s="17">
        <f>CT139*VLOOKUP('Données projet'!$B$13,Paramètres!$A$1:$I$89,3,0)*VLOOKUP('Données projet'!$B$13,Paramètres!$A$1:$I$89,5,0)</f>
        <v>389.76600000000002</v>
      </c>
      <c r="CV139" s="13">
        <f t="shared" si="149"/>
        <v>89.698759503620408</v>
      </c>
      <c r="CW139" s="20">
        <f t="shared" si="121"/>
        <v>835.06778946880547</v>
      </c>
      <c r="CX139" s="59">
        <f t="shared" si="122"/>
        <v>1128.4011228021388</v>
      </c>
      <c r="CY139" s="59">
        <f ca="1">AVERAGE(OFFSET($CX$3,0,0,'Données projet'!$E$13+1,1))-AVERAGE(OFFSET($H$3,0,0,'Données projet'!$E$13+1,1))</f>
        <v>396.27049617044378</v>
      </c>
      <c r="CZ139" s="59">
        <f t="shared" si="150"/>
        <v>335.2680289568774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47.544701740908557</v>
      </c>
      <c r="DG139" s="21">
        <f>EXP(-LN(2)/25)*DG138+(1-EXP(-LN(2)/25))/(LN(2)/25)*Calculateur!DB139*Calculateur!DD139*VLOOKUP('Données projet'!$B$13,Paramètres!$A$1:$I$89,3,0)*0.475*44/12</f>
        <v>2.4877397602448887</v>
      </c>
      <c r="DH139" s="21">
        <f>EXP(-LN(2)/2)*DH138+(1-EXP(-LN(2)/2))/(LN(2)/2)*DB139*DE139*VLOOKUP('Données projet'!$B$13,Paramètres!$A$1:$I$89,3,0)*0.475*44/12</f>
        <v>4.2691893803173534E-17</v>
      </c>
      <c r="DI139" s="22">
        <f t="shared" si="123"/>
        <v>50.032441501153443</v>
      </c>
      <c r="DJ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541.99999999999989</v>
      </c>
      <c r="DP139" s="17">
        <f>DO139*VLOOKUP('Données projet'!$B$14,Paramètres!$A$1:$I$89,3,0)*VLOOKUP('Données projet'!$B$14,Paramètres!$A$1:$I$89,5,0)</f>
        <v>310.02399999999994</v>
      </c>
      <c r="DQ139" s="13">
        <f t="shared" si="151"/>
        <v>73.27384230442388</v>
      </c>
      <c r="DR139" s="20">
        <f t="shared" si="124"/>
        <v>667.57707534687154</v>
      </c>
      <c r="DS139" s="59">
        <f t="shared" si="125"/>
        <v>960.91040868020491</v>
      </c>
      <c r="DT139" s="59">
        <f ca="1">AVERAGE(OFFSET($DS$3,0,0,'Données projet'!$E$14+1,1))-AVERAGE(OFFSET($H$3,0,0,'Données projet'!$E$14+1,1))</f>
        <v>307.43900954374504</v>
      </c>
      <c r="DU139" s="59">
        <f t="shared" si="152"/>
        <v>185.25270859048999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37.804883717810426</v>
      </c>
      <c r="EB139" s="21">
        <f>EXP(-LN(2)/25)*EB138+(1-EXP(-LN(2)/25))/(LN(2)/25)*Calculateur!DW139*Calculateur!DY139*VLOOKUP('Données projet'!$B$14,Paramètres!$A$1:$I$89,3,0)*0.475*44/12</f>
        <v>1.4140836531918308</v>
      </c>
      <c r="EC139" s="21">
        <f>EXP(-LN(2)/2)*EC138+(1-EXP(-LN(2)/2))/(LN(2)/2)*DW139*DZ139*VLOOKUP('Données projet'!$B$14,Paramètres!$A$1:$I$89,3,0)*0.475*44/12</f>
        <v>4.0444952024059119E-17</v>
      </c>
      <c r="ED139" s="22">
        <f t="shared" si="126"/>
        <v>39.218967371002257</v>
      </c>
      <c r="EE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401</v>
      </c>
      <c r="EK139" s="17">
        <f>EJ139*VLOOKUP('Données projet'!$B$15,Paramètres!$A$1:$I$89,3,0)*VLOOKUP('Données projet'!$B$15,Paramètres!$A$1:$I$89,5,0)</f>
        <v>250.22399999999999</v>
      </c>
      <c r="EL139" s="13">
        <f t="shared" si="153"/>
        <v>60.633904580527918</v>
      </c>
      <c r="EM139" s="20">
        <f t="shared" si="127"/>
        <v>541.41085047775289</v>
      </c>
      <c r="EN139" s="59">
        <f t="shared" si="128"/>
        <v>834.74418381108626</v>
      </c>
      <c r="EO139" s="59">
        <f ca="1">AVERAGE(OFFSET($EN$3,0,0,'Données projet'!$E$15+1,1))-AVERAGE(OFFSET($H$3,0,0,'Données projet'!$E$15+1,1))</f>
        <v>269.77739619445515</v>
      </c>
      <c r="EP139" s="59">
        <f t="shared" si="154"/>
        <v>347.56964743629885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16.999685290102082</v>
      </c>
      <c r="EW139" s="21">
        <f>EXP(-LN(2)/25)*EW138+(1-EXP(-LN(2)/25))/(LN(2)/25)*Calculateur!ER139*Calculateur!ET139*VLOOKUP('Données projet'!$B$15,Paramètres!$A$1:$I$89,3,0)*0.475*44/12</f>
        <v>4.8551419368202939</v>
      </c>
      <c r="EX139" s="21">
        <f>EXP(-LN(2)/2)*EX138+(1-EXP(-LN(2)/2))/(LN(2)/2)*ER139*EU139*VLOOKUP('Données projet'!$B$15,Paramètres!$A$1:$I$89,3,0)*0.475*44/12</f>
        <v>2.7576103652767586E-18</v>
      </c>
      <c r="EY139" s="22">
        <f t="shared" si="129"/>
        <v>21.854827226922374</v>
      </c>
      <c r="EZ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367.99999999999972</v>
      </c>
      <c r="FF139" s="17">
        <f>FE139*VLOOKUP('Données projet'!$B$16,Paramètres!$A$1:$I$89,3,0)*VLOOKUP('Données projet'!$B$16,Paramètres!$A$1:$I$89,5,0)</f>
        <v>292.78079999999977</v>
      </c>
      <c r="FG139" s="13">
        <f t="shared" si="155"/>
        <v>69.660903052386217</v>
      </c>
      <c r="FH139" s="20">
        <f t="shared" si="130"/>
        <v>631.25263281623893</v>
      </c>
      <c r="FI139" s="59">
        <f t="shared" si="131"/>
        <v>924.58596614957219</v>
      </c>
      <c r="FJ139" s="59">
        <f ca="1">AVERAGE(OFFSET($FI$3,0,0,'Données projet'!$E$16+1,1))-AVERAGE(OFFSET($H$3,0,0,'Données projet'!$E$16+1,1))</f>
        <v>331.52724290297675</v>
      </c>
      <c r="FK139" s="59">
        <f t="shared" si="156"/>
        <v>322.79102610158054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20.331205223530731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20.331205223530731</v>
      </c>
      <c r="FU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852.00000000000011</v>
      </c>
      <c r="GA139" s="17">
        <f>FZ139*VLOOKUP('Données projet'!$B$17,Paramètres!$A$1:$I$89,3,0)*VLOOKUP('Données projet'!$B$17,Paramètres!$A$1:$I$89,5,0)</f>
        <v>420.88800000000009</v>
      </c>
      <c r="GB139" s="13">
        <f t="shared" si="157"/>
        <v>95.998759891259041</v>
      </c>
      <c r="GC139" s="20">
        <f t="shared" si="133"/>
        <v>900.24444014394294</v>
      </c>
      <c r="GD139" s="59">
        <f t="shared" si="134"/>
        <v>1193.5777734772762</v>
      </c>
      <c r="GE139" s="59">
        <f ca="1">AVERAGE(OFFSET($GD$3,0,0,'Données projet'!$E$17+1,1))-AVERAGE(OFFSET($H$3,0,0,'Données projet'!$E$17+1,1))</f>
        <v>434.08297999735811</v>
      </c>
      <c r="GF139" s="59">
        <f t="shared" si="158"/>
        <v>371.04090283546122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52.455743094080375</v>
      </c>
      <c r="GM139" s="21">
        <f>EXP(-LN(2)/25)*GM138+(1-EXP(-LN(2)/25))/(LN(2)/25)*Calculateur!GH139*Calculateur!GJ139*VLOOKUP('Données projet'!$B$17,Paramètres!$A$1:$I$89,3,0)*0.475*44/12</f>
        <v>2.7365137362693788</v>
      </c>
      <c r="GN139" s="21">
        <f>EXP(-LN(2)/2)*GN138+(1-EXP(-LN(2)/2))/(LN(2)/2)*GH139*GK139*VLOOKUP('Données projet'!$B$17,Paramètres!$A$1:$I$89,3,0)*0.475*44/12</f>
        <v>8.3443246978930046E-17</v>
      </c>
      <c r="GO139" s="21">
        <f t="shared" si="135"/>
        <v>55.192256830349756</v>
      </c>
      <c r="GP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614.99999999999989</v>
      </c>
      <c r="GV139" s="17">
        <f>GU139*VLOOKUP('Données projet'!$B$18,Paramètres!$A$1:$I$89,3,0)*VLOOKUP('Données projet'!$B$18,Paramètres!$A$1:$I$89,5,0)</f>
        <v>351.78</v>
      </c>
      <c r="GW139" s="13">
        <f t="shared" si="159"/>
        <v>81.92892344316067</v>
      </c>
      <c r="GX139" s="20">
        <f t="shared" si="136"/>
        <v>755.37637499683808</v>
      </c>
      <c r="GY139" s="59">
        <f t="shared" si="137"/>
        <v>1048.7097083301715</v>
      </c>
      <c r="GZ139" s="59">
        <f ca="1">AVERAGE(OFFSET($GY$3,0,0,'Données projet'!$E$18+1,1))-AVERAGE(OFFSET($H$3,0,0,'Données projet'!$E$18+1,1))</f>
        <v>362.57172983134313</v>
      </c>
      <c r="HA139" s="59">
        <f t="shared" si="160"/>
        <v>232.03250917542471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42.632375358817114</v>
      </c>
      <c r="HH139" s="21">
        <f>EXP(-LN(2)/25)*HH138+(1-EXP(-LN(2)/25))/(LN(2)/25)*Calculateur!HC139*Calculateur!HE139*VLOOKUP('Données projet'!$B$18,Paramètres!$A$1:$I$89,3,0)*0.475*44/12</f>
        <v>1.6497642620571382</v>
      </c>
      <c r="HI139" s="21">
        <f>EXP(-LN(2)/2)*HI138+(1-EXP(-LN(2)/2))/(LN(2)/2)*HC139*HF139*VLOOKUP('Données projet'!$B$18,Paramètres!$A$1:$I$89,3,0)*0.475*44/12</f>
        <v>8.313684582723261E-17</v>
      </c>
      <c r="HJ139" s="22">
        <f t="shared" si="138"/>
        <v>44.282139620874254</v>
      </c>
    </row>
    <row r="140" spans="1:218" x14ac:dyDescent="0.3">
      <c r="A140" s="10">
        <f t="shared" si="139"/>
        <v>137</v>
      </c>
      <c r="B140" s="71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5">
        <f t="shared" si="110"/>
        <v>440.58773864818636</v>
      </c>
      <c r="I140" s="6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266.99999999999983</v>
      </c>
      <c r="O140" s="13">
        <f>N140*VLOOKUP('Données projet'!$B$9,Paramètres!$A$1:$I$89,3,0)*VLOOKUP('Données projet'!$B$9,Paramètres!$A$1:$I$89,5,0)</f>
        <v>212.42519999999985</v>
      </c>
      <c r="P140" s="13">
        <f t="shared" si="141"/>
        <v>52.465198231787184</v>
      </c>
      <c r="Q140" s="20">
        <f t="shared" si="108"/>
        <v>461.35077692036231</v>
      </c>
      <c r="R140" s="59">
        <f t="shared" si="109"/>
        <v>754.68411025369562</v>
      </c>
      <c r="S140" s="59">
        <f ca="1">AVERAGE(OFFSET($R$3,0,0,'Données projet'!$E$9+1,1))-AVERAGE(OFFSET($H$3,0,0,'Données projet'!$E$9+1,1))</f>
        <v>225.2323446080772</v>
      </c>
      <c r="T140" s="59">
        <f t="shared" si="142"/>
        <v>222.29030402759292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14.031643385706692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14.031643385706692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732.99999999999966</v>
      </c>
      <c r="AJ140" s="13">
        <f>AI140*VLOOKUP('Données projet'!$B$10,Paramètres!$A$1:$I$89,3,0)*VLOOKUP('Données projet'!$B$10,Paramètres!$A$1:$I$89,5,0)</f>
        <v>362.1019999999998</v>
      </c>
      <c r="AK140" s="13">
        <f t="shared" si="143"/>
        <v>84.049487364732272</v>
      </c>
      <c r="AL140" s="20">
        <f t="shared" si="112"/>
        <v>777.04717382690842</v>
      </c>
      <c r="AM140" s="59">
        <f t="shared" si="113"/>
        <v>1070.3805071602417</v>
      </c>
      <c r="AN140" s="59">
        <f ca="1">AVERAGE(OFFSET($AM$3,0,0,'Données projet'!$E$10+1,1))-AVERAGE(OFFSET($H$3,0,0,'Données projet'!$E$10+1,1))</f>
        <v>360.05819346986135</v>
      </c>
      <c r="AO140" s="59">
        <f t="shared" si="144"/>
        <v>300.47468388351081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42.019781490033765</v>
      </c>
      <c r="AV140" s="21">
        <f>EXP(-LN(2)/25)*AV139+(1-EXP(-LN(2)/25))/(LN(2)/25)*Calculateur!AQ140*Calculateur!AS140*VLOOKUP('Données projet'!$B$10,Paramètres!$A$1:$I$89,3,0)*0.475*44/12</f>
        <v>2.1777411471087977</v>
      </c>
      <c r="AW140" s="21">
        <f>EXP(-LN(2)/2)*AW139+(1-EXP(-LN(2)/2))/(LN(2)/2)*AQ140*AT140*VLOOKUP('Données projet'!$B$10,Paramètres!$A$1:$I$89,3,0)*0.475*44/12</f>
        <v>4.1165083104436271E-18</v>
      </c>
      <c r="AX140" s="21">
        <f t="shared" si="114"/>
        <v>44.197522637142562</v>
      </c>
      <c r="AY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465.00000000000006</v>
      </c>
      <c r="BE140" s="13">
        <f>BD140*VLOOKUP('Données projet'!$B$11,Paramètres!$A$1:$I$89,3,0)*VLOOKUP('Données projet'!$B$11,Paramètres!$A$1:$I$89,5,0)</f>
        <v>265.98</v>
      </c>
      <c r="BF140" s="13">
        <f t="shared" si="145"/>
        <v>63.995380422211589</v>
      </c>
      <c r="BG140" s="20">
        <f t="shared" si="115"/>
        <v>574.70712090201857</v>
      </c>
      <c r="BH140" s="59">
        <f t="shared" si="116"/>
        <v>868.04045423535194</v>
      </c>
      <c r="BI140" s="59">
        <f ca="1">AVERAGE(OFFSET($BH$3,0,0,'Données projet'!$E$11+1,1))-AVERAGE(OFFSET($H$3,0,0,'Données projet'!$E$11+1,1))</f>
        <v>250.90038883668348</v>
      </c>
      <c r="BJ140" s="59">
        <f t="shared" si="146"/>
        <v>141.96132114475608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32.182316601756128</v>
      </c>
      <c r="BQ140" s="21">
        <f>EXP(-LN(2)/25)*BQ139+(1-EXP(-LN(2)/25))/(LN(2)/25)*Calculateur!BL140*Calculateur!BN140*VLOOKUP('Données projet'!$B$11,Paramètres!$A$1:$I$89,3,0)*0.475*44/12</f>
        <v>0.61274983611787248</v>
      </c>
      <c r="BR140" s="21">
        <f>EXP(-LN(2)/2)*BR139+(1-EXP(-LN(2)/2))/(LN(2)/2)*BL140*BO140*VLOOKUP('Données projet'!$B$11,Paramètres!$A$1:$I$89,3,0)*0.475*44/12</f>
        <v>2.9659631484310143E-16</v>
      </c>
      <c r="BS140" s="22">
        <f t="shared" si="117"/>
        <v>32.795066437873999</v>
      </c>
      <c r="BT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319</v>
      </c>
      <c r="BZ140" s="13">
        <f>BY140*VLOOKUP('Données projet'!$B$12,Paramètres!$A$1:$I$89,3,0)*VLOOKUP('Données projet'!$B$12,Paramètres!$A$1:$I$89,5,0)</f>
        <v>253.79640000000001</v>
      </c>
      <c r="CA140" s="13">
        <f t="shared" si="147"/>
        <v>61.39816832228076</v>
      </c>
      <c r="CB140" s="20">
        <f t="shared" si="118"/>
        <v>548.96387316130563</v>
      </c>
      <c r="CC140" s="59">
        <f t="shared" si="119"/>
        <v>842.29720649463889</v>
      </c>
      <c r="CD140" s="59">
        <f ca="1">AVERAGE(OFFSET($CC$3,0,0,'Données projet'!$E$12+1,1))-AVERAGE(OFFSET($H$3,0,0,'Données projet'!$E$12+1,1))</f>
        <v>279.49721661620544</v>
      </c>
      <c r="CE140" s="59">
        <f t="shared" si="148"/>
        <v>275.18739333988754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17.19504889163818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17.19504889163818</v>
      </c>
      <c r="CO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789</v>
      </c>
      <c r="CU140" s="17">
        <f>CT140*VLOOKUP('Données projet'!$B$13,Paramètres!$A$1:$I$89,3,0)*VLOOKUP('Données projet'!$B$13,Paramètres!$A$1:$I$89,5,0)</f>
        <v>389.76600000000002</v>
      </c>
      <c r="CV140" s="13">
        <f t="shared" si="149"/>
        <v>89.698759503620408</v>
      </c>
      <c r="CW140" s="20">
        <f t="shared" si="121"/>
        <v>835.06778946880547</v>
      </c>
      <c r="CX140" s="59">
        <f t="shared" si="122"/>
        <v>1128.4011228021388</v>
      </c>
      <c r="CY140" s="59">
        <f ca="1">AVERAGE(OFFSET($CX$3,0,0,'Données projet'!$E$13+1,1))-AVERAGE(OFFSET($H$3,0,0,'Données projet'!$E$13+1,1))</f>
        <v>396.27049617044378</v>
      </c>
      <c r="CZ140" s="59">
        <f t="shared" si="150"/>
        <v>335.2680289568774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46.612379139173946</v>
      </c>
      <c r="DG140" s="21">
        <f>EXP(-LN(2)/25)*DG139+(1-EXP(-LN(2)/25))/(LN(2)/25)*Calculateur!DB140*Calculateur!DD140*VLOOKUP('Données projet'!$B$13,Paramètres!$A$1:$I$89,3,0)*0.475*44/12</f>
        <v>2.4197123856764442</v>
      </c>
      <c r="DH140" s="21">
        <f>EXP(-LN(2)/2)*DH139+(1-EXP(-LN(2)/2))/(LN(2)/2)*DB140*DE140*VLOOKUP('Données projet'!$B$13,Paramètres!$A$1:$I$89,3,0)*0.475*44/12</f>
        <v>3.0187727609919952E-17</v>
      </c>
      <c r="DI140" s="22">
        <f t="shared" si="123"/>
        <v>49.032091524850387</v>
      </c>
      <c r="DJ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541.99999999999989</v>
      </c>
      <c r="DP140" s="17">
        <f>DO140*VLOOKUP('Données projet'!$B$14,Paramètres!$A$1:$I$89,3,0)*VLOOKUP('Données projet'!$B$14,Paramètres!$A$1:$I$89,5,0)</f>
        <v>310.02399999999994</v>
      </c>
      <c r="DQ140" s="13">
        <f t="shared" si="151"/>
        <v>73.27384230442388</v>
      </c>
      <c r="DR140" s="20">
        <f t="shared" si="124"/>
        <v>667.57707534687154</v>
      </c>
      <c r="DS140" s="59">
        <f t="shared" si="125"/>
        <v>960.91040868020491</v>
      </c>
      <c r="DT140" s="59">
        <f ca="1">AVERAGE(OFFSET($DS$3,0,0,'Données projet'!$E$14+1,1))-AVERAGE(OFFSET($H$3,0,0,'Données projet'!$E$14+1,1))</f>
        <v>307.43900954374504</v>
      </c>
      <c r="DU140" s="59">
        <f t="shared" si="152"/>
        <v>185.25270859048999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37.063553006806373</v>
      </c>
      <c r="EB140" s="21">
        <f>EXP(-LN(2)/25)*EB139+(1-EXP(-LN(2)/25))/(LN(2)/25)*Calculateur!DW140*Calculateur!DY140*VLOOKUP('Données projet'!$B$14,Paramètres!$A$1:$I$89,3,0)*0.475*44/12</f>
        <v>1.3754154613318728</v>
      </c>
      <c r="EC140" s="21">
        <f>EXP(-LN(2)/2)*EC139+(1-EXP(-LN(2)/2))/(LN(2)/2)*DW140*DZ140*VLOOKUP('Données projet'!$B$14,Paramètres!$A$1:$I$89,3,0)*0.475*44/12</f>
        <v>2.8598899840976784E-17</v>
      </c>
      <c r="ED140" s="22">
        <f t="shared" si="126"/>
        <v>38.438968468138249</v>
      </c>
      <c r="EE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401</v>
      </c>
      <c r="EK140" s="17">
        <f>EJ140*VLOOKUP('Données projet'!$B$15,Paramètres!$A$1:$I$89,3,0)*VLOOKUP('Données projet'!$B$15,Paramètres!$A$1:$I$89,5,0)</f>
        <v>250.22399999999999</v>
      </c>
      <c r="EL140" s="13">
        <f t="shared" si="153"/>
        <v>60.633904580527918</v>
      </c>
      <c r="EM140" s="20">
        <f t="shared" si="127"/>
        <v>541.41085047775289</v>
      </c>
      <c r="EN140" s="59">
        <f t="shared" si="128"/>
        <v>834.74418381108626</v>
      </c>
      <c r="EO140" s="59">
        <f ca="1">AVERAGE(OFFSET($EN$3,0,0,'Données projet'!$E$15+1,1))-AVERAGE(OFFSET($H$3,0,0,'Données projet'!$E$15+1,1))</f>
        <v>269.77739619445515</v>
      </c>
      <c r="EP140" s="59">
        <f t="shared" si="154"/>
        <v>347.56964743629885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16.666331830347374</v>
      </c>
      <c r="EW140" s="21">
        <f>EXP(-LN(2)/25)*EW139+(1-EXP(-LN(2)/25))/(LN(2)/25)*Calculateur!ER140*Calculateur!ET140*VLOOKUP('Données projet'!$B$15,Paramètres!$A$1:$I$89,3,0)*0.475*44/12</f>
        <v>4.7223778252371247</v>
      </c>
      <c r="EX140" s="21">
        <f>EXP(-LN(2)/2)*EX139+(1-EXP(-LN(2)/2))/(LN(2)/2)*ER140*EU140*VLOOKUP('Données projet'!$B$15,Paramètres!$A$1:$I$89,3,0)*0.475*44/12</f>
        <v>1.9499249891575083E-18</v>
      </c>
      <c r="EY140" s="22">
        <f t="shared" si="129"/>
        <v>21.388709655584499</v>
      </c>
      <c r="EZ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367.99999999999972</v>
      </c>
      <c r="FF140" s="17">
        <f>FE140*VLOOKUP('Données projet'!$B$16,Paramètres!$A$1:$I$89,3,0)*VLOOKUP('Données projet'!$B$16,Paramètres!$A$1:$I$89,5,0)</f>
        <v>292.78079999999977</v>
      </c>
      <c r="FG140" s="13">
        <f t="shared" si="155"/>
        <v>69.660903052386217</v>
      </c>
      <c r="FH140" s="20">
        <f t="shared" si="130"/>
        <v>631.25263281623893</v>
      </c>
      <c r="FI140" s="59">
        <f t="shared" si="131"/>
        <v>924.58596614957219</v>
      </c>
      <c r="FJ140" s="59">
        <f ca="1">AVERAGE(OFFSET($FI$3,0,0,'Données projet'!$E$16+1,1))-AVERAGE(OFFSET($H$3,0,0,'Données projet'!$E$16+1,1))</f>
        <v>331.52724290297675</v>
      </c>
      <c r="FK140" s="59">
        <f t="shared" si="156"/>
        <v>322.79102610158054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19.932522689908001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19.932522689908001</v>
      </c>
      <c r="FU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852.00000000000011</v>
      </c>
      <c r="GA140" s="17">
        <f>FZ140*VLOOKUP('Données projet'!$B$17,Paramètres!$A$1:$I$89,3,0)*VLOOKUP('Données projet'!$B$17,Paramètres!$A$1:$I$89,5,0)</f>
        <v>420.88800000000009</v>
      </c>
      <c r="GB140" s="13">
        <f t="shared" si="157"/>
        <v>95.998759891259041</v>
      </c>
      <c r="GC140" s="20">
        <f t="shared" si="133"/>
        <v>900.24444014394294</v>
      </c>
      <c r="GD140" s="59">
        <f t="shared" si="134"/>
        <v>1193.5777734772762</v>
      </c>
      <c r="GE140" s="59">
        <f ca="1">AVERAGE(OFFSET($GD$3,0,0,'Données projet'!$E$17+1,1))-AVERAGE(OFFSET($H$3,0,0,'Données projet'!$E$17+1,1))</f>
        <v>434.08297999735811</v>
      </c>
      <c r="GF140" s="59">
        <f t="shared" si="158"/>
        <v>371.04090283546122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51.427117966849515</v>
      </c>
      <c r="GM140" s="21">
        <f>EXP(-LN(2)/25)*GM139+(1-EXP(-LN(2)/25))/(LN(2)/25)*Calculateur!GH140*Calculateur!GJ140*VLOOKUP('Données projet'!$B$17,Paramètres!$A$1:$I$89,3,0)*0.475*44/12</f>
        <v>2.6616836242440898</v>
      </c>
      <c r="GN140" s="21">
        <f>EXP(-LN(2)/2)*GN139+(1-EXP(-LN(2)/2))/(LN(2)/2)*GH140*GK140*VLOOKUP('Données projet'!$B$17,Paramètres!$A$1:$I$89,3,0)*0.475*44/12</f>
        <v>5.9003285783025329E-17</v>
      </c>
      <c r="GO140" s="21">
        <f t="shared" si="135"/>
        <v>54.088801591093606</v>
      </c>
      <c r="GP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614.99999999999989</v>
      </c>
      <c r="GV140" s="17">
        <f>GU140*VLOOKUP('Données projet'!$B$18,Paramètres!$A$1:$I$89,3,0)*VLOOKUP('Données projet'!$B$18,Paramètres!$A$1:$I$89,5,0)</f>
        <v>351.78</v>
      </c>
      <c r="GW140" s="13">
        <f t="shared" si="159"/>
        <v>81.92892344316067</v>
      </c>
      <c r="GX140" s="20">
        <f t="shared" si="136"/>
        <v>755.37637499683808</v>
      </c>
      <c r="GY140" s="59">
        <f t="shared" si="137"/>
        <v>1048.7097083301715</v>
      </c>
      <c r="GZ140" s="59">
        <f ca="1">AVERAGE(OFFSET($GY$3,0,0,'Données projet'!$E$18+1,1))-AVERAGE(OFFSET($H$3,0,0,'Données projet'!$E$18+1,1))</f>
        <v>362.57172983134313</v>
      </c>
      <c r="HA140" s="59">
        <f t="shared" si="160"/>
        <v>232.03250917542471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41.796380481212076</v>
      </c>
      <c r="HH140" s="21">
        <f>EXP(-LN(2)/25)*HH139+(1-EXP(-LN(2)/25))/(LN(2)/25)*Calculateur!HC140*Calculateur!HE140*VLOOKUP('Données projet'!$B$18,Paramètres!$A$1:$I$89,3,0)*0.475*44/12</f>
        <v>1.6046513715538537</v>
      </c>
      <c r="HI140" s="21">
        <f>EXP(-LN(2)/2)*HI139+(1-EXP(-LN(2)/2))/(LN(2)/2)*HC140*HF140*VLOOKUP('Données projet'!$B$18,Paramètres!$A$1:$I$89,3,0)*0.475*44/12</f>
        <v>5.8786627450896705E-17</v>
      </c>
      <c r="HJ140" s="22">
        <f t="shared" si="138"/>
        <v>43.401031852765932</v>
      </c>
    </row>
    <row r="141" spans="1:218" x14ac:dyDescent="0.3">
      <c r="A141" s="10">
        <f t="shared" si="139"/>
        <v>138</v>
      </c>
      <c r="B141" s="71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5">
        <f t="shared" si="110"/>
        <v>441.63490018787445</v>
      </c>
      <c r="I141" s="6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266.99999999999983</v>
      </c>
      <c r="O141" s="13">
        <f>N141*VLOOKUP('Données projet'!$B$9,Paramètres!$A$1:$I$89,3,0)*VLOOKUP('Données projet'!$B$9,Paramètres!$A$1:$I$89,5,0)</f>
        <v>212.42519999999985</v>
      </c>
      <c r="P141" s="13">
        <f t="shared" si="141"/>
        <v>52.465198231787184</v>
      </c>
      <c r="Q141" s="20">
        <f t="shared" si="108"/>
        <v>461.35077692036231</v>
      </c>
      <c r="R141" s="59">
        <f t="shared" si="109"/>
        <v>754.68411025369562</v>
      </c>
      <c r="S141" s="59">
        <f ca="1">AVERAGE(OFFSET($R$3,0,0,'Données projet'!$E$9+1,1))-AVERAGE(OFFSET($H$3,0,0,'Données projet'!$E$9+1,1))</f>
        <v>225.2323446080772</v>
      </c>
      <c r="T141" s="59">
        <f t="shared" si="142"/>
        <v>222.29030402759292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13.756491417370372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13.756491417370372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732.99999999999966</v>
      </c>
      <c r="AJ141" s="13">
        <f>AI141*VLOOKUP('Données projet'!$B$10,Paramètres!$A$1:$I$89,3,0)*VLOOKUP('Données projet'!$B$10,Paramètres!$A$1:$I$89,5,0)</f>
        <v>362.1019999999998</v>
      </c>
      <c r="AK141" s="13">
        <f t="shared" si="143"/>
        <v>84.049487364732272</v>
      </c>
      <c r="AL141" s="20">
        <f t="shared" si="112"/>
        <v>777.04717382690842</v>
      </c>
      <c r="AM141" s="59">
        <f t="shared" si="113"/>
        <v>1070.3805071602417</v>
      </c>
      <c r="AN141" s="59">
        <f ca="1">AVERAGE(OFFSET($AM$3,0,0,'Données projet'!$E$10+1,1))-AVERAGE(OFFSET($H$3,0,0,'Données projet'!$E$10+1,1))</f>
        <v>360.05819346986135</v>
      </c>
      <c r="AO141" s="59">
        <f t="shared" si="144"/>
        <v>300.47468388351081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41.195799204550205</v>
      </c>
      <c r="AV141" s="21">
        <f>EXP(-LN(2)/25)*AV140+(1-EXP(-LN(2)/25))/(LN(2)/25)*Calculateur!AQ141*Calculateur!AS141*VLOOKUP('Données projet'!$B$10,Paramètres!$A$1:$I$89,3,0)*0.475*44/12</f>
        <v>2.118190700918678</v>
      </c>
      <c r="AW141" s="21">
        <f>EXP(-LN(2)/2)*AW140+(1-EXP(-LN(2)/2))/(LN(2)/2)*AQ141*AT141*VLOOKUP('Données projet'!$B$10,Paramètres!$A$1:$I$89,3,0)*0.475*44/12</f>
        <v>2.9108109411254663E-18</v>
      </c>
      <c r="AX141" s="21">
        <f t="shared" si="114"/>
        <v>43.313989905468887</v>
      </c>
      <c r="AY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465.00000000000006</v>
      </c>
      <c r="BE141" s="13">
        <f>BD141*VLOOKUP('Données projet'!$B$11,Paramètres!$A$1:$I$89,3,0)*VLOOKUP('Données projet'!$B$11,Paramètres!$A$1:$I$89,5,0)</f>
        <v>265.98</v>
      </c>
      <c r="BF141" s="13">
        <f t="shared" si="145"/>
        <v>63.995380422211589</v>
      </c>
      <c r="BG141" s="20">
        <f t="shared" si="115"/>
        <v>574.70712090201857</v>
      </c>
      <c r="BH141" s="59">
        <f t="shared" si="116"/>
        <v>868.04045423535194</v>
      </c>
      <c r="BI141" s="59">
        <f ca="1">AVERAGE(OFFSET($BH$3,0,0,'Données projet'!$E$11+1,1))-AVERAGE(OFFSET($H$3,0,0,'Données projet'!$E$11+1,1))</f>
        <v>250.90038883668348</v>
      </c>
      <c r="BJ141" s="59">
        <f t="shared" si="146"/>
        <v>141.96132114475608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31.551241002470586</v>
      </c>
      <c r="BQ141" s="21">
        <f>EXP(-LN(2)/25)*BQ140+(1-EXP(-LN(2)/25))/(LN(2)/25)*Calculateur!BL141*Calculateur!BN141*VLOOKUP('Données projet'!$B$11,Paramètres!$A$1:$I$89,3,0)*0.475*44/12</f>
        <v>0.59599415962611579</v>
      </c>
      <c r="BR141" s="21">
        <f>EXP(-LN(2)/2)*BR140+(1-EXP(-LN(2)/2))/(LN(2)/2)*BL141*BO141*VLOOKUP('Données projet'!$B$11,Paramètres!$A$1:$I$89,3,0)*0.475*44/12</f>
        <v>2.0972526550049729E-16</v>
      </c>
      <c r="BS141" s="22">
        <f t="shared" si="117"/>
        <v>32.147235162096699</v>
      </c>
      <c r="BT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319</v>
      </c>
      <c r="BZ141" s="13">
        <f>BY141*VLOOKUP('Données projet'!$B$12,Paramètres!$A$1:$I$89,3,0)*VLOOKUP('Données projet'!$B$12,Paramètres!$A$1:$I$89,5,0)</f>
        <v>253.79640000000001</v>
      </c>
      <c r="CA141" s="13">
        <f t="shared" si="147"/>
        <v>61.39816832228076</v>
      </c>
      <c r="CB141" s="20">
        <f t="shared" si="118"/>
        <v>548.96387316130563</v>
      </c>
      <c r="CC141" s="59">
        <f t="shared" si="119"/>
        <v>842.29720649463889</v>
      </c>
      <c r="CD141" s="59">
        <f ca="1">AVERAGE(OFFSET($CC$3,0,0,'Données projet'!$E$12+1,1))-AVERAGE(OFFSET($H$3,0,0,'Données projet'!$E$12+1,1))</f>
        <v>279.49721661620544</v>
      </c>
      <c r="CE141" s="59">
        <f t="shared" si="148"/>
        <v>275.18739333988754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16.857864470817379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16.857864470817379</v>
      </c>
      <c r="CO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789</v>
      </c>
      <c r="CU141" s="17">
        <f>CT141*VLOOKUP('Données projet'!$B$13,Paramètres!$A$1:$I$89,3,0)*VLOOKUP('Données projet'!$B$13,Paramètres!$A$1:$I$89,5,0)</f>
        <v>389.76600000000002</v>
      </c>
      <c r="CV141" s="13">
        <f t="shared" si="149"/>
        <v>89.698759503620408</v>
      </c>
      <c r="CW141" s="20">
        <f t="shared" si="121"/>
        <v>835.06778946880547</v>
      </c>
      <c r="CX141" s="59">
        <f t="shared" si="122"/>
        <v>1128.4011228021388</v>
      </c>
      <c r="CY141" s="59">
        <f ca="1">AVERAGE(OFFSET($CX$3,0,0,'Données projet'!$E$13+1,1))-AVERAGE(OFFSET($H$3,0,0,'Données projet'!$E$13+1,1))</f>
        <v>396.27049617044378</v>
      </c>
      <c r="CZ141" s="59">
        <f t="shared" si="150"/>
        <v>335.2680289568774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45.698338814998714</v>
      </c>
      <c r="DG141" s="21">
        <f>EXP(-LN(2)/25)*DG140+(1-EXP(-LN(2)/25))/(LN(2)/25)*Calculateur!DB141*Calculateur!DD141*VLOOKUP('Données projet'!$B$13,Paramètres!$A$1:$I$89,3,0)*0.475*44/12</f>
        <v>2.3535452232429779</v>
      </c>
      <c r="DH141" s="21">
        <f>EXP(-LN(2)/2)*DH140+(1-EXP(-LN(2)/2))/(LN(2)/2)*DB141*DE141*VLOOKUP('Données projet'!$B$13,Paramètres!$A$1:$I$89,3,0)*0.475*44/12</f>
        <v>2.1345946901586767E-17</v>
      </c>
      <c r="DI141" s="22">
        <f t="shared" si="123"/>
        <v>48.051884038241688</v>
      </c>
      <c r="DJ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541.99999999999989</v>
      </c>
      <c r="DP141" s="17">
        <f>DO141*VLOOKUP('Données projet'!$B$14,Paramètres!$A$1:$I$89,3,0)*VLOOKUP('Données projet'!$B$14,Paramètres!$A$1:$I$89,5,0)</f>
        <v>310.02399999999994</v>
      </c>
      <c r="DQ141" s="13">
        <f t="shared" si="151"/>
        <v>73.27384230442388</v>
      </c>
      <c r="DR141" s="20">
        <f t="shared" si="124"/>
        <v>667.57707534687154</v>
      </c>
      <c r="DS141" s="59">
        <f t="shared" si="125"/>
        <v>960.91040868020491</v>
      </c>
      <c r="DT141" s="59">
        <f ca="1">AVERAGE(OFFSET($DS$3,0,0,'Données projet'!$E$14+1,1))-AVERAGE(OFFSET($H$3,0,0,'Données projet'!$E$14+1,1))</f>
        <v>307.43900954374504</v>
      </c>
      <c r="DU141" s="59">
        <f t="shared" si="152"/>
        <v>185.25270859048999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36.336759338878025</v>
      </c>
      <c r="EB141" s="21">
        <f>EXP(-LN(2)/25)*EB140+(1-EXP(-LN(2)/25))/(LN(2)/25)*Calculateur!DW141*Calculateur!DY141*VLOOKUP('Données projet'!$B$14,Paramètres!$A$1:$I$89,3,0)*0.475*44/12</f>
        <v>1.3378046532117971</v>
      </c>
      <c r="EC141" s="21">
        <f>EXP(-LN(2)/2)*EC140+(1-EXP(-LN(2)/2))/(LN(2)/2)*DW141*DZ141*VLOOKUP('Données projet'!$B$14,Paramètres!$A$1:$I$89,3,0)*0.475*44/12</f>
        <v>2.022247601202956E-17</v>
      </c>
      <c r="ED141" s="22">
        <f t="shared" si="126"/>
        <v>37.674563992089823</v>
      </c>
      <c r="EE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401</v>
      </c>
      <c r="EK141" s="17">
        <f>EJ141*VLOOKUP('Données projet'!$B$15,Paramètres!$A$1:$I$89,3,0)*VLOOKUP('Données projet'!$B$15,Paramètres!$A$1:$I$89,5,0)</f>
        <v>250.22399999999999</v>
      </c>
      <c r="EL141" s="13">
        <f t="shared" si="153"/>
        <v>60.633904580527918</v>
      </c>
      <c r="EM141" s="20">
        <f t="shared" si="127"/>
        <v>541.41085047775289</v>
      </c>
      <c r="EN141" s="59">
        <f t="shared" si="128"/>
        <v>834.74418381108626</v>
      </c>
      <c r="EO141" s="59">
        <f ca="1">AVERAGE(OFFSET($EN$3,0,0,'Données projet'!$E$15+1,1))-AVERAGE(OFFSET($H$3,0,0,'Données projet'!$E$15+1,1))</f>
        <v>269.77739619445515</v>
      </c>
      <c r="EP141" s="59">
        <f t="shared" si="154"/>
        <v>347.56964743629885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16.339515228612925</v>
      </c>
      <c r="EW141" s="21">
        <f>EXP(-LN(2)/25)*EW140+(1-EXP(-LN(2)/25))/(LN(2)/25)*Calculateur!ER141*Calculateur!ET141*VLOOKUP('Données projet'!$B$15,Paramètres!$A$1:$I$89,3,0)*0.475*44/12</f>
        <v>4.5932441552669587</v>
      </c>
      <c r="EX141" s="21">
        <f>EXP(-LN(2)/2)*EX140+(1-EXP(-LN(2)/2))/(LN(2)/2)*ER141*EU141*VLOOKUP('Données projet'!$B$15,Paramètres!$A$1:$I$89,3,0)*0.475*44/12</f>
        <v>1.3788051826383793E-18</v>
      </c>
      <c r="EY141" s="22">
        <f t="shared" si="129"/>
        <v>20.932759383879883</v>
      </c>
      <c r="EZ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367.99999999999972</v>
      </c>
      <c r="FF141" s="17">
        <f>FE141*VLOOKUP('Données projet'!$B$16,Paramètres!$A$1:$I$89,3,0)*VLOOKUP('Données projet'!$B$16,Paramètres!$A$1:$I$89,5,0)</f>
        <v>292.78079999999977</v>
      </c>
      <c r="FG141" s="13">
        <f t="shared" si="155"/>
        <v>69.660903052386217</v>
      </c>
      <c r="FH141" s="20">
        <f t="shared" si="130"/>
        <v>631.25263281623893</v>
      </c>
      <c r="FI141" s="59">
        <f t="shared" si="131"/>
        <v>924.58596614957219</v>
      </c>
      <c r="FJ141" s="59">
        <f ca="1">AVERAGE(OFFSET($FI$3,0,0,'Données projet'!$E$16+1,1))-AVERAGE(OFFSET($H$3,0,0,'Données projet'!$E$16+1,1))</f>
        <v>331.52724290297675</v>
      </c>
      <c r="FK141" s="59">
        <f t="shared" si="156"/>
        <v>322.79102610158054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19.54165807759728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19.54165807759728</v>
      </c>
      <c r="FU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852.00000000000011</v>
      </c>
      <c r="GA141" s="17">
        <f>FZ141*VLOOKUP('Données projet'!$B$17,Paramètres!$A$1:$I$89,3,0)*VLOOKUP('Données projet'!$B$17,Paramètres!$A$1:$I$89,5,0)</f>
        <v>420.88800000000009</v>
      </c>
      <c r="GB141" s="13">
        <f t="shared" si="157"/>
        <v>95.998759891259041</v>
      </c>
      <c r="GC141" s="20">
        <f t="shared" si="133"/>
        <v>900.24444014394294</v>
      </c>
      <c r="GD141" s="59">
        <f t="shared" si="134"/>
        <v>1193.5777734772762</v>
      </c>
      <c r="GE141" s="59">
        <f ca="1">AVERAGE(OFFSET($GD$3,0,0,'Données projet'!$E$17+1,1))-AVERAGE(OFFSET($H$3,0,0,'Données projet'!$E$17+1,1))</f>
        <v>434.08297999735811</v>
      </c>
      <c r="GF141" s="59">
        <f t="shared" si="158"/>
        <v>371.04090283546122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50.418663550964276</v>
      </c>
      <c r="GM141" s="21">
        <f>EXP(-LN(2)/25)*GM140+(1-EXP(-LN(2)/25))/(LN(2)/25)*Calculateur!GH141*Calculateur!GJ141*VLOOKUP('Données projet'!$B$17,Paramètres!$A$1:$I$89,3,0)*0.475*44/12</f>
        <v>2.5888997455672769</v>
      </c>
      <c r="GN141" s="21">
        <f>EXP(-LN(2)/2)*GN140+(1-EXP(-LN(2)/2))/(LN(2)/2)*GH141*GK141*VLOOKUP('Données projet'!$B$17,Paramètres!$A$1:$I$89,3,0)*0.475*44/12</f>
        <v>4.1721623489465023E-17</v>
      </c>
      <c r="GO141" s="21">
        <f t="shared" si="135"/>
        <v>53.007563296531551</v>
      </c>
      <c r="GP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614.99999999999989</v>
      </c>
      <c r="GV141" s="17">
        <f>GU141*VLOOKUP('Données projet'!$B$18,Paramètres!$A$1:$I$89,3,0)*VLOOKUP('Données projet'!$B$18,Paramètres!$A$1:$I$89,5,0)</f>
        <v>351.78</v>
      </c>
      <c r="GW141" s="13">
        <f t="shared" si="159"/>
        <v>81.92892344316067</v>
      </c>
      <c r="GX141" s="20">
        <f t="shared" si="136"/>
        <v>755.37637499683808</v>
      </c>
      <c r="GY141" s="59">
        <f t="shared" si="137"/>
        <v>1048.7097083301715</v>
      </c>
      <c r="GZ141" s="59">
        <f ca="1">AVERAGE(OFFSET($GY$3,0,0,'Données projet'!$E$18+1,1))-AVERAGE(OFFSET($H$3,0,0,'Données projet'!$E$18+1,1))</f>
        <v>362.57172983134313</v>
      </c>
      <c r="HA141" s="59">
        <f t="shared" si="160"/>
        <v>232.03250917542471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40.976778953250346</v>
      </c>
      <c r="HH141" s="21">
        <f>EXP(-LN(2)/25)*HH140+(1-EXP(-LN(2)/25))/(LN(2)/25)*Calculateur!HC141*Calculateur!HE141*VLOOKUP('Données projet'!$B$18,Paramètres!$A$1:$I$89,3,0)*0.475*44/12</f>
        <v>1.5607720954137654</v>
      </c>
      <c r="HI141" s="21">
        <f>EXP(-LN(2)/2)*HI140+(1-EXP(-LN(2)/2))/(LN(2)/2)*HC141*HF141*VLOOKUP('Données projet'!$B$18,Paramètres!$A$1:$I$89,3,0)*0.475*44/12</f>
        <v>4.1568422913616305E-17</v>
      </c>
      <c r="HJ141" s="22">
        <f t="shared" si="138"/>
        <v>42.537551048664113</v>
      </c>
    </row>
    <row r="142" spans="1:218" x14ac:dyDescent="0.3">
      <c r="A142" s="10">
        <f t="shared" si="139"/>
        <v>139</v>
      </c>
      <c r="B142" s="71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5">
        <f t="shared" si="110"/>
        <v>442.68188515929319</v>
      </c>
      <c r="I142" s="6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266.99999999999983</v>
      </c>
      <c r="O142" s="13">
        <f>N142*VLOOKUP('Données projet'!$B$9,Paramètres!$A$1:$I$89,3,0)*VLOOKUP('Données projet'!$B$9,Paramètres!$A$1:$I$89,5,0)</f>
        <v>212.42519999999985</v>
      </c>
      <c r="P142" s="13">
        <f t="shared" si="141"/>
        <v>52.465198231787184</v>
      </c>
      <c r="Q142" s="20">
        <f t="shared" si="108"/>
        <v>461.35077692036231</v>
      </c>
      <c r="R142" s="59">
        <f t="shared" si="109"/>
        <v>754.68411025369562</v>
      </c>
      <c r="S142" s="59">
        <f ca="1">AVERAGE(OFFSET($R$3,0,0,'Données projet'!$E$9+1,1))-AVERAGE(OFFSET($H$3,0,0,'Données projet'!$E$9+1,1))</f>
        <v>225.2323446080772</v>
      </c>
      <c r="T142" s="59">
        <f t="shared" si="142"/>
        <v>222.29030402759292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13.486735011306997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13.486735011306997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732.99999999999966</v>
      </c>
      <c r="AJ142" s="13">
        <f>AI142*VLOOKUP('Données projet'!$B$10,Paramètres!$A$1:$I$89,3,0)*VLOOKUP('Données projet'!$B$10,Paramètres!$A$1:$I$89,5,0)</f>
        <v>362.1019999999998</v>
      </c>
      <c r="AK142" s="13">
        <f t="shared" si="143"/>
        <v>84.049487364732272</v>
      </c>
      <c r="AL142" s="20">
        <f t="shared" si="112"/>
        <v>777.04717382690842</v>
      </c>
      <c r="AM142" s="59">
        <f t="shared" si="113"/>
        <v>1070.3805071602417</v>
      </c>
      <c r="AN142" s="59">
        <f ca="1">AVERAGE(OFFSET($AM$3,0,0,'Données projet'!$E$10+1,1))-AVERAGE(OFFSET($H$3,0,0,'Données projet'!$E$10+1,1))</f>
        <v>360.05819346986135</v>
      </c>
      <c r="AO142" s="59">
        <f t="shared" si="144"/>
        <v>300.47468388351081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40.387974709105407</v>
      </c>
      <c r="AV142" s="21">
        <f>EXP(-LN(2)/25)*AV141+(1-EXP(-LN(2)/25))/(LN(2)/25)*Calculateur!AQ142*Calculateur!AS142*VLOOKUP('Données projet'!$B$10,Paramètres!$A$1:$I$89,3,0)*0.475*44/12</f>
        <v>2.0602686648112489</v>
      </c>
      <c r="AW142" s="21">
        <f>EXP(-LN(2)/2)*AW141+(1-EXP(-LN(2)/2))/(LN(2)/2)*AQ142*AT142*VLOOKUP('Données projet'!$B$10,Paramètres!$A$1:$I$89,3,0)*0.475*44/12</f>
        <v>2.0582541552218136E-18</v>
      </c>
      <c r="AX142" s="21">
        <f t="shared" si="114"/>
        <v>42.448243373916654</v>
      </c>
      <c r="AY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465.00000000000006</v>
      </c>
      <c r="BE142" s="13">
        <f>BD142*VLOOKUP('Données projet'!$B$11,Paramètres!$A$1:$I$89,3,0)*VLOOKUP('Données projet'!$B$11,Paramètres!$A$1:$I$89,5,0)</f>
        <v>265.98</v>
      </c>
      <c r="BF142" s="13">
        <f t="shared" si="145"/>
        <v>63.995380422211589</v>
      </c>
      <c r="BG142" s="20">
        <f t="shared" si="115"/>
        <v>574.70712090201857</v>
      </c>
      <c r="BH142" s="59">
        <f t="shared" si="116"/>
        <v>868.04045423535194</v>
      </c>
      <c r="BI142" s="59">
        <f ca="1">AVERAGE(OFFSET($BH$3,0,0,'Données projet'!$E$11+1,1))-AVERAGE(OFFSET($H$3,0,0,'Données projet'!$E$11+1,1))</f>
        <v>250.90038883668348</v>
      </c>
      <c r="BJ142" s="59">
        <f t="shared" si="146"/>
        <v>141.96132114475608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30.932540410768926</v>
      </c>
      <c r="BQ142" s="21">
        <f>EXP(-LN(2)/25)*BQ141+(1-EXP(-LN(2)/25))/(LN(2)/25)*Calculateur!BL142*Calculateur!BN142*VLOOKUP('Données projet'!$B$11,Paramètres!$A$1:$I$89,3,0)*0.475*44/12</f>
        <v>0.57969666798916897</v>
      </c>
      <c r="BR142" s="21">
        <f>EXP(-LN(2)/2)*BR141+(1-EXP(-LN(2)/2))/(LN(2)/2)*BL142*BO142*VLOOKUP('Données projet'!$B$11,Paramètres!$A$1:$I$89,3,0)*0.475*44/12</f>
        <v>1.4829815742155072E-16</v>
      </c>
      <c r="BS142" s="22">
        <f t="shared" si="117"/>
        <v>31.512237078758094</v>
      </c>
      <c r="BT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319</v>
      </c>
      <c r="BZ142" s="13">
        <f>BY142*VLOOKUP('Données projet'!$B$12,Paramètres!$A$1:$I$89,3,0)*VLOOKUP('Données projet'!$B$12,Paramètres!$A$1:$I$89,5,0)</f>
        <v>253.79640000000001</v>
      </c>
      <c r="CA142" s="13">
        <f t="shared" si="147"/>
        <v>61.39816832228076</v>
      </c>
      <c r="CB142" s="20">
        <f t="shared" si="118"/>
        <v>548.96387316130563</v>
      </c>
      <c r="CC142" s="59">
        <f t="shared" si="119"/>
        <v>842.29720649463889</v>
      </c>
      <c r="CD142" s="59">
        <f ca="1">AVERAGE(OFFSET($CC$3,0,0,'Données projet'!$E$12+1,1))-AVERAGE(OFFSET($H$3,0,0,'Données projet'!$E$12+1,1))</f>
        <v>279.49721661620544</v>
      </c>
      <c r="CE142" s="59">
        <f t="shared" si="148"/>
        <v>275.18739333988754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16.527292030826686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16.527292030826686</v>
      </c>
      <c r="CO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789</v>
      </c>
      <c r="CU142" s="17">
        <f>CT142*VLOOKUP('Données projet'!$B$13,Paramètres!$A$1:$I$89,3,0)*VLOOKUP('Données projet'!$B$13,Paramètres!$A$1:$I$89,5,0)</f>
        <v>389.76600000000002</v>
      </c>
      <c r="CV142" s="13">
        <f t="shared" si="149"/>
        <v>89.698759503620408</v>
      </c>
      <c r="CW142" s="20">
        <f t="shared" si="121"/>
        <v>835.06778946880547</v>
      </c>
      <c r="CX142" s="59">
        <f t="shared" si="122"/>
        <v>1128.4011228021388</v>
      </c>
      <c r="CY142" s="59">
        <f ca="1">AVERAGE(OFFSET($CX$3,0,0,'Données projet'!$E$13+1,1))-AVERAGE(OFFSET($H$3,0,0,'Données projet'!$E$13+1,1))</f>
        <v>396.27049617044378</v>
      </c>
      <c r="CZ142" s="59">
        <f t="shared" si="150"/>
        <v>335.2680289568774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44.802222264071013</v>
      </c>
      <c r="DG142" s="21">
        <f>EXP(-LN(2)/25)*DG141+(1-EXP(-LN(2)/25))/(LN(2)/25)*Calculateur!DB142*Calculateur!DD142*VLOOKUP('Données projet'!$B$13,Paramètres!$A$1:$I$89,3,0)*0.475*44/12</f>
        <v>2.2891874053458343</v>
      </c>
      <c r="DH142" s="21">
        <f>EXP(-LN(2)/2)*DH141+(1-EXP(-LN(2)/2))/(LN(2)/2)*DB142*DE142*VLOOKUP('Données projet'!$B$13,Paramètres!$A$1:$I$89,3,0)*0.475*44/12</f>
        <v>1.5093863804959976E-17</v>
      </c>
      <c r="DI142" s="22">
        <f t="shared" si="123"/>
        <v>47.091409669416848</v>
      </c>
      <c r="DJ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541.99999999999989</v>
      </c>
      <c r="DP142" s="17">
        <f>DO142*VLOOKUP('Données projet'!$B$14,Paramètres!$A$1:$I$89,3,0)*VLOOKUP('Données projet'!$B$14,Paramètres!$A$1:$I$89,5,0)</f>
        <v>310.02399999999994</v>
      </c>
      <c r="DQ142" s="13">
        <f t="shared" si="151"/>
        <v>73.27384230442388</v>
      </c>
      <c r="DR142" s="20">
        <f t="shared" si="124"/>
        <v>667.57707534687154</v>
      </c>
      <c r="DS142" s="59">
        <f t="shared" si="125"/>
        <v>960.91040868020491</v>
      </c>
      <c r="DT142" s="59">
        <f ca="1">AVERAGE(OFFSET($DS$3,0,0,'Données projet'!$E$14+1,1))-AVERAGE(OFFSET($H$3,0,0,'Données projet'!$E$14+1,1))</f>
        <v>307.43900954374504</v>
      </c>
      <c r="DU142" s="59">
        <f t="shared" si="152"/>
        <v>185.25270859048999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35.624217651477387</v>
      </c>
      <c r="EB142" s="21">
        <f>EXP(-LN(2)/25)*EB141+(1-EXP(-LN(2)/25))/(LN(2)/25)*Calculateur!DW142*Calculateur!DY142*VLOOKUP('Données projet'!$B$14,Paramètres!$A$1:$I$89,3,0)*0.475*44/12</f>
        <v>1.3012223146176314</v>
      </c>
      <c r="EC142" s="21">
        <f>EXP(-LN(2)/2)*EC141+(1-EXP(-LN(2)/2))/(LN(2)/2)*DW142*DZ142*VLOOKUP('Données projet'!$B$14,Paramètres!$A$1:$I$89,3,0)*0.475*44/12</f>
        <v>1.4299449920488392E-17</v>
      </c>
      <c r="ED142" s="22">
        <f t="shared" si="126"/>
        <v>36.92543996609502</v>
      </c>
      <c r="EE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401</v>
      </c>
      <c r="EK142" s="17">
        <f>EJ142*VLOOKUP('Données projet'!$B$15,Paramètres!$A$1:$I$89,3,0)*VLOOKUP('Données projet'!$B$15,Paramètres!$A$1:$I$89,5,0)</f>
        <v>250.22399999999999</v>
      </c>
      <c r="EL142" s="13">
        <f t="shared" si="153"/>
        <v>60.633904580527918</v>
      </c>
      <c r="EM142" s="20">
        <f t="shared" si="127"/>
        <v>541.41085047775289</v>
      </c>
      <c r="EN142" s="59">
        <f t="shared" si="128"/>
        <v>834.74418381108626</v>
      </c>
      <c r="EO142" s="59">
        <f ca="1">AVERAGE(OFFSET($EN$3,0,0,'Données projet'!$E$15+1,1))-AVERAGE(OFFSET($H$3,0,0,'Données projet'!$E$15+1,1))</f>
        <v>269.77739619445515</v>
      </c>
      <c r="EP142" s="59">
        <f t="shared" si="154"/>
        <v>347.56964743629885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16.019107301100043</v>
      </c>
      <c r="EW142" s="21">
        <f>EXP(-LN(2)/25)*EW141+(1-EXP(-LN(2)/25))/(LN(2)/25)*Calculateur!ER142*Calculateur!ET142*VLOOKUP('Données projet'!$B$15,Paramètres!$A$1:$I$89,3,0)*0.475*44/12</f>
        <v>4.4676416522929721</v>
      </c>
      <c r="EX142" s="21">
        <f>EXP(-LN(2)/2)*EX141+(1-EXP(-LN(2)/2))/(LN(2)/2)*ER142*EU142*VLOOKUP('Données projet'!$B$15,Paramètres!$A$1:$I$89,3,0)*0.475*44/12</f>
        <v>9.7496249457875413E-19</v>
      </c>
      <c r="EY142" s="22">
        <f t="shared" si="129"/>
        <v>20.486748953393015</v>
      </c>
      <c r="EZ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367.99999999999972</v>
      </c>
      <c r="FF142" s="17">
        <f>FE142*VLOOKUP('Données projet'!$B$16,Paramètres!$A$1:$I$89,3,0)*VLOOKUP('Données projet'!$B$16,Paramètres!$A$1:$I$89,5,0)</f>
        <v>292.78079999999977</v>
      </c>
      <c r="FG142" s="13">
        <f t="shared" si="155"/>
        <v>69.660903052386217</v>
      </c>
      <c r="FH142" s="20">
        <f t="shared" si="130"/>
        <v>631.25263281623893</v>
      </c>
      <c r="FI142" s="59">
        <f t="shared" si="131"/>
        <v>924.58596614957219</v>
      </c>
      <c r="FJ142" s="59">
        <f ca="1">AVERAGE(OFFSET($FI$3,0,0,'Données projet'!$E$16+1,1))-AVERAGE(OFFSET($H$3,0,0,'Données projet'!$E$16+1,1))</f>
        <v>331.52724290297675</v>
      </c>
      <c r="FK142" s="59">
        <f t="shared" si="156"/>
        <v>322.79102610158054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19.158458081930096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19.158458081930096</v>
      </c>
      <c r="FU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852.00000000000011</v>
      </c>
      <c r="GA142" s="17">
        <f>FZ142*VLOOKUP('Données projet'!$B$17,Paramètres!$A$1:$I$89,3,0)*VLOOKUP('Données projet'!$B$17,Paramètres!$A$1:$I$89,5,0)</f>
        <v>420.88800000000009</v>
      </c>
      <c r="GB142" s="13">
        <f t="shared" si="157"/>
        <v>95.998759891259041</v>
      </c>
      <c r="GC142" s="20">
        <f t="shared" si="133"/>
        <v>900.24444014394294</v>
      </c>
      <c r="GD142" s="59">
        <f t="shared" si="134"/>
        <v>1193.5777734772762</v>
      </c>
      <c r="GE142" s="59">
        <f ca="1">AVERAGE(OFFSET($GD$3,0,0,'Données projet'!$E$17+1,1))-AVERAGE(OFFSET($H$3,0,0,'Données projet'!$E$17+1,1))</f>
        <v>434.08297999735811</v>
      </c>
      <c r="GF142" s="59">
        <f t="shared" si="158"/>
        <v>371.04090283546122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49.429984311078087</v>
      </c>
      <c r="GM142" s="21">
        <f>EXP(-LN(2)/25)*GM141+(1-EXP(-LN(2)/25))/(LN(2)/25)*Calculateur!GH142*Calculateur!GJ142*VLOOKUP('Données projet'!$B$17,Paramètres!$A$1:$I$89,3,0)*0.475*44/12</f>
        <v>2.5181061458804193</v>
      </c>
      <c r="GN142" s="21">
        <f>EXP(-LN(2)/2)*GN141+(1-EXP(-LN(2)/2))/(LN(2)/2)*GH142*GK142*VLOOKUP('Données projet'!$B$17,Paramètres!$A$1:$I$89,3,0)*0.475*44/12</f>
        <v>2.9501642891512664E-17</v>
      </c>
      <c r="GO142" s="21">
        <f t="shared" si="135"/>
        <v>51.948090456958504</v>
      </c>
      <c r="GP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614.99999999999989</v>
      </c>
      <c r="GV142" s="17">
        <f>GU142*VLOOKUP('Données projet'!$B$18,Paramètres!$A$1:$I$89,3,0)*VLOOKUP('Données projet'!$B$18,Paramètres!$A$1:$I$89,5,0)</f>
        <v>351.78</v>
      </c>
      <c r="GW142" s="13">
        <f t="shared" si="159"/>
        <v>81.92892344316067</v>
      </c>
      <c r="GX142" s="20">
        <f t="shared" si="136"/>
        <v>755.37637499683808</v>
      </c>
      <c r="GY142" s="59">
        <f t="shared" si="137"/>
        <v>1048.7097083301715</v>
      </c>
      <c r="GZ142" s="59">
        <f ca="1">AVERAGE(OFFSET($GY$3,0,0,'Données projet'!$E$18+1,1))-AVERAGE(OFFSET($H$3,0,0,'Données projet'!$E$18+1,1))</f>
        <v>362.57172983134313</v>
      </c>
      <c r="HA142" s="59">
        <f t="shared" si="160"/>
        <v>232.03250917542471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40.173249311344378</v>
      </c>
      <c r="HH142" s="21">
        <f>EXP(-LN(2)/25)*HH141+(1-EXP(-LN(2)/25))/(LN(2)/25)*Calculateur!HC142*Calculateur!HE142*VLOOKUP('Données projet'!$B$18,Paramètres!$A$1:$I$89,3,0)*0.475*44/12</f>
        <v>1.5180927003872386</v>
      </c>
      <c r="HI142" s="21">
        <f>EXP(-LN(2)/2)*HI141+(1-EXP(-LN(2)/2))/(LN(2)/2)*HC142*HF142*VLOOKUP('Données projet'!$B$18,Paramètres!$A$1:$I$89,3,0)*0.475*44/12</f>
        <v>2.9393313725448353E-17</v>
      </c>
      <c r="HJ142" s="22">
        <f t="shared" si="138"/>
        <v>41.691342011731614</v>
      </c>
    </row>
    <row r="143" spans="1:218" x14ac:dyDescent="0.3">
      <c r="A143" s="10">
        <f t="shared" si="139"/>
        <v>140</v>
      </c>
      <c r="B143" s="71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5">
        <f t="shared" si="110"/>
        <v>443.72869498000898</v>
      </c>
      <c r="I143" s="6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266.99999999999983</v>
      </c>
      <c r="O143" s="13">
        <f>N143*VLOOKUP('Données projet'!$B$9,Paramètres!$A$1:$I$89,3,0)*VLOOKUP('Données projet'!$B$9,Paramètres!$A$1:$I$89,5,0)</f>
        <v>212.42519999999985</v>
      </c>
      <c r="P143" s="13">
        <f t="shared" si="141"/>
        <v>52.465198231787184</v>
      </c>
      <c r="Q143" s="20">
        <f t="shared" si="108"/>
        <v>461.35077692036231</v>
      </c>
      <c r="R143" s="59">
        <f t="shared" si="109"/>
        <v>754.68411025369562</v>
      </c>
      <c r="S143" s="59">
        <f ca="1">AVERAGE(OFFSET($R$3,0,0,'Données projet'!$E$9+1,1))-AVERAGE(OFFSET($H$3,0,0,'Données projet'!$E$9+1,1))</f>
        <v>225.2323446080772</v>
      </c>
      <c r="T143" s="59">
        <f t="shared" si="142"/>
        <v>222.29030402759292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13.222268363831365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13.222268363831365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732.99999999999966</v>
      </c>
      <c r="AJ143" s="13">
        <f>AI143*VLOOKUP('Données projet'!$B$10,Paramètres!$A$1:$I$89,3,0)*VLOOKUP('Données projet'!$B$10,Paramètres!$A$1:$I$89,5,0)</f>
        <v>362.1019999999998</v>
      </c>
      <c r="AK143" s="13">
        <f t="shared" si="143"/>
        <v>84.049487364732272</v>
      </c>
      <c r="AL143" s="20">
        <f t="shared" si="112"/>
        <v>777.04717382690842</v>
      </c>
      <c r="AM143" s="59">
        <f t="shared" si="113"/>
        <v>1070.3805071602417</v>
      </c>
      <c r="AN143" s="59">
        <f ca="1">AVERAGE(OFFSET($AM$3,0,0,'Données projet'!$E$10+1,1))-AVERAGE(OFFSET($H$3,0,0,'Données projet'!$E$10+1,1))</f>
        <v>360.05819346986135</v>
      </c>
      <c r="AO143" s="59">
        <f t="shared" si="144"/>
        <v>300.47468388351081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39.595991159291991</v>
      </c>
      <c r="AV143" s="21">
        <f>EXP(-LN(2)/25)*AV142+(1-EXP(-LN(2)/25))/(LN(2)/25)*Calculateur!AQ143*Calculateur!AS143*VLOOKUP('Données projet'!$B$10,Paramètres!$A$1:$I$89,3,0)*0.475*44/12</f>
        <v>2.0039305098271649</v>
      </c>
      <c r="AW143" s="21">
        <f>EXP(-LN(2)/2)*AW142+(1-EXP(-LN(2)/2))/(LN(2)/2)*AQ143*AT143*VLOOKUP('Données projet'!$B$10,Paramètres!$A$1:$I$89,3,0)*0.475*44/12</f>
        <v>1.4554054705627332E-18</v>
      </c>
      <c r="AX143" s="21">
        <f t="shared" si="114"/>
        <v>41.599921669119155</v>
      </c>
      <c r="AY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465.00000000000006</v>
      </c>
      <c r="BE143" s="13">
        <f>BD143*VLOOKUP('Données projet'!$B$11,Paramètres!$A$1:$I$89,3,0)*VLOOKUP('Données projet'!$B$11,Paramètres!$A$1:$I$89,5,0)</f>
        <v>265.98</v>
      </c>
      <c r="BF143" s="13">
        <f t="shared" si="145"/>
        <v>63.995380422211589</v>
      </c>
      <c r="BG143" s="20">
        <f t="shared" si="115"/>
        <v>574.70712090201857</v>
      </c>
      <c r="BH143" s="59">
        <f t="shared" si="116"/>
        <v>868.04045423535194</v>
      </c>
      <c r="BI143" s="59">
        <f ca="1">AVERAGE(OFFSET($BH$3,0,0,'Données projet'!$E$11+1,1))-AVERAGE(OFFSET($H$3,0,0,'Données projet'!$E$11+1,1))</f>
        <v>250.90038883668348</v>
      </c>
      <c r="BJ143" s="59">
        <f t="shared" si="146"/>
        <v>141.96132114475608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30.325972160300438</v>
      </c>
      <c r="BQ143" s="21">
        <f>EXP(-LN(2)/25)*BQ142+(1-EXP(-LN(2)/25))/(LN(2)/25)*Calculateur!BL143*Calculateur!BN143*VLOOKUP('Données projet'!$B$11,Paramètres!$A$1:$I$89,3,0)*0.475*44/12</f>
        <v>0.56384483211808234</v>
      </c>
      <c r="BR143" s="21">
        <f>EXP(-LN(2)/2)*BR142+(1-EXP(-LN(2)/2))/(LN(2)/2)*BL143*BO143*VLOOKUP('Données projet'!$B$11,Paramètres!$A$1:$I$89,3,0)*0.475*44/12</f>
        <v>1.0486263275024864E-16</v>
      </c>
      <c r="BS143" s="22">
        <f t="shared" si="117"/>
        <v>30.88981699241852</v>
      </c>
      <c r="BT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319</v>
      </c>
      <c r="BZ143" s="13">
        <f>BY143*VLOOKUP('Données projet'!$B$12,Paramètres!$A$1:$I$89,3,0)*VLOOKUP('Données projet'!$B$12,Paramètres!$A$1:$I$89,5,0)</f>
        <v>253.79640000000001</v>
      </c>
      <c r="CA143" s="13">
        <f t="shared" si="147"/>
        <v>61.39816832228076</v>
      </c>
      <c r="CB143" s="20">
        <f t="shared" si="118"/>
        <v>548.96387316130563</v>
      </c>
      <c r="CC143" s="59">
        <f t="shared" si="119"/>
        <v>842.29720649463889</v>
      </c>
      <c r="CD143" s="59">
        <f ca="1">AVERAGE(OFFSET($CC$3,0,0,'Données projet'!$E$12+1,1))-AVERAGE(OFFSET($H$3,0,0,'Données projet'!$E$12+1,1))</f>
        <v>279.49721661620544</v>
      </c>
      <c r="CE143" s="59">
        <f t="shared" si="148"/>
        <v>275.18739333988754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16.203201914754931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16.203201914754931</v>
      </c>
      <c r="CO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789</v>
      </c>
      <c r="CU143" s="17">
        <f>CT143*VLOOKUP('Données projet'!$B$13,Paramètres!$A$1:$I$89,3,0)*VLOOKUP('Données projet'!$B$13,Paramètres!$A$1:$I$89,5,0)</f>
        <v>389.76600000000002</v>
      </c>
      <c r="CV143" s="13">
        <f t="shared" si="149"/>
        <v>89.698759503620408</v>
      </c>
      <c r="CW143" s="20">
        <f t="shared" si="121"/>
        <v>835.06778946880547</v>
      </c>
      <c r="CX143" s="59">
        <f t="shared" si="122"/>
        <v>1128.4011228021388</v>
      </c>
      <c r="CY143" s="59">
        <f ca="1">AVERAGE(OFFSET($CX$3,0,0,'Données projet'!$E$13+1,1))-AVERAGE(OFFSET($H$3,0,0,'Données projet'!$E$13+1,1))</f>
        <v>396.27049617044378</v>
      </c>
      <c r="CZ143" s="59">
        <f t="shared" si="150"/>
        <v>335.2680289568774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43.923678012129876</v>
      </c>
      <c r="DG143" s="21">
        <f>EXP(-LN(2)/25)*DG142+(1-EXP(-LN(2)/25))/(LN(2)/25)*Calculateur!DB143*Calculateur!DD143*VLOOKUP('Données projet'!$B$13,Paramètres!$A$1:$I$89,3,0)*0.475*44/12</f>
        <v>2.226589455363519</v>
      </c>
      <c r="DH143" s="21">
        <f>EXP(-LN(2)/2)*DH142+(1-EXP(-LN(2)/2))/(LN(2)/2)*DB143*DE143*VLOOKUP('Données projet'!$B$13,Paramètres!$A$1:$I$89,3,0)*0.475*44/12</f>
        <v>1.0672973450793384E-17</v>
      </c>
      <c r="DI143" s="22">
        <f t="shared" si="123"/>
        <v>46.150267467493393</v>
      </c>
      <c r="DJ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541.99999999999989</v>
      </c>
      <c r="DP143" s="17">
        <f>DO143*VLOOKUP('Données projet'!$B$14,Paramètres!$A$1:$I$89,3,0)*VLOOKUP('Données projet'!$B$14,Paramètres!$A$1:$I$89,5,0)</f>
        <v>310.02399999999994</v>
      </c>
      <c r="DQ143" s="13">
        <f t="shared" si="151"/>
        <v>73.27384230442388</v>
      </c>
      <c r="DR143" s="20">
        <f t="shared" si="124"/>
        <v>667.57707534687154</v>
      </c>
      <c r="DS143" s="59">
        <f t="shared" si="125"/>
        <v>960.91040868020491</v>
      </c>
      <c r="DT143" s="59">
        <f ca="1">AVERAGE(OFFSET($DS$3,0,0,'Données projet'!$E$14+1,1))-AVERAGE(OFFSET($H$3,0,0,'Données projet'!$E$14+1,1))</f>
        <v>307.43900954374504</v>
      </c>
      <c r="DU143" s="59">
        <f t="shared" si="152"/>
        <v>185.25270859048999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34.925648471959157</v>
      </c>
      <c r="EB143" s="21">
        <f>EXP(-LN(2)/25)*EB142+(1-EXP(-LN(2)/25))/(LN(2)/25)*Calculateur!DW143*Calculateur!DY143*VLOOKUP('Données projet'!$B$14,Paramètres!$A$1:$I$89,3,0)*0.475*44/12</f>
        <v>1.2656403219961048</v>
      </c>
      <c r="EC143" s="21">
        <f>EXP(-LN(2)/2)*EC142+(1-EXP(-LN(2)/2))/(LN(2)/2)*DW143*DZ143*VLOOKUP('Données projet'!$B$14,Paramètres!$A$1:$I$89,3,0)*0.475*44/12</f>
        <v>1.011123800601478E-17</v>
      </c>
      <c r="ED143" s="22">
        <f t="shared" si="126"/>
        <v>36.191288793955259</v>
      </c>
      <c r="EE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401</v>
      </c>
      <c r="EK143" s="17">
        <f>EJ143*VLOOKUP('Données projet'!$B$15,Paramètres!$A$1:$I$89,3,0)*VLOOKUP('Données projet'!$B$15,Paramètres!$A$1:$I$89,5,0)</f>
        <v>250.22399999999999</v>
      </c>
      <c r="EL143" s="13">
        <f t="shared" si="153"/>
        <v>60.633904580527918</v>
      </c>
      <c r="EM143" s="20">
        <f t="shared" si="127"/>
        <v>541.41085047775289</v>
      </c>
      <c r="EN143" s="59">
        <f t="shared" si="128"/>
        <v>834.74418381108626</v>
      </c>
      <c r="EO143" s="59">
        <f ca="1">AVERAGE(OFFSET($EN$3,0,0,'Données projet'!$E$15+1,1))-AVERAGE(OFFSET($H$3,0,0,'Données projet'!$E$15+1,1))</f>
        <v>269.77739619445515</v>
      </c>
      <c r="EP143" s="59">
        <f t="shared" si="154"/>
        <v>347.56964743629885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15.704982377616149</v>
      </c>
      <c r="EW143" s="21">
        <f>EXP(-LN(2)/25)*EW142+(1-EXP(-LN(2)/25))/(LN(2)/25)*Calculateur!ER143*Calculateur!ET143*VLOOKUP('Données projet'!$B$15,Paramètres!$A$1:$I$89,3,0)*0.475*44/12</f>
        <v>4.3454737563679569</v>
      </c>
      <c r="EX143" s="21">
        <f>EXP(-LN(2)/2)*EX142+(1-EXP(-LN(2)/2))/(LN(2)/2)*ER143*EU143*VLOOKUP('Données projet'!$B$15,Paramètres!$A$1:$I$89,3,0)*0.475*44/12</f>
        <v>6.8940259131918964E-19</v>
      </c>
      <c r="EY143" s="22">
        <f t="shared" si="129"/>
        <v>20.050456133984106</v>
      </c>
      <c r="EZ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367.99999999999972</v>
      </c>
      <c r="FF143" s="17">
        <f>FE143*VLOOKUP('Données projet'!$B$16,Paramètres!$A$1:$I$89,3,0)*VLOOKUP('Données projet'!$B$16,Paramètres!$A$1:$I$89,5,0)</f>
        <v>292.78079999999977</v>
      </c>
      <c r="FG143" s="13">
        <f t="shared" si="155"/>
        <v>69.660903052386217</v>
      </c>
      <c r="FH143" s="20">
        <f t="shared" si="130"/>
        <v>631.25263281623893</v>
      </c>
      <c r="FI143" s="59">
        <f t="shared" si="131"/>
        <v>924.58596614957219</v>
      </c>
      <c r="FJ143" s="59">
        <f ca="1">AVERAGE(OFFSET($FI$3,0,0,'Données projet'!$E$16+1,1))-AVERAGE(OFFSET($H$3,0,0,'Données projet'!$E$16+1,1))</f>
        <v>331.52724290297675</v>
      </c>
      <c r="FK143" s="59">
        <f t="shared" si="156"/>
        <v>322.79102610158054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18.78277240444903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18.78277240444903</v>
      </c>
      <c r="FU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852.00000000000011</v>
      </c>
      <c r="GA143" s="17">
        <f>FZ143*VLOOKUP('Données projet'!$B$17,Paramètres!$A$1:$I$89,3,0)*VLOOKUP('Données projet'!$B$17,Paramètres!$A$1:$I$89,5,0)</f>
        <v>420.88800000000009</v>
      </c>
      <c r="GB143" s="13">
        <f t="shared" si="157"/>
        <v>95.998759891259041</v>
      </c>
      <c r="GC143" s="20">
        <f t="shared" si="133"/>
        <v>900.24444014394294</v>
      </c>
      <c r="GD143" s="59">
        <f t="shared" si="134"/>
        <v>1193.5777734772762</v>
      </c>
      <c r="GE143" s="59">
        <f ca="1">AVERAGE(OFFSET($GD$3,0,0,'Données projet'!$E$17+1,1))-AVERAGE(OFFSET($H$3,0,0,'Données projet'!$E$17+1,1))</f>
        <v>434.08297999735811</v>
      </c>
      <c r="GF143" s="59">
        <f t="shared" si="158"/>
        <v>371.04090283546122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48.460692468051278</v>
      </c>
      <c r="GM143" s="21">
        <f>EXP(-LN(2)/25)*GM142+(1-EXP(-LN(2)/25))/(LN(2)/25)*Calculateur!GH143*Calculateur!GJ143*VLOOKUP('Données projet'!$B$17,Paramètres!$A$1:$I$89,3,0)*0.475*44/12</f>
        <v>2.4492484008998723</v>
      </c>
      <c r="GN143" s="21">
        <f>EXP(-LN(2)/2)*GN142+(1-EXP(-LN(2)/2))/(LN(2)/2)*GH143*GK143*VLOOKUP('Données projet'!$B$17,Paramètres!$A$1:$I$89,3,0)*0.475*44/12</f>
        <v>2.0860811744732512E-17</v>
      </c>
      <c r="GO143" s="21">
        <f t="shared" si="135"/>
        <v>50.909940868951153</v>
      </c>
      <c r="GP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614.99999999999989</v>
      </c>
      <c r="GV143" s="17">
        <f>GU143*VLOOKUP('Données projet'!$B$18,Paramètres!$A$1:$I$89,3,0)*VLOOKUP('Données projet'!$B$18,Paramètres!$A$1:$I$89,5,0)</f>
        <v>351.78</v>
      </c>
      <c r="GW143" s="13">
        <f t="shared" si="159"/>
        <v>81.92892344316067</v>
      </c>
      <c r="GX143" s="20">
        <f t="shared" si="136"/>
        <v>755.37637499683808</v>
      </c>
      <c r="GY143" s="59">
        <f t="shared" si="137"/>
        <v>1048.7097083301715</v>
      </c>
      <c r="GZ143" s="59">
        <f ca="1">AVERAGE(OFFSET($GY$3,0,0,'Données projet'!$E$18+1,1))-AVERAGE(OFFSET($H$3,0,0,'Données projet'!$E$18+1,1))</f>
        <v>362.57172983134313</v>
      </c>
      <c r="HA143" s="59">
        <f t="shared" si="160"/>
        <v>232.03250917542471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39.385476395611498</v>
      </c>
      <c r="HH143" s="21">
        <f>EXP(-LN(2)/25)*HH142+(1-EXP(-LN(2)/25))/(LN(2)/25)*Calculateur!HC143*Calculateur!HE143*VLOOKUP('Données projet'!$B$18,Paramètres!$A$1:$I$89,3,0)*0.475*44/12</f>
        <v>1.4765803756621241</v>
      </c>
      <c r="HI143" s="21">
        <f>EXP(-LN(2)/2)*HI142+(1-EXP(-LN(2)/2))/(LN(2)/2)*HC143*HF143*VLOOKUP('Données projet'!$B$18,Paramètres!$A$1:$I$89,3,0)*0.475*44/12</f>
        <v>2.0784211456808153E-17</v>
      </c>
      <c r="HJ143" s="22">
        <f t="shared" si="138"/>
        <v>40.862056771273622</v>
      </c>
    </row>
    <row r="144" spans="1:218" x14ac:dyDescent="0.3">
      <c r="A144" s="10">
        <f t="shared" si="139"/>
        <v>141</v>
      </c>
      <c r="B144" s="71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5">
        <f t="shared" si="110"/>
        <v>444.7753310461668</v>
      </c>
      <c r="I144" s="6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266.99999999999983</v>
      </c>
      <c r="O144" s="13">
        <f>N144*VLOOKUP('Données projet'!$B$9,Paramètres!$A$1:$I$89,3,0)*VLOOKUP('Données projet'!$B$9,Paramètres!$A$1:$I$89,5,0)</f>
        <v>212.42519999999985</v>
      </c>
      <c r="P144" s="13">
        <f t="shared" si="141"/>
        <v>52.465198231787184</v>
      </c>
      <c r="Q144" s="20">
        <f t="shared" si="108"/>
        <v>461.35077692036231</v>
      </c>
      <c r="R144" s="59">
        <f t="shared" si="109"/>
        <v>754.68411025369562</v>
      </c>
      <c r="S144" s="59">
        <f ca="1">AVERAGE(OFFSET($R$3,0,0,'Données projet'!$E$9+1,1))-AVERAGE(OFFSET($H$3,0,0,'Données projet'!$E$9+1,1))</f>
        <v>225.2323446080772</v>
      </c>
      <c r="T144" s="59">
        <f t="shared" si="142"/>
        <v>222.29030402759292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12.962987746004002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12.962987746004002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732.99999999999966</v>
      </c>
      <c r="AJ144" s="13">
        <f>AI144*VLOOKUP('Données projet'!$B$10,Paramètres!$A$1:$I$89,3,0)*VLOOKUP('Données projet'!$B$10,Paramètres!$A$1:$I$89,5,0)</f>
        <v>362.1019999999998</v>
      </c>
      <c r="AK144" s="13">
        <f t="shared" si="143"/>
        <v>84.049487364732272</v>
      </c>
      <c r="AL144" s="20">
        <f t="shared" si="112"/>
        <v>777.04717382690842</v>
      </c>
      <c r="AM144" s="59">
        <f t="shared" si="113"/>
        <v>1070.3805071602417</v>
      </c>
      <c r="AN144" s="59">
        <f ca="1">AVERAGE(OFFSET($AM$3,0,0,'Données projet'!$E$10+1,1))-AVERAGE(OFFSET($H$3,0,0,'Données projet'!$E$10+1,1))</f>
        <v>360.05819346986135</v>
      </c>
      <c r="AO144" s="59">
        <f t="shared" si="144"/>
        <v>300.47468388351081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38.81953792382815</v>
      </c>
      <c r="AV144" s="21">
        <f>EXP(-LN(2)/25)*AV143+(1-EXP(-LN(2)/25))/(LN(2)/25)*Calculateur!AQ144*Calculateur!AS144*VLOOKUP('Données projet'!$B$10,Paramètres!$A$1:$I$89,3,0)*0.475*44/12</f>
        <v>1.9491329246538156</v>
      </c>
      <c r="AW144" s="21">
        <f>EXP(-LN(2)/2)*AW143+(1-EXP(-LN(2)/2))/(LN(2)/2)*AQ144*AT144*VLOOKUP('Données projet'!$B$10,Paramètres!$A$1:$I$89,3,0)*0.475*44/12</f>
        <v>1.0291270776109068E-18</v>
      </c>
      <c r="AX144" s="21">
        <f t="shared" si="114"/>
        <v>40.768670848481968</v>
      </c>
      <c r="AY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465.00000000000006</v>
      </c>
      <c r="BE144" s="13">
        <f>BD144*VLOOKUP('Données projet'!$B$11,Paramètres!$A$1:$I$89,3,0)*VLOOKUP('Données projet'!$B$11,Paramètres!$A$1:$I$89,5,0)</f>
        <v>265.98</v>
      </c>
      <c r="BF144" s="13">
        <f t="shared" si="145"/>
        <v>63.995380422211589</v>
      </c>
      <c r="BG144" s="20">
        <f t="shared" si="115"/>
        <v>574.70712090201857</v>
      </c>
      <c r="BH144" s="59">
        <f t="shared" si="116"/>
        <v>868.04045423535194</v>
      </c>
      <c r="BI144" s="59">
        <f ca="1">AVERAGE(OFFSET($BH$3,0,0,'Données projet'!$E$11+1,1))-AVERAGE(OFFSET($H$3,0,0,'Données projet'!$E$11+1,1))</f>
        <v>250.90038883668348</v>
      </c>
      <c r="BJ144" s="59">
        <f t="shared" si="146"/>
        <v>141.96132114475608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29.731298343253535</v>
      </c>
      <c r="BQ144" s="21">
        <f>EXP(-LN(2)/25)*BQ143+(1-EXP(-LN(2)/25))/(LN(2)/25)*Calculateur!BL144*Calculateur!BN144*VLOOKUP('Données projet'!$B$11,Paramètres!$A$1:$I$89,3,0)*0.475*44/12</f>
        <v>0.54842646553250229</v>
      </c>
      <c r="BR144" s="21">
        <f>EXP(-LN(2)/2)*BR143+(1-EXP(-LN(2)/2))/(LN(2)/2)*BL144*BO144*VLOOKUP('Données projet'!$B$11,Paramètres!$A$1:$I$89,3,0)*0.475*44/12</f>
        <v>7.4149078710775358E-17</v>
      </c>
      <c r="BS144" s="22">
        <f t="shared" si="117"/>
        <v>30.279724808786035</v>
      </c>
      <c r="BT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319</v>
      </c>
      <c r="BZ144" s="13">
        <f>BY144*VLOOKUP('Données projet'!$B$12,Paramètres!$A$1:$I$89,3,0)*VLOOKUP('Données projet'!$B$12,Paramètres!$A$1:$I$89,5,0)</f>
        <v>253.79640000000001</v>
      </c>
      <c r="CA144" s="13">
        <f t="shared" si="147"/>
        <v>61.39816832228076</v>
      </c>
      <c r="CB144" s="20">
        <f t="shared" si="118"/>
        <v>548.96387316130563</v>
      </c>
      <c r="CC144" s="59">
        <f t="shared" si="119"/>
        <v>842.29720649463889</v>
      </c>
      <c r="CD144" s="59">
        <f ca="1">AVERAGE(OFFSET($CC$3,0,0,'Données projet'!$E$12+1,1))-AVERAGE(OFFSET($H$3,0,0,'Données projet'!$E$12+1,1))</f>
        <v>279.49721661620544</v>
      </c>
      <c r="CE144" s="59">
        <f t="shared" si="148"/>
        <v>275.18739333988754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15.885467008183893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15.885467008183893</v>
      </c>
      <c r="CO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789</v>
      </c>
      <c r="CU144" s="17">
        <f>CT144*VLOOKUP('Données projet'!$B$13,Paramètres!$A$1:$I$89,3,0)*VLOOKUP('Données projet'!$B$13,Paramètres!$A$1:$I$89,5,0)</f>
        <v>389.76600000000002</v>
      </c>
      <c r="CV144" s="13">
        <f t="shared" si="149"/>
        <v>89.698759503620408</v>
      </c>
      <c r="CW144" s="20">
        <f t="shared" si="121"/>
        <v>835.06778946880547</v>
      </c>
      <c r="CX144" s="59">
        <f t="shared" si="122"/>
        <v>1128.4011228021388</v>
      </c>
      <c r="CY144" s="59">
        <f ca="1">AVERAGE(OFFSET($CX$3,0,0,'Données projet'!$E$13+1,1))-AVERAGE(OFFSET($H$3,0,0,'Données projet'!$E$13+1,1))</f>
        <v>396.27049617044378</v>
      </c>
      <c r="CZ144" s="59">
        <f t="shared" si="150"/>
        <v>335.2680289568774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43.062361477110223</v>
      </c>
      <c r="DG144" s="21">
        <f>EXP(-LN(2)/25)*DG143+(1-EXP(-LN(2)/25))/(LN(2)/25)*Calculateur!DB144*Calculateur!DD144*VLOOKUP('Données projet'!$B$13,Paramètres!$A$1:$I$89,3,0)*0.475*44/12</f>
        <v>2.165703249615353</v>
      </c>
      <c r="DH144" s="21">
        <f>EXP(-LN(2)/2)*DH143+(1-EXP(-LN(2)/2))/(LN(2)/2)*DB144*DE144*VLOOKUP('Données projet'!$B$13,Paramètres!$A$1:$I$89,3,0)*0.475*44/12</f>
        <v>7.546931902479988E-18</v>
      </c>
      <c r="DI144" s="22">
        <f t="shared" si="123"/>
        <v>45.228064726725577</v>
      </c>
      <c r="DJ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541.99999999999989</v>
      </c>
      <c r="DP144" s="17">
        <f>DO144*VLOOKUP('Données projet'!$B$14,Paramètres!$A$1:$I$89,3,0)*VLOOKUP('Données projet'!$B$14,Paramètres!$A$1:$I$89,5,0)</f>
        <v>310.02399999999994</v>
      </c>
      <c r="DQ144" s="13">
        <f t="shared" si="151"/>
        <v>73.27384230442388</v>
      </c>
      <c r="DR144" s="20">
        <f t="shared" si="124"/>
        <v>667.57707534687154</v>
      </c>
      <c r="DS144" s="59">
        <f t="shared" si="125"/>
        <v>960.91040868020491</v>
      </c>
      <c r="DT144" s="59">
        <f ca="1">AVERAGE(OFFSET($DS$3,0,0,'Données projet'!$E$14+1,1))-AVERAGE(OFFSET($H$3,0,0,'Données projet'!$E$14+1,1))</f>
        <v>307.43900954374504</v>
      </c>
      <c r="DU144" s="59">
        <f t="shared" si="152"/>
        <v>185.25270859048999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34.240777807966154</v>
      </c>
      <c r="EB144" s="21">
        <f>EXP(-LN(2)/25)*EB143+(1-EXP(-LN(2)/25))/(LN(2)/25)*Calculateur!DW144*Calculateur!DY144*VLOOKUP('Données projet'!$B$14,Paramètres!$A$1:$I$89,3,0)*0.475*44/12</f>
        <v>1.2310313208339894</v>
      </c>
      <c r="EC144" s="21">
        <f>EXP(-LN(2)/2)*EC143+(1-EXP(-LN(2)/2))/(LN(2)/2)*DW144*DZ144*VLOOKUP('Données projet'!$B$14,Paramètres!$A$1:$I$89,3,0)*0.475*44/12</f>
        <v>7.149724960244196E-18</v>
      </c>
      <c r="ED144" s="22">
        <f t="shared" si="126"/>
        <v>35.471809128800146</v>
      </c>
      <c r="EE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401</v>
      </c>
      <c r="EK144" s="17">
        <f>EJ144*VLOOKUP('Données projet'!$B$15,Paramètres!$A$1:$I$89,3,0)*VLOOKUP('Données projet'!$B$15,Paramètres!$A$1:$I$89,5,0)</f>
        <v>250.22399999999999</v>
      </c>
      <c r="EL144" s="13">
        <f t="shared" si="153"/>
        <v>60.633904580527918</v>
      </c>
      <c r="EM144" s="20">
        <f t="shared" si="127"/>
        <v>541.41085047775289</v>
      </c>
      <c r="EN144" s="59">
        <f t="shared" si="128"/>
        <v>834.74418381108626</v>
      </c>
      <c r="EO144" s="59">
        <f ca="1">AVERAGE(OFFSET($EN$3,0,0,'Données projet'!$E$15+1,1))-AVERAGE(OFFSET($H$3,0,0,'Données projet'!$E$15+1,1))</f>
        <v>269.77739619445515</v>
      </c>
      <c r="EP144" s="59">
        <f t="shared" si="154"/>
        <v>347.56964743629885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15.39701725228449</v>
      </c>
      <c r="EW144" s="21">
        <f>EXP(-LN(2)/25)*EW143+(1-EXP(-LN(2)/25))/(LN(2)/25)*Calculateur!ER144*Calculateur!ET144*VLOOKUP('Données projet'!$B$15,Paramètres!$A$1:$I$89,3,0)*0.475*44/12</f>
        <v>4.2266465479815416</v>
      </c>
      <c r="EX144" s="21">
        <f>EXP(-LN(2)/2)*EX143+(1-EXP(-LN(2)/2))/(LN(2)/2)*ER144*EU144*VLOOKUP('Données projet'!$B$15,Paramètres!$A$1:$I$89,3,0)*0.475*44/12</f>
        <v>4.8748124728937707E-19</v>
      </c>
      <c r="EY144" s="22">
        <f t="shared" si="129"/>
        <v>19.62366380026603</v>
      </c>
      <c r="EZ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367.99999999999972</v>
      </c>
      <c r="FF144" s="17">
        <f>FE144*VLOOKUP('Données projet'!$B$16,Paramètres!$A$1:$I$89,3,0)*VLOOKUP('Données projet'!$B$16,Paramètres!$A$1:$I$89,5,0)</f>
        <v>292.78079999999977</v>
      </c>
      <c r="FG144" s="13">
        <f t="shared" si="155"/>
        <v>69.660903052386217</v>
      </c>
      <c r="FH144" s="20">
        <f t="shared" si="130"/>
        <v>631.25263281623893</v>
      </c>
      <c r="FI144" s="59">
        <f t="shared" si="131"/>
        <v>924.58596614957219</v>
      </c>
      <c r="FJ144" s="59">
        <f ca="1">AVERAGE(OFFSET($FI$3,0,0,'Données projet'!$E$16+1,1))-AVERAGE(OFFSET($H$3,0,0,'Données projet'!$E$16+1,1))</f>
        <v>331.52724290297675</v>
      </c>
      <c r="FK144" s="59">
        <f t="shared" si="156"/>
        <v>322.79102610158054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18.414453693957729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18.414453693957729</v>
      </c>
      <c r="FU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852.00000000000011</v>
      </c>
      <c r="GA144" s="17">
        <f>FZ144*VLOOKUP('Données projet'!$B$17,Paramètres!$A$1:$I$89,3,0)*VLOOKUP('Données projet'!$B$17,Paramètres!$A$1:$I$89,5,0)</f>
        <v>420.88800000000009</v>
      </c>
      <c r="GB144" s="13">
        <f t="shared" si="157"/>
        <v>95.998759891259041</v>
      </c>
      <c r="GC144" s="20">
        <f t="shared" si="133"/>
        <v>900.24444014394294</v>
      </c>
      <c r="GD144" s="59">
        <f t="shared" si="134"/>
        <v>1193.5777734772762</v>
      </c>
      <c r="GE144" s="59">
        <f ca="1">AVERAGE(OFFSET($GD$3,0,0,'Données projet'!$E$17+1,1))-AVERAGE(OFFSET($H$3,0,0,'Données projet'!$E$17+1,1))</f>
        <v>434.08297999735811</v>
      </c>
      <c r="GF144" s="59">
        <f t="shared" si="158"/>
        <v>371.04090283546122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47.51040784685658</v>
      </c>
      <c r="GM144" s="21">
        <f>EXP(-LN(2)/25)*GM143+(1-EXP(-LN(2)/25))/(LN(2)/25)*Calculateur!GH144*Calculateur!GJ144*VLOOKUP('Données projet'!$B$17,Paramètres!$A$1:$I$89,3,0)*0.475*44/12</f>
        <v>2.3822735745768897</v>
      </c>
      <c r="GN144" s="21">
        <f>EXP(-LN(2)/2)*GN143+(1-EXP(-LN(2)/2))/(LN(2)/2)*GH144*GK144*VLOOKUP('Données projet'!$B$17,Paramètres!$A$1:$I$89,3,0)*0.475*44/12</f>
        <v>1.4750821445756332E-17</v>
      </c>
      <c r="GO144" s="21">
        <f t="shared" si="135"/>
        <v>49.892681421433473</v>
      </c>
      <c r="GP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614.99999999999989</v>
      </c>
      <c r="GV144" s="17">
        <f>GU144*VLOOKUP('Données projet'!$B$18,Paramètres!$A$1:$I$89,3,0)*VLOOKUP('Données projet'!$B$18,Paramètres!$A$1:$I$89,5,0)</f>
        <v>351.78</v>
      </c>
      <c r="GW144" s="13">
        <f t="shared" si="159"/>
        <v>81.92892344316067</v>
      </c>
      <c r="GX144" s="20">
        <f t="shared" si="136"/>
        <v>755.37637499683808</v>
      </c>
      <c r="GY144" s="59">
        <f t="shared" si="137"/>
        <v>1048.7097083301715</v>
      </c>
      <c r="GZ144" s="59">
        <f ca="1">AVERAGE(OFFSET($GY$3,0,0,'Données projet'!$E$18+1,1))-AVERAGE(OFFSET($H$3,0,0,'Données projet'!$E$18+1,1))</f>
        <v>362.57172983134313</v>
      </c>
      <c r="HA144" s="59">
        <f t="shared" si="160"/>
        <v>232.03250917542471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38.613151226262104</v>
      </c>
      <c r="HH144" s="21">
        <f>EXP(-LN(2)/25)*HH143+(1-EXP(-LN(2)/25))/(LN(2)/25)*Calculateur!HC144*Calculateur!HE144*VLOOKUP('Données projet'!$B$18,Paramètres!$A$1:$I$89,3,0)*0.475*44/12</f>
        <v>1.436203207639656</v>
      </c>
      <c r="HI144" s="21">
        <f>EXP(-LN(2)/2)*HI143+(1-EXP(-LN(2)/2))/(LN(2)/2)*HC144*HF144*VLOOKUP('Données projet'!$B$18,Paramètres!$A$1:$I$89,3,0)*0.475*44/12</f>
        <v>1.4696656862724176E-17</v>
      </c>
      <c r="HJ144" s="22">
        <f t="shared" si="138"/>
        <v>40.049354433901762</v>
      </c>
    </row>
    <row r="145" spans="1:218" x14ac:dyDescent="0.3">
      <c r="A145" s="10">
        <f t="shared" si="139"/>
        <v>142</v>
      </c>
      <c r="B145" s="71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5">
        <f t="shared" si="110"/>
        <v>445.82179473296389</v>
      </c>
      <c r="I145" s="6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266.99999999999983</v>
      </c>
      <c r="O145" s="13">
        <f>N145*VLOOKUP('Données projet'!$B$9,Paramètres!$A$1:$I$89,3,0)*VLOOKUP('Données projet'!$B$9,Paramètres!$A$1:$I$89,5,0)</f>
        <v>212.42519999999985</v>
      </c>
      <c r="P145" s="13">
        <f t="shared" si="141"/>
        <v>52.465198231787184</v>
      </c>
      <c r="Q145" s="20">
        <f t="shared" si="108"/>
        <v>461.35077692036231</v>
      </c>
      <c r="R145" s="59">
        <f t="shared" si="109"/>
        <v>754.68411025369562</v>
      </c>
      <c r="S145" s="59">
        <f ca="1">AVERAGE(OFFSET($R$3,0,0,'Données projet'!$E$9+1,1))-AVERAGE(OFFSET($H$3,0,0,'Données projet'!$E$9+1,1))</f>
        <v>225.2323446080772</v>
      </c>
      <c r="T145" s="59">
        <f t="shared" si="142"/>
        <v>222.29030402759292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12.708791462946673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12.708791462946673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732.99999999999966</v>
      </c>
      <c r="AJ145" s="13">
        <f>AI145*VLOOKUP('Données projet'!$B$10,Paramètres!$A$1:$I$89,3,0)*VLOOKUP('Données projet'!$B$10,Paramètres!$A$1:$I$89,5,0)</f>
        <v>362.1019999999998</v>
      </c>
      <c r="AK145" s="13">
        <f t="shared" si="143"/>
        <v>84.049487364732272</v>
      </c>
      <c r="AL145" s="20">
        <f t="shared" si="112"/>
        <v>777.04717382690842</v>
      </c>
      <c r="AM145" s="59">
        <f t="shared" si="113"/>
        <v>1070.3805071602417</v>
      </c>
      <c r="AN145" s="59">
        <f ca="1">AVERAGE(OFFSET($AM$3,0,0,'Données projet'!$E$10+1,1))-AVERAGE(OFFSET($H$3,0,0,'Données projet'!$E$10+1,1))</f>
        <v>360.05819346986135</v>
      </c>
      <c r="AO145" s="59">
        <f t="shared" si="144"/>
        <v>300.47468388351081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38.058310462722048</v>
      </c>
      <c r="AV145" s="21">
        <f>EXP(-LN(2)/25)*AV144+(1-EXP(-LN(2)/25))/(LN(2)/25)*Calculateur!AQ145*Calculateur!AS145*VLOOKUP('Données projet'!$B$10,Paramètres!$A$1:$I$89,3,0)*0.475*44/12</f>
        <v>1.8958337823287112</v>
      </c>
      <c r="AW145" s="21">
        <f>EXP(-LN(2)/2)*AW144+(1-EXP(-LN(2)/2))/(LN(2)/2)*AQ145*AT145*VLOOKUP('Données projet'!$B$10,Paramètres!$A$1:$I$89,3,0)*0.475*44/12</f>
        <v>7.2770273528136659E-19</v>
      </c>
      <c r="AX145" s="21">
        <f t="shared" si="114"/>
        <v>39.954144245050756</v>
      </c>
      <c r="AY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465.00000000000006</v>
      </c>
      <c r="BE145" s="13">
        <f>BD145*VLOOKUP('Données projet'!$B$11,Paramètres!$A$1:$I$89,3,0)*VLOOKUP('Données projet'!$B$11,Paramètres!$A$1:$I$89,5,0)</f>
        <v>265.98</v>
      </c>
      <c r="BF145" s="13">
        <f t="shared" si="145"/>
        <v>63.995380422211589</v>
      </c>
      <c r="BG145" s="20">
        <f t="shared" si="115"/>
        <v>574.70712090201857</v>
      </c>
      <c r="BH145" s="59">
        <f t="shared" si="116"/>
        <v>868.04045423535194</v>
      </c>
      <c r="BI145" s="59">
        <f ca="1">AVERAGE(OFFSET($BH$3,0,0,'Données projet'!$E$11+1,1))-AVERAGE(OFFSET($H$3,0,0,'Données projet'!$E$11+1,1))</f>
        <v>250.90038883668348</v>
      </c>
      <c r="BJ145" s="59">
        <f t="shared" si="146"/>
        <v>141.96132114475608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29.148285717043709</v>
      </c>
      <c r="BQ145" s="21">
        <f>EXP(-LN(2)/25)*BQ144+(1-EXP(-LN(2)/25))/(LN(2)/25)*Calculateur!BL145*Calculateur!BN145*VLOOKUP('Données projet'!$B$11,Paramètres!$A$1:$I$89,3,0)*0.475*44/12</f>
        <v>0.53342971499202163</v>
      </c>
      <c r="BR145" s="21">
        <f>EXP(-LN(2)/2)*BR144+(1-EXP(-LN(2)/2))/(LN(2)/2)*BL145*BO145*VLOOKUP('Données projet'!$B$11,Paramètres!$A$1:$I$89,3,0)*0.475*44/12</f>
        <v>5.2431316375124321E-17</v>
      </c>
      <c r="BS145" s="22">
        <f t="shared" si="117"/>
        <v>29.68171543203573</v>
      </c>
      <c r="BT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319</v>
      </c>
      <c r="BZ145" s="13">
        <f>BY145*VLOOKUP('Données projet'!$B$12,Paramètres!$A$1:$I$89,3,0)*VLOOKUP('Données projet'!$B$12,Paramètres!$A$1:$I$89,5,0)</f>
        <v>253.79640000000001</v>
      </c>
      <c r="CA145" s="13">
        <f t="shared" si="147"/>
        <v>61.39816832228076</v>
      </c>
      <c r="CB145" s="20">
        <f t="shared" si="118"/>
        <v>548.96387316130563</v>
      </c>
      <c r="CC145" s="59">
        <f t="shared" si="119"/>
        <v>842.29720649463889</v>
      </c>
      <c r="CD145" s="59">
        <f ca="1">AVERAGE(OFFSET($CC$3,0,0,'Données projet'!$E$12+1,1))-AVERAGE(OFFSET($H$3,0,0,'Données projet'!$E$12+1,1))</f>
        <v>279.49721661620544</v>
      </c>
      <c r="CE145" s="59">
        <f t="shared" si="148"/>
        <v>275.18739333988754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15.573962689331555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15.573962689331555</v>
      </c>
      <c r="CO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789</v>
      </c>
      <c r="CU145" s="17">
        <f>CT145*VLOOKUP('Données projet'!$B$13,Paramètres!$A$1:$I$89,3,0)*VLOOKUP('Données projet'!$B$13,Paramètres!$A$1:$I$89,5,0)</f>
        <v>389.76600000000002</v>
      </c>
      <c r="CV145" s="13">
        <f t="shared" si="149"/>
        <v>89.698759503620408</v>
      </c>
      <c r="CW145" s="20">
        <f t="shared" si="121"/>
        <v>835.06778946880547</v>
      </c>
      <c r="CX145" s="59">
        <f t="shared" si="122"/>
        <v>1128.4011228021388</v>
      </c>
      <c r="CY145" s="59">
        <f ca="1">AVERAGE(OFFSET($CX$3,0,0,'Données projet'!$E$13+1,1))-AVERAGE(OFFSET($H$3,0,0,'Données projet'!$E$13+1,1))</f>
        <v>396.27049617044378</v>
      </c>
      <c r="CZ145" s="59">
        <f t="shared" si="150"/>
        <v>335.2680289568774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42.217934833991094</v>
      </c>
      <c r="DG145" s="21">
        <f>EXP(-LN(2)/25)*DG144+(1-EXP(-LN(2)/25))/(LN(2)/25)*Calculateur!DB145*Calculateur!DD145*VLOOKUP('Données projet'!$B$13,Paramètres!$A$1:$I$89,3,0)*0.475*44/12</f>
        <v>2.106481980365237</v>
      </c>
      <c r="DH145" s="21">
        <f>EXP(-LN(2)/2)*DH144+(1-EXP(-LN(2)/2))/(LN(2)/2)*DB145*DE145*VLOOKUP('Données projet'!$B$13,Paramètres!$A$1:$I$89,3,0)*0.475*44/12</f>
        <v>5.3364867253966918E-18</v>
      </c>
      <c r="DI145" s="22">
        <f t="shared" si="123"/>
        <v>44.324416814356333</v>
      </c>
      <c r="DJ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541.99999999999989</v>
      </c>
      <c r="DP145" s="17">
        <f>DO145*VLOOKUP('Données projet'!$B$14,Paramètres!$A$1:$I$89,3,0)*VLOOKUP('Données projet'!$B$14,Paramètres!$A$1:$I$89,5,0)</f>
        <v>310.02399999999994</v>
      </c>
      <c r="DQ145" s="13">
        <f t="shared" si="151"/>
        <v>73.27384230442388</v>
      </c>
      <c r="DR145" s="20">
        <f t="shared" si="124"/>
        <v>667.57707534687154</v>
      </c>
      <c r="DS145" s="59">
        <f t="shared" si="125"/>
        <v>960.91040868020491</v>
      </c>
      <c r="DT145" s="59">
        <f ca="1">AVERAGE(OFFSET($DS$3,0,0,'Données projet'!$E$14+1,1))-AVERAGE(OFFSET($H$3,0,0,'Données projet'!$E$14+1,1))</f>
        <v>307.43900954374504</v>
      </c>
      <c r="DU145" s="59">
        <f t="shared" si="152"/>
        <v>185.25270859048999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33.569337039964196</v>
      </c>
      <c r="EB145" s="21">
        <f>EXP(-LN(2)/25)*EB144+(1-EXP(-LN(2)/25))/(LN(2)/25)*Calculateur!DW145*Calculateur!DY145*VLOOKUP('Données projet'!$B$14,Paramètres!$A$1:$I$89,3,0)*0.475*44/12</f>
        <v>1.1973687046286603</v>
      </c>
      <c r="EC145" s="21">
        <f>EXP(-LN(2)/2)*EC144+(1-EXP(-LN(2)/2))/(LN(2)/2)*DW145*DZ145*VLOOKUP('Données projet'!$B$14,Paramètres!$A$1:$I$89,3,0)*0.475*44/12</f>
        <v>5.0556190030073899E-18</v>
      </c>
      <c r="ED145" s="22">
        <f t="shared" si="126"/>
        <v>34.766705744592855</v>
      </c>
      <c r="EE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401</v>
      </c>
      <c r="EK145" s="17">
        <f>EJ145*VLOOKUP('Données projet'!$B$15,Paramètres!$A$1:$I$89,3,0)*VLOOKUP('Données projet'!$B$15,Paramètres!$A$1:$I$89,5,0)</f>
        <v>250.22399999999999</v>
      </c>
      <c r="EL145" s="13">
        <f t="shared" si="153"/>
        <v>60.633904580527918</v>
      </c>
      <c r="EM145" s="20">
        <f t="shared" si="127"/>
        <v>541.41085047775289</v>
      </c>
      <c r="EN145" s="59">
        <f t="shared" si="128"/>
        <v>834.74418381108626</v>
      </c>
      <c r="EO145" s="59">
        <f ca="1">AVERAGE(OFFSET($EN$3,0,0,'Données projet'!$E$15+1,1))-AVERAGE(OFFSET($H$3,0,0,'Données projet'!$E$15+1,1))</f>
        <v>269.77739619445515</v>
      </c>
      <c r="EP145" s="59">
        <f t="shared" si="154"/>
        <v>347.56964743629885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15.095091135220406</v>
      </c>
      <c r="EW145" s="21">
        <f>EXP(-LN(2)/25)*EW144+(1-EXP(-LN(2)/25))/(LN(2)/25)*Calculateur!ER145*Calculateur!ET145*VLOOKUP('Données projet'!$B$15,Paramètres!$A$1:$I$89,3,0)*0.475*44/12</f>
        <v>4.1110686758573047</v>
      </c>
      <c r="EX145" s="21">
        <f>EXP(-LN(2)/2)*EX144+(1-EXP(-LN(2)/2))/(LN(2)/2)*ER145*EU145*VLOOKUP('Données projet'!$B$15,Paramètres!$A$1:$I$89,3,0)*0.475*44/12</f>
        <v>3.4470129565959482E-19</v>
      </c>
      <c r="EY145" s="22">
        <f t="shared" si="129"/>
        <v>19.206159811077711</v>
      </c>
      <c r="EZ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367.99999999999972</v>
      </c>
      <c r="FF145" s="17">
        <f>FE145*VLOOKUP('Données projet'!$B$16,Paramètres!$A$1:$I$89,3,0)*VLOOKUP('Données projet'!$B$16,Paramètres!$A$1:$I$89,5,0)</f>
        <v>292.78079999999977</v>
      </c>
      <c r="FG145" s="13">
        <f t="shared" si="155"/>
        <v>69.660903052386217</v>
      </c>
      <c r="FH145" s="20">
        <f t="shared" si="130"/>
        <v>631.25263281623893</v>
      </c>
      <c r="FI145" s="59">
        <f t="shared" si="131"/>
        <v>924.58596614957219</v>
      </c>
      <c r="FJ145" s="59">
        <f ca="1">AVERAGE(OFFSET($FI$3,0,0,'Données projet'!$E$16+1,1))-AVERAGE(OFFSET($H$3,0,0,'Données projet'!$E$16+1,1))</f>
        <v>331.52724290297675</v>
      </c>
      <c r="FK145" s="59">
        <f t="shared" si="156"/>
        <v>322.79102610158054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18.053357488726931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18.053357488726931</v>
      </c>
      <c r="FU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852.00000000000011</v>
      </c>
      <c r="GA145" s="17">
        <f>FZ145*VLOOKUP('Données projet'!$B$17,Paramètres!$A$1:$I$89,3,0)*VLOOKUP('Données projet'!$B$17,Paramètres!$A$1:$I$89,5,0)</f>
        <v>420.88800000000009</v>
      </c>
      <c r="GB145" s="13">
        <f t="shared" si="157"/>
        <v>95.998759891259041</v>
      </c>
      <c r="GC145" s="20">
        <f t="shared" si="133"/>
        <v>900.24444014394294</v>
      </c>
      <c r="GD145" s="59">
        <f t="shared" si="134"/>
        <v>1193.5777734772762</v>
      </c>
      <c r="GE145" s="59">
        <f ca="1">AVERAGE(OFFSET($GD$3,0,0,'Données projet'!$E$17+1,1))-AVERAGE(OFFSET($H$3,0,0,'Données projet'!$E$17+1,1))</f>
        <v>434.08297999735811</v>
      </c>
      <c r="GF145" s="59">
        <f t="shared" si="158"/>
        <v>371.04090283546122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46.578757727467121</v>
      </c>
      <c r="GM145" s="21">
        <f>EXP(-LN(2)/25)*GM144+(1-EXP(-LN(2)/25))/(LN(2)/25)*Calculateur!GH145*Calculateur!GJ145*VLOOKUP('Données projet'!$B$17,Paramètres!$A$1:$I$89,3,0)*0.475*44/12</f>
        <v>2.3171301784017619</v>
      </c>
      <c r="GN145" s="21">
        <f>EXP(-LN(2)/2)*GN144+(1-EXP(-LN(2)/2))/(LN(2)/2)*GH145*GK145*VLOOKUP('Données projet'!$B$17,Paramètres!$A$1:$I$89,3,0)*0.475*44/12</f>
        <v>1.0430405872366256E-17</v>
      </c>
      <c r="GO145" s="21">
        <f t="shared" si="135"/>
        <v>48.895887905868882</v>
      </c>
      <c r="GP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614.99999999999989</v>
      </c>
      <c r="GV145" s="17">
        <f>GU145*VLOOKUP('Données projet'!$B$18,Paramètres!$A$1:$I$89,3,0)*VLOOKUP('Données projet'!$B$18,Paramètres!$A$1:$I$89,5,0)</f>
        <v>351.78</v>
      </c>
      <c r="GW145" s="13">
        <f t="shared" si="159"/>
        <v>81.92892344316067</v>
      </c>
      <c r="GX145" s="20">
        <f t="shared" si="136"/>
        <v>755.37637499683808</v>
      </c>
      <c r="GY145" s="59">
        <f t="shared" si="137"/>
        <v>1048.7097083301715</v>
      </c>
      <c r="GZ145" s="59">
        <f ca="1">AVERAGE(OFFSET($GY$3,0,0,'Données projet'!$E$18+1,1))-AVERAGE(OFFSET($H$3,0,0,'Données projet'!$E$18+1,1))</f>
        <v>362.57172983134313</v>
      </c>
      <c r="HA145" s="59">
        <f t="shared" si="160"/>
        <v>232.03250917542471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37.855970882411818</v>
      </c>
      <c r="HH145" s="21">
        <f>EXP(-LN(2)/25)*HH144+(1-EXP(-LN(2)/25))/(LN(2)/25)*Calculateur!HC145*Calculateur!HE145*VLOOKUP('Données projet'!$B$18,Paramètres!$A$1:$I$89,3,0)*0.475*44/12</f>
        <v>1.3969301554001055</v>
      </c>
      <c r="HI145" s="21">
        <f>EXP(-LN(2)/2)*HI144+(1-EXP(-LN(2)/2))/(LN(2)/2)*HC145*HF145*VLOOKUP('Données projet'!$B$18,Paramètres!$A$1:$I$89,3,0)*0.475*44/12</f>
        <v>1.0392105728404076E-17</v>
      </c>
      <c r="HJ145" s="22">
        <f t="shared" si="138"/>
        <v>39.252901037811924</v>
      </c>
    </row>
    <row r="146" spans="1:218" x14ac:dyDescent="0.3">
      <c r="A146" s="10">
        <f t="shared" si="139"/>
        <v>143</v>
      </c>
      <c r="B146" s="71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5">
        <f t="shared" si="110"/>
        <v>446.86808739510911</v>
      </c>
      <c r="I146" s="6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266.99999999999983</v>
      </c>
      <c r="O146" s="13">
        <f>N146*VLOOKUP('Données projet'!$B$9,Paramètres!$A$1:$I$89,3,0)*VLOOKUP('Données projet'!$B$9,Paramètres!$A$1:$I$89,5,0)</f>
        <v>212.42519999999985</v>
      </c>
      <c r="P146" s="13">
        <f t="shared" si="141"/>
        <v>52.465198231787184</v>
      </c>
      <c r="Q146" s="20">
        <f t="shared" si="108"/>
        <v>461.35077692036231</v>
      </c>
      <c r="R146" s="59">
        <f t="shared" si="109"/>
        <v>754.68411025369562</v>
      </c>
      <c r="S146" s="59">
        <f ca="1">AVERAGE(OFFSET($R$3,0,0,'Données projet'!$E$9+1,1))-AVERAGE(OFFSET($H$3,0,0,'Données projet'!$E$9+1,1))</f>
        <v>225.2323446080772</v>
      </c>
      <c r="T146" s="59">
        <f t="shared" si="142"/>
        <v>222.29030402759292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12.459579813955674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12.459579813955674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732.99999999999966</v>
      </c>
      <c r="AJ146" s="13">
        <f>AI146*VLOOKUP('Données projet'!$B$10,Paramètres!$A$1:$I$89,3,0)*VLOOKUP('Données projet'!$B$10,Paramètres!$A$1:$I$89,5,0)</f>
        <v>362.1019999999998</v>
      </c>
      <c r="AK146" s="13">
        <f t="shared" si="143"/>
        <v>84.049487364732272</v>
      </c>
      <c r="AL146" s="20">
        <f t="shared" si="112"/>
        <v>777.04717382690842</v>
      </c>
      <c r="AM146" s="59">
        <f t="shared" si="113"/>
        <v>1070.3805071602417</v>
      </c>
      <c r="AN146" s="59">
        <f ca="1">AVERAGE(OFFSET($AM$3,0,0,'Données projet'!$E$10+1,1))-AVERAGE(OFFSET($H$3,0,0,'Données projet'!$E$10+1,1))</f>
        <v>360.05819346986135</v>
      </c>
      <c r="AO146" s="59">
        <f t="shared" si="144"/>
        <v>300.47468388351081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37.312010207825331</v>
      </c>
      <c r="AV146" s="21">
        <f>EXP(-LN(2)/25)*AV145+(1-EXP(-LN(2)/25))/(LN(2)/25)*Calculateur!AQ146*Calculateur!AS146*VLOOKUP('Données projet'!$B$10,Paramètres!$A$1:$I$89,3,0)*0.475*44/12</f>
        <v>1.843992107853367</v>
      </c>
      <c r="AW146" s="21">
        <f>EXP(-LN(2)/2)*AW145+(1-EXP(-LN(2)/2))/(LN(2)/2)*AQ146*AT146*VLOOKUP('Données projet'!$B$10,Paramètres!$A$1:$I$89,3,0)*0.475*44/12</f>
        <v>5.1456353880545339E-19</v>
      </c>
      <c r="AX146" s="21">
        <f t="shared" si="114"/>
        <v>39.156002315678698</v>
      </c>
      <c r="AY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465.00000000000006</v>
      </c>
      <c r="BE146" s="13">
        <f>BD146*VLOOKUP('Données projet'!$B$11,Paramètres!$A$1:$I$89,3,0)*VLOOKUP('Données projet'!$B$11,Paramètres!$A$1:$I$89,5,0)</f>
        <v>265.98</v>
      </c>
      <c r="BF146" s="13">
        <f t="shared" si="145"/>
        <v>63.995380422211589</v>
      </c>
      <c r="BG146" s="20">
        <f t="shared" si="115"/>
        <v>574.70712090201857</v>
      </c>
      <c r="BH146" s="59">
        <f t="shared" si="116"/>
        <v>868.04045423535194</v>
      </c>
      <c r="BI146" s="59">
        <f ca="1">AVERAGE(OFFSET($BH$3,0,0,'Données projet'!$E$11+1,1))-AVERAGE(OFFSET($H$3,0,0,'Données projet'!$E$11+1,1))</f>
        <v>250.90038883668348</v>
      </c>
      <c r="BJ146" s="59">
        <f t="shared" si="146"/>
        <v>141.96132114475608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28.576705612831269</v>
      </c>
      <c r="BQ146" s="21">
        <f>EXP(-LN(2)/25)*BQ145+(1-EXP(-LN(2)/25))/(LN(2)/25)*Calculateur!BL146*Calculateur!BN146*VLOOKUP('Données projet'!$B$11,Paramètres!$A$1:$I$89,3,0)*0.475*44/12</f>
        <v>0.51884305138371523</v>
      </c>
      <c r="BR146" s="21">
        <f>EXP(-LN(2)/2)*BR145+(1-EXP(-LN(2)/2))/(LN(2)/2)*BL146*BO146*VLOOKUP('Données projet'!$B$11,Paramètres!$A$1:$I$89,3,0)*0.475*44/12</f>
        <v>3.7074539355387679E-17</v>
      </c>
      <c r="BS146" s="22">
        <f t="shared" si="117"/>
        <v>29.095548664214984</v>
      </c>
      <c r="BT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319</v>
      </c>
      <c r="BZ146" s="13">
        <f>BY146*VLOOKUP('Données projet'!$B$12,Paramètres!$A$1:$I$89,3,0)*VLOOKUP('Données projet'!$B$12,Paramètres!$A$1:$I$89,5,0)</f>
        <v>253.79640000000001</v>
      </c>
      <c r="CA146" s="13">
        <f t="shared" si="147"/>
        <v>61.39816832228076</v>
      </c>
      <c r="CB146" s="20">
        <f t="shared" si="118"/>
        <v>548.96387316130563</v>
      </c>
      <c r="CC146" s="59">
        <f t="shared" si="119"/>
        <v>842.29720649463889</v>
      </c>
      <c r="CD146" s="59">
        <f ca="1">AVERAGE(OFFSET($CC$3,0,0,'Données projet'!$E$12+1,1))-AVERAGE(OFFSET($H$3,0,0,'Données projet'!$E$12+1,1))</f>
        <v>279.49721661620544</v>
      </c>
      <c r="CE146" s="59">
        <f t="shared" si="148"/>
        <v>275.18739333988754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15.268566780173037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15.268566780173037</v>
      </c>
      <c r="CO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789</v>
      </c>
      <c r="CU146" s="17">
        <f>CT146*VLOOKUP('Données projet'!$B$13,Paramètres!$A$1:$I$89,3,0)*VLOOKUP('Données projet'!$B$13,Paramètres!$A$1:$I$89,5,0)</f>
        <v>389.76600000000002</v>
      </c>
      <c r="CV146" s="13">
        <f t="shared" si="149"/>
        <v>89.698759503620408</v>
      </c>
      <c r="CW146" s="20">
        <f t="shared" si="121"/>
        <v>835.06778946880547</v>
      </c>
      <c r="CX146" s="59">
        <f t="shared" si="122"/>
        <v>1128.4011228021388</v>
      </c>
      <c r="CY146" s="59">
        <f ca="1">AVERAGE(OFFSET($CX$3,0,0,'Données projet'!$E$13+1,1))-AVERAGE(OFFSET($H$3,0,0,'Données projet'!$E$13+1,1))</f>
        <v>396.27049617044378</v>
      </c>
      <c r="CZ146" s="59">
        <f t="shared" si="150"/>
        <v>335.2680289568774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41.390066882294136</v>
      </c>
      <c r="DG146" s="21">
        <f>EXP(-LN(2)/25)*DG145+(1-EXP(-LN(2)/25))/(LN(2)/25)*Calculateur!DB146*Calculateur!DD146*VLOOKUP('Données projet'!$B$13,Paramètres!$A$1:$I$89,3,0)*0.475*44/12</f>
        <v>2.0488801198370767</v>
      </c>
      <c r="DH146" s="21">
        <f>EXP(-LN(2)/2)*DH145+(1-EXP(-LN(2)/2))/(LN(2)/2)*DB146*DE146*VLOOKUP('Données projet'!$B$13,Paramètres!$A$1:$I$89,3,0)*0.475*44/12</f>
        <v>3.773465951239994E-18</v>
      </c>
      <c r="DI146" s="22">
        <f t="shared" si="123"/>
        <v>43.438947002131215</v>
      </c>
      <c r="DJ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541.99999999999989</v>
      </c>
      <c r="DP146" s="17">
        <f>DO146*VLOOKUP('Données projet'!$B$14,Paramètres!$A$1:$I$89,3,0)*VLOOKUP('Données projet'!$B$14,Paramètres!$A$1:$I$89,5,0)</f>
        <v>310.02399999999994</v>
      </c>
      <c r="DQ146" s="13">
        <f t="shared" si="151"/>
        <v>73.27384230442388</v>
      </c>
      <c r="DR146" s="20">
        <f t="shared" si="124"/>
        <v>667.57707534687154</v>
      </c>
      <c r="DS146" s="59">
        <f t="shared" si="125"/>
        <v>960.91040868020491</v>
      </c>
      <c r="DT146" s="59">
        <f ca="1">AVERAGE(OFFSET($DS$3,0,0,'Données projet'!$E$14+1,1))-AVERAGE(OFFSET($H$3,0,0,'Données projet'!$E$14+1,1))</f>
        <v>307.43900954374504</v>
      </c>
      <c r="DU146" s="59">
        <f t="shared" si="152"/>
        <v>185.25270859048999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32.911062815884328</v>
      </c>
      <c r="EB146" s="21">
        <f>EXP(-LN(2)/25)*EB145+(1-EXP(-LN(2)/25))/(LN(2)/25)*Calculateur!DW146*Calculateur!DY146*VLOOKUP('Données projet'!$B$14,Paramètres!$A$1:$I$89,3,0)*0.475*44/12</f>
        <v>1.164626594433706</v>
      </c>
      <c r="EC146" s="21">
        <f>EXP(-LN(2)/2)*EC145+(1-EXP(-LN(2)/2))/(LN(2)/2)*DW146*DZ146*VLOOKUP('Données projet'!$B$14,Paramètres!$A$1:$I$89,3,0)*0.475*44/12</f>
        <v>3.574862480122098E-18</v>
      </c>
      <c r="ED146" s="22">
        <f t="shared" si="126"/>
        <v>34.075689410318034</v>
      </c>
      <c r="EE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401</v>
      </c>
      <c r="EK146" s="17">
        <f>EJ146*VLOOKUP('Données projet'!$B$15,Paramètres!$A$1:$I$89,3,0)*VLOOKUP('Données projet'!$B$15,Paramètres!$A$1:$I$89,5,0)</f>
        <v>250.22399999999999</v>
      </c>
      <c r="EL146" s="13">
        <f t="shared" si="153"/>
        <v>60.633904580527918</v>
      </c>
      <c r="EM146" s="20">
        <f t="shared" si="127"/>
        <v>541.41085047775289</v>
      </c>
      <c r="EN146" s="59">
        <f t="shared" si="128"/>
        <v>834.74418381108626</v>
      </c>
      <c r="EO146" s="59">
        <f ca="1">AVERAGE(OFFSET($EN$3,0,0,'Données projet'!$E$15+1,1))-AVERAGE(OFFSET($H$3,0,0,'Données projet'!$E$15+1,1))</f>
        <v>269.77739619445515</v>
      </c>
      <c r="EP146" s="59">
        <f t="shared" si="154"/>
        <v>347.56964743629885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14.7990856051552</v>
      </c>
      <c r="EW146" s="21">
        <f>EXP(-LN(2)/25)*EW145+(1-EXP(-LN(2)/25))/(LN(2)/25)*Calculateur!ER146*Calculateur!ET146*VLOOKUP('Données projet'!$B$15,Paramètres!$A$1:$I$89,3,0)*0.475*44/12</f>
        <v>3.9986512867242809</v>
      </c>
      <c r="EX146" s="21">
        <f>EXP(-LN(2)/2)*EX145+(1-EXP(-LN(2)/2))/(LN(2)/2)*ER146*EU146*VLOOKUP('Données projet'!$B$15,Paramètres!$A$1:$I$89,3,0)*0.475*44/12</f>
        <v>2.4374062364468853E-19</v>
      </c>
      <c r="EY146" s="22">
        <f t="shared" si="129"/>
        <v>18.797736891879481</v>
      </c>
      <c r="EZ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367.99999999999972</v>
      </c>
      <c r="FF146" s="17">
        <f>FE146*VLOOKUP('Données projet'!$B$16,Paramètres!$A$1:$I$89,3,0)*VLOOKUP('Données projet'!$B$16,Paramètres!$A$1:$I$89,5,0)</f>
        <v>292.78079999999977</v>
      </c>
      <c r="FG146" s="13">
        <f t="shared" si="155"/>
        <v>69.660903052386217</v>
      </c>
      <c r="FH146" s="20">
        <f t="shared" si="130"/>
        <v>631.25263281623893</v>
      </c>
      <c r="FI146" s="59">
        <f t="shared" si="131"/>
        <v>924.58596614957219</v>
      </c>
      <c r="FJ146" s="59">
        <f ca="1">AVERAGE(OFFSET($FI$3,0,0,'Données projet'!$E$16+1,1))-AVERAGE(OFFSET($H$3,0,0,'Données projet'!$E$16+1,1))</f>
        <v>331.52724290297675</v>
      </c>
      <c r="FK146" s="59">
        <f t="shared" si="156"/>
        <v>322.79102610158054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17.699342159833773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17.699342159833773</v>
      </c>
      <c r="FU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852.00000000000011</v>
      </c>
      <c r="GA146" s="17">
        <f>FZ146*VLOOKUP('Données projet'!$B$17,Paramètres!$A$1:$I$89,3,0)*VLOOKUP('Données projet'!$B$17,Paramètres!$A$1:$I$89,5,0)</f>
        <v>420.88800000000009</v>
      </c>
      <c r="GB146" s="13">
        <f t="shared" si="157"/>
        <v>95.998759891259041</v>
      </c>
      <c r="GC146" s="20">
        <f t="shared" si="133"/>
        <v>900.24444014394294</v>
      </c>
      <c r="GD146" s="59">
        <f t="shared" si="134"/>
        <v>1193.5777734772762</v>
      </c>
      <c r="GE146" s="59">
        <f ca="1">AVERAGE(OFFSET($GD$3,0,0,'Données projet'!$E$17+1,1))-AVERAGE(OFFSET($H$3,0,0,'Données projet'!$E$17+1,1))</f>
        <v>434.08297999735811</v>
      </c>
      <c r="GF146" s="59">
        <f t="shared" si="158"/>
        <v>371.04090283546122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45.665376698668425</v>
      </c>
      <c r="GM146" s="21">
        <f>EXP(-LN(2)/25)*GM145+(1-EXP(-LN(2)/25))/(LN(2)/25)*Calculateur!GH146*Calculateur!GJ146*VLOOKUP('Données projet'!$B$17,Paramètres!$A$1:$I$89,3,0)*0.475*44/12</f>
        <v>2.2537681318207854</v>
      </c>
      <c r="GN146" s="21">
        <f>EXP(-LN(2)/2)*GN145+(1-EXP(-LN(2)/2))/(LN(2)/2)*GH146*GK146*VLOOKUP('Données projet'!$B$17,Paramètres!$A$1:$I$89,3,0)*0.475*44/12</f>
        <v>7.3754107228781661E-18</v>
      </c>
      <c r="GO146" s="21">
        <f t="shared" si="135"/>
        <v>47.919144830489209</v>
      </c>
      <c r="GP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614.99999999999989</v>
      </c>
      <c r="GV146" s="17">
        <f>GU146*VLOOKUP('Données projet'!$B$18,Paramètres!$A$1:$I$89,3,0)*VLOOKUP('Données projet'!$B$18,Paramètres!$A$1:$I$89,5,0)</f>
        <v>351.78</v>
      </c>
      <c r="GW146" s="13">
        <f t="shared" si="159"/>
        <v>81.92892344316067</v>
      </c>
      <c r="GX146" s="20">
        <f t="shared" si="136"/>
        <v>755.37637499683808</v>
      </c>
      <c r="GY146" s="59">
        <f t="shared" si="137"/>
        <v>1048.7097083301715</v>
      </c>
      <c r="GZ146" s="59">
        <f ca="1">AVERAGE(OFFSET($GY$3,0,0,'Données projet'!$E$18+1,1))-AVERAGE(OFFSET($H$3,0,0,'Données projet'!$E$18+1,1))</f>
        <v>362.57172983134313</v>
      </c>
      <c r="HA146" s="59">
        <f t="shared" si="160"/>
        <v>232.03250917542471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37.113638383270029</v>
      </c>
      <c r="HH146" s="21">
        <f>EXP(-LN(2)/25)*HH145+(1-EXP(-LN(2)/25))/(LN(2)/25)*Calculateur!HC146*Calculateur!HE146*VLOOKUP('Données projet'!$B$18,Paramètres!$A$1:$I$89,3,0)*0.475*44/12</f>
        <v>1.3587310268393253</v>
      </c>
      <c r="HI146" s="21">
        <f>EXP(-LN(2)/2)*HI145+(1-EXP(-LN(2)/2))/(LN(2)/2)*HC146*HF146*VLOOKUP('Données projet'!$B$18,Paramètres!$A$1:$I$89,3,0)*0.475*44/12</f>
        <v>7.3483284313620881E-18</v>
      </c>
      <c r="HJ146" s="22">
        <f t="shared" si="138"/>
        <v>38.472369410109351</v>
      </c>
    </row>
    <row r="147" spans="1:218" x14ac:dyDescent="0.3">
      <c r="A147" s="10">
        <f t="shared" si="139"/>
        <v>144</v>
      </c>
      <c r="B147" s="71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5">
        <f t="shared" si="110"/>
        <v>447.91421036726933</v>
      </c>
      <c r="I147" s="6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266.99999999999983</v>
      </c>
      <c r="O147" s="13">
        <f>N147*VLOOKUP('Données projet'!$B$9,Paramètres!$A$1:$I$89,3,0)*VLOOKUP('Données projet'!$B$9,Paramètres!$A$1:$I$89,5,0)</f>
        <v>212.42519999999985</v>
      </c>
      <c r="P147" s="13">
        <f t="shared" si="141"/>
        <v>52.465198231787184</v>
      </c>
      <c r="Q147" s="20">
        <f t="shared" si="108"/>
        <v>461.35077692036231</v>
      </c>
      <c r="R147" s="59">
        <f t="shared" si="109"/>
        <v>754.68411025369562</v>
      </c>
      <c r="S147" s="59">
        <f ca="1">AVERAGE(OFFSET($R$3,0,0,'Données projet'!$E$9+1,1))-AVERAGE(OFFSET($H$3,0,0,'Données projet'!$E$9+1,1))</f>
        <v>225.2323446080772</v>
      </c>
      <c r="T147" s="59">
        <f t="shared" si="142"/>
        <v>222.29030402759292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12.215255053397293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12.215255053397293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732.99999999999966</v>
      </c>
      <c r="AJ147" s="13">
        <f>AI147*VLOOKUP('Données projet'!$B$10,Paramètres!$A$1:$I$89,3,0)*VLOOKUP('Données projet'!$B$10,Paramètres!$A$1:$I$89,5,0)</f>
        <v>362.1019999999998</v>
      </c>
      <c r="AK147" s="13">
        <f t="shared" si="143"/>
        <v>84.049487364732272</v>
      </c>
      <c r="AL147" s="20">
        <f t="shared" si="112"/>
        <v>777.04717382690842</v>
      </c>
      <c r="AM147" s="59">
        <f t="shared" si="113"/>
        <v>1070.3805071602417</v>
      </c>
      <c r="AN147" s="59">
        <f ca="1">AVERAGE(OFFSET($AM$3,0,0,'Données projet'!$E$10+1,1))-AVERAGE(OFFSET($H$3,0,0,'Données projet'!$E$10+1,1))</f>
        <v>360.05819346986135</v>
      </c>
      <c r="AO147" s="59">
        <f t="shared" si="144"/>
        <v>300.47468388351081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36.580344445728926</v>
      </c>
      <c r="AV147" s="21">
        <f>EXP(-LN(2)/25)*AV146+(1-EXP(-LN(2)/25))/(LN(2)/25)*Calculateur!AQ147*Calculateur!AS147*VLOOKUP('Données projet'!$B$10,Paramètres!$A$1:$I$89,3,0)*0.475*44/12</f>
        <v>1.7935680466927861</v>
      </c>
      <c r="AW147" s="21">
        <f>EXP(-LN(2)/2)*AW146+(1-EXP(-LN(2)/2))/(LN(2)/2)*AQ147*AT147*VLOOKUP('Données projet'!$B$10,Paramètres!$A$1:$I$89,3,0)*0.475*44/12</f>
        <v>3.6385136764068329E-19</v>
      </c>
      <c r="AX147" s="21">
        <f t="shared" si="114"/>
        <v>38.373912492421709</v>
      </c>
      <c r="AY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465.00000000000006</v>
      </c>
      <c r="BE147" s="13">
        <f>BD147*VLOOKUP('Données projet'!$B$11,Paramètres!$A$1:$I$89,3,0)*VLOOKUP('Données projet'!$B$11,Paramètres!$A$1:$I$89,5,0)</f>
        <v>265.98</v>
      </c>
      <c r="BF147" s="13">
        <f t="shared" si="145"/>
        <v>63.995380422211589</v>
      </c>
      <c r="BG147" s="20">
        <f t="shared" si="115"/>
        <v>574.70712090201857</v>
      </c>
      <c r="BH147" s="59">
        <f t="shared" si="116"/>
        <v>868.04045423535194</v>
      </c>
      <c r="BI147" s="59">
        <f ca="1">AVERAGE(OFFSET($BH$3,0,0,'Données projet'!$E$11+1,1))-AVERAGE(OFFSET($H$3,0,0,'Données projet'!$E$11+1,1))</f>
        <v>250.90038883668348</v>
      </c>
      <c r="BJ147" s="59">
        <f t="shared" si="146"/>
        <v>141.96132114475608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28.016333845832996</v>
      </c>
      <c r="BQ147" s="21">
        <f>EXP(-LN(2)/25)*BQ146+(1-EXP(-LN(2)/25))/(LN(2)/25)*Calculateur!BL147*Calculateur!BN147*VLOOKUP('Données projet'!$B$11,Paramètres!$A$1:$I$89,3,0)*0.475*44/12</f>
        <v>0.50465526085885726</v>
      </c>
      <c r="BR147" s="21">
        <f>EXP(-LN(2)/2)*BR146+(1-EXP(-LN(2)/2))/(LN(2)/2)*BL147*BO147*VLOOKUP('Données projet'!$B$11,Paramètres!$A$1:$I$89,3,0)*0.475*44/12</f>
        <v>2.6215658187562161E-17</v>
      </c>
      <c r="BS147" s="22">
        <f t="shared" si="117"/>
        <v>28.520989106691854</v>
      </c>
      <c r="BT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319</v>
      </c>
      <c r="BZ147" s="13">
        <f>BY147*VLOOKUP('Données projet'!$B$12,Paramètres!$A$1:$I$89,3,0)*VLOOKUP('Données projet'!$B$12,Paramètres!$A$1:$I$89,5,0)</f>
        <v>253.79640000000001</v>
      </c>
      <c r="CA147" s="13">
        <f t="shared" si="147"/>
        <v>61.39816832228076</v>
      </c>
      <c r="CB147" s="20">
        <f t="shared" si="118"/>
        <v>548.96387316130563</v>
      </c>
      <c r="CC147" s="59">
        <f t="shared" si="119"/>
        <v>842.29720649463889</v>
      </c>
      <c r="CD147" s="59">
        <f ca="1">AVERAGE(OFFSET($CC$3,0,0,'Données projet'!$E$12+1,1))-AVERAGE(OFFSET($H$3,0,0,'Données projet'!$E$12+1,1))</f>
        <v>279.49721661620544</v>
      </c>
      <c r="CE147" s="59">
        <f t="shared" si="148"/>
        <v>275.18739333988754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14.969159498520007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14.969159498520007</v>
      </c>
      <c r="CO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789</v>
      </c>
      <c r="CU147" s="17">
        <f>CT147*VLOOKUP('Données projet'!$B$13,Paramètres!$A$1:$I$89,3,0)*VLOOKUP('Données projet'!$B$13,Paramètres!$A$1:$I$89,5,0)</f>
        <v>389.76600000000002</v>
      </c>
      <c r="CV147" s="13">
        <f t="shared" si="149"/>
        <v>89.698759503620408</v>
      </c>
      <c r="CW147" s="20">
        <f t="shared" si="121"/>
        <v>835.06778946880547</v>
      </c>
      <c r="CX147" s="59">
        <f t="shared" si="122"/>
        <v>1128.4011228021388</v>
      </c>
      <c r="CY147" s="59">
        <f ca="1">AVERAGE(OFFSET($CX$3,0,0,'Données projet'!$E$13+1,1))-AVERAGE(OFFSET($H$3,0,0,'Données projet'!$E$13+1,1))</f>
        <v>396.27049617044378</v>
      </c>
      <c r="CZ147" s="59">
        <f t="shared" si="150"/>
        <v>335.2680289568774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40.578432916180368</v>
      </c>
      <c r="DG147" s="21">
        <f>EXP(-LN(2)/25)*DG146+(1-EXP(-LN(2)/25))/(LN(2)/25)*Calculateur!DB147*Calculateur!DD147*VLOOKUP('Données projet'!$B$13,Paramètres!$A$1:$I$89,3,0)*0.475*44/12</f>
        <v>1.9928533852142092</v>
      </c>
      <c r="DH147" s="21">
        <f>EXP(-LN(2)/2)*DH146+(1-EXP(-LN(2)/2))/(LN(2)/2)*DB147*DE147*VLOOKUP('Données projet'!$B$13,Paramètres!$A$1:$I$89,3,0)*0.475*44/12</f>
        <v>2.6682433626983459E-18</v>
      </c>
      <c r="DI147" s="22">
        <f t="shared" si="123"/>
        <v>42.571286301394579</v>
      </c>
      <c r="DJ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541.99999999999989</v>
      </c>
      <c r="DP147" s="17">
        <f>DO147*VLOOKUP('Données projet'!$B$14,Paramètres!$A$1:$I$89,3,0)*VLOOKUP('Données projet'!$B$14,Paramètres!$A$1:$I$89,5,0)</f>
        <v>310.02399999999994</v>
      </c>
      <c r="DQ147" s="13">
        <f t="shared" si="151"/>
        <v>73.27384230442388</v>
      </c>
      <c r="DR147" s="20">
        <f t="shared" si="124"/>
        <v>667.57707534687154</v>
      </c>
      <c r="DS147" s="59">
        <f t="shared" si="125"/>
        <v>960.91040868020491</v>
      </c>
      <c r="DT147" s="59">
        <f ca="1">AVERAGE(OFFSET($DS$3,0,0,'Données projet'!$E$14+1,1))-AVERAGE(OFFSET($H$3,0,0,'Données projet'!$E$14+1,1))</f>
        <v>307.43900954374504</v>
      </c>
      <c r="DU147" s="59">
        <f t="shared" si="152"/>
        <v>185.25270859048999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32.265696947831032</v>
      </c>
      <c r="EB147" s="21">
        <f>EXP(-LN(2)/25)*EB146+(1-EXP(-LN(2)/25))/(LN(2)/25)*Calculateur!DW147*Calculateur!DY147*VLOOKUP('Données projet'!$B$14,Paramètres!$A$1:$I$89,3,0)*0.475*44/12</f>
        <v>1.1327798189638654</v>
      </c>
      <c r="EC147" s="21">
        <f>EXP(-LN(2)/2)*EC146+(1-EXP(-LN(2)/2))/(LN(2)/2)*DW147*DZ147*VLOOKUP('Données projet'!$B$14,Paramètres!$A$1:$I$89,3,0)*0.475*44/12</f>
        <v>2.527809501503695E-18</v>
      </c>
      <c r="ED147" s="22">
        <f t="shared" si="126"/>
        <v>33.3984767667949</v>
      </c>
      <c r="EE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401</v>
      </c>
      <c r="EK147" s="17">
        <f>EJ147*VLOOKUP('Données projet'!$B$15,Paramètres!$A$1:$I$89,3,0)*VLOOKUP('Données projet'!$B$15,Paramètres!$A$1:$I$89,5,0)</f>
        <v>250.22399999999999</v>
      </c>
      <c r="EL147" s="13">
        <f t="shared" si="153"/>
        <v>60.633904580527918</v>
      </c>
      <c r="EM147" s="20">
        <f t="shared" si="127"/>
        <v>541.41085047775289</v>
      </c>
      <c r="EN147" s="59">
        <f t="shared" si="128"/>
        <v>834.74418381108626</v>
      </c>
      <c r="EO147" s="59">
        <f ca="1">AVERAGE(OFFSET($EN$3,0,0,'Données projet'!$E$15+1,1))-AVERAGE(OFFSET($H$3,0,0,'Données projet'!$E$15+1,1))</f>
        <v>269.77739619445515</v>
      </c>
      <c r="EP147" s="59">
        <f t="shared" si="154"/>
        <v>347.56964743629885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14.508884562989028</v>
      </c>
      <c r="EW147" s="21">
        <f>EXP(-LN(2)/25)*EW146+(1-EXP(-LN(2)/25))/(LN(2)/25)*Calculateur!ER147*Calculateur!ET147*VLOOKUP('Données projet'!$B$15,Paramètres!$A$1:$I$89,3,0)*0.475*44/12</f>
        <v>3.8893079570088736</v>
      </c>
      <c r="EX147" s="21">
        <f>EXP(-LN(2)/2)*EX146+(1-EXP(-LN(2)/2))/(LN(2)/2)*ER147*EU147*VLOOKUP('Données projet'!$B$15,Paramètres!$A$1:$I$89,3,0)*0.475*44/12</f>
        <v>1.7235064782979741E-19</v>
      </c>
      <c r="EY147" s="22">
        <f t="shared" si="129"/>
        <v>18.398192519997902</v>
      </c>
      <c r="EZ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367.99999999999972</v>
      </c>
      <c r="FF147" s="17">
        <f>FE147*VLOOKUP('Données projet'!$B$16,Paramètres!$A$1:$I$89,3,0)*VLOOKUP('Données projet'!$B$16,Paramètres!$A$1:$I$89,5,0)</f>
        <v>292.78079999999977</v>
      </c>
      <c r="FG147" s="13">
        <f t="shared" si="155"/>
        <v>69.660903052386217</v>
      </c>
      <c r="FH147" s="20">
        <f t="shared" si="130"/>
        <v>631.25263281623893</v>
      </c>
      <c r="FI147" s="59">
        <f t="shared" si="131"/>
        <v>924.58596614957219</v>
      </c>
      <c r="FJ147" s="59">
        <f ca="1">AVERAGE(OFFSET($FI$3,0,0,'Données projet'!$E$16+1,1))-AVERAGE(OFFSET($H$3,0,0,'Données projet'!$E$16+1,1))</f>
        <v>331.52724290297675</v>
      </c>
      <c r="FK147" s="59">
        <f t="shared" si="156"/>
        <v>322.79102610158054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17.352268855612181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17.352268855612181</v>
      </c>
      <c r="FU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852.00000000000011</v>
      </c>
      <c r="GA147" s="17">
        <f>FZ147*VLOOKUP('Données projet'!$B$17,Paramètres!$A$1:$I$89,3,0)*VLOOKUP('Données projet'!$B$17,Paramètres!$A$1:$I$89,5,0)</f>
        <v>420.88800000000009</v>
      </c>
      <c r="GB147" s="13">
        <f t="shared" si="157"/>
        <v>95.998759891259041</v>
      </c>
      <c r="GC147" s="20">
        <f t="shared" si="133"/>
        <v>900.24444014394294</v>
      </c>
      <c r="GD147" s="59">
        <f t="shared" si="134"/>
        <v>1193.5777734772762</v>
      </c>
      <c r="GE147" s="59">
        <f ca="1">AVERAGE(OFFSET($GD$3,0,0,'Données projet'!$E$17+1,1))-AVERAGE(OFFSET($H$3,0,0,'Données projet'!$E$17+1,1))</f>
        <v>434.08297999735811</v>
      </c>
      <c r="GF147" s="59">
        <f t="shared" si="158"/>
        <v>371.04090283546122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44.769906514737052</v>
      </c>
      <c r="GM147" s="21">
        <f>EXP(-LN(2)/25)*GM146+(1-EXP(-LN(2)/25))/(LN(2)/25)*Calculateur!GH147*Calculateur!GJ147*VLOOKUP('Données projet'!$B$17,Paramètres!$A$1:$I$89,3,0)*0.475*44/12</f>
        <v>2.1921387237356309</v>
      </c>
      <c r="GN147" s="21">
        <f>EXP(-LN(2)/2)*GN146+(1-EXP(-LN(2)/2))/(LN(2)/2)*GH147*GK147*VLOOKUP('Données projet'!$B$17,Paramètres!$A$1:$I$89,3,0)*0.475*44/12</f>
        <v>5.2152029361831279E-18</v>
      </c>
      <c r="GO147" s="21">
        <f t="shared" si="135"/>
        <v>46.962045238472683</v>
      </c>
      <c r="GP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614.99999999999989</v>
      </c>
      <c r="GV147" s="17">
        <f>GU147*VLOOKUP('Données projet'!$B$18,Paramètres!$A$1:$I$89,3,0)*VLOOKUP('Données projet'!$B$18,Paramètres!$A$1:$I$89,5,0)</f>
        <v>351.78</v>
      </c>
      <c r="GW147" s="13">
        <f t="shared" si="159"/>
        <v>81.92892344316067</v>
      </c>
      <c r="GX147" s="20">
        <f t="shared" si="136"/>
        <v>755.37637499683808</v>
      </c>
      <c r="GY147" s="59">
        <f t="shared" si="137"/>
        <v>1048.7097083301715</v>
      </c>
      <c r="GZ147" s="59">
        <f ca="1">AVERAGE(OFFSET($GY$3,0,0,'Données projet'!$E$18+1,1))-AVERAGE(OFFSET($H$3,0,0,'Données projet'!$E$18+1,1))</f>
        <v>362.57172983134313</v>
      </c>
      <c r="HA147" s="59">
        <f t="shared" si="160"/>
        <v>232.03250917542471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36.385862571658294</v>
      </c>
      <c r="HH147" s="21">
        <f>EXP(-LN(2)/25)*HH146+(1-EXP(-LN(2)/25))/(LN(2)/25)*Calculateur!HC147*Calculateur!HE147*VLOOKUP('Données projet'!$B$18,Paramètres!$A$1:$I$89,3,0)*0.475*44/12</f>
        <v>1.3215764554578446</v>
      </c>
      <c r="HI147" s="21">
        <f>EXP(-LN(2)/2)*HI146+(1-EXP(-LN(2)/2))/(LN(2)/2)*HC147*HF147*VLOOKUP('Données projet'!$B$18,Paramètres!$A$1:$I$89,3,0)*0.475*44/12</f>
        <v>5.1960528642020382E-18</v>
      </c>
      <c r="HJ147" s="22">
        <f t="shared" si="138"/>
        <v>37.707439027116138</v>
      </c>
    </row>
    <row r="148" spans="1:218" x14ac:dyDescent="0.3">
      <c r="A148" s="10">
        <f t="shared" si="139"/>
        <v>145</v>
      </c>
      <c r="B148" s="71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5">
        <f t="shared" si="110"/>
        <v>448.96016496450284</v>
      </c>
      <c r="I148" s="6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266.99999999999983</v>
      </c>
      <c r="O148" s="13">
        <f>N148*VLOOKUP('Données projet'!$B$9,Paramètres!$A$1:$I$89,3,0)*VLOOKUP('Données projet'!$B$9,Paramètres!$A$1:$I$89,5,0)</f>
        <v>212.42519999999985</v>
      </c>
      <c r="P148" s="13">
        <f t="shared" si="141"/>
        <v>52.465198231787184</v>
      </c>
      <c r="Q148" s="20">
        <f t="shared" si="108"/>
        <v>461.35077692036231</v>
      </c>
      <c r="R148" s="59">
        <f t="shared" si="109"/>
        <v>754.68411025369562</v>
      </c>
      <c r="S148" s="59">
        <f ca="1">AVERAGE(OFFSET($R$3,0,0,'Données projet'!$E$9+1,1))-AVERAGE(OFFSET($H$3,0,0,'Données projet'!$E$9+1,1))</f>
        <v>225.2323446080772</v>
      </c>
      <c r="T148" s="59">
        <f t="shared" si="142"/>
        <v>222.29030402759292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11.975721352370071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11.975721352370071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732.99999999999966</v>
      </c>
      <c r="AJ148" s="13">
        <f>AI148*VLOOKUP('Données projet'!$B$10,Paramètres!$A$1:$I$89,3,0)*VLOOKUP('Données projet'!$B$10,Paramètres!$A$1:$I$89,5,0)</f>
        <v>362.1019999999998</v>
      </c>
      <c r="AK148" s="13">
        <f t="shared" si="143"/>
        <v>84.049487364732272</v>
      </c>
      <c r="AL148" s="20">
        <f t="shared" si="112"/>
        <v>777.04717382690842</v>
      </c>
      <c r="AM148" s="59">
        <f t="shared" si="113"/>
        <v>1070.3805071602417</v>
      </c>
      <c r="AN148" s="59">
        <f ca="1">AVERAGE(OFFSET($AM$3,0,0,'Données projet'!$E$10+1,1))-AVERAGE(OFFSET($H$3,0,0,'Données projet'!$E$10+1,1))</f>
        <v>360.05819346986135</v>
      </c>
      <c r="AO148" s="59">
        <f t="shared" si="144"/>
        <v>300.47468388351081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35.863026202955183</v>
      </c>
      <c r="AV148" s="21">
        <f>EXP(-LN(2)/25)*AV147+(1-EXP(-LN(2)/25))/(LN(2)/25)*Calculateur!AQ148*Calculateur!AS148*VLOOKUP('Données projet'!$B$10,Paramètres!$A$1:$I$89,3,0)*0.475*44/12</f>
        <v>1.7445228341363275</v>
      </c>
      <c r="AW148" s="21">
        <f>EXP(-LN(2)/2)*AW147+(1-EXP(-LN(2)/2))/(LN(2)/2)*AQ148*AT148*VLOOKUP('Données projet'!$B$10,Paramètres!$A$1:$I$89,3,0)*0.475*44/12</f>
        <v>2.5728176940272669E-19</v>
      </c>
      <c r="AX148" s="21">
        <f t="shared" si="114"/>
        <v>37.607549037091509</v>
      </c>
      <c r="AY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465.00000000000006</v>
      </c>
      <c r="BE148" s="13">
        <f>BD148*VLOOKUP('Données projet'!$B$11,Paramètres!$A$1:$I$89,3,0)*VLOOKUP('Données projet'!$B$11,Paramètres!$A$1:$I$89,5,0)</f>
        <v>265.98</v>
      </c>
      <c r="BF148" s="13">
        <f t="shared" si="145"/>
        <v>63.995380422211589</v>
      </c>
      <c r="BG148" s="20">
        <f t="shared" si="115"/>
        <v>574.70712090201857</v>
      </c>
      <c r="BH148" s="59">
        <f t="shared" si="116"/>
        <v>868.04045423535194</v>
      </c>
      <c r="BI148" s="59">
        <f ca="1">AVERAGE(OFFSET($BH$3,0,0,'Données projet'!$E$11+1,1))-AVERAGE(OFFSET($H$3,0,0,'Données projet'!$E$11+1,1))</f>
        <v>250.90038883668348</v>
      </c>
      <c r="BJ148" s="59">
        <f t="shared" si="146"/>
        <v>141.96132114475608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27.466950627392531</v>
      </c>
      <c r="BQ148" s="21">
        <f>EXP(-LN(2)/25)*BQ147+(1-EXP(-LN(2)/25))/(LN(2)/25)*Calculateur!BL148*Calculateur!BN148*VLOOKUP('Données projet'!$B$11,Paramètres!$A$1:$I$89,3,0)*0.475*44/12</f>
        <v>0.49085543621200506</v>
      </c>
      <c r="BR148" s="21">
        <f>EXP(-LN(2)/2)*BR147+(1-EXP(-LN(2)/2))/(LN(2)/2)*BL148*BO148*VLOOKUP('Données projet'!$B$11,Paramètres!$A$1:$I$89,3,0)*0.475*44/12</f>
        <v>1.853726967769384E-17</v>
      </c>
      <c r="BS148" s="22">
        <f t="shared" si="117"/>
        <v>27.957806063604536</v>
      </c>
      <c r="BT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319</v>
      </c>
      <c r="BZ148" s="13">
        <f>BY148*VLOOKUP('Données projet'!$B$12,Paramètres!$A$1:$I$89,3,0)*VLOOKUP('Données projet'!$B$12,Paramètres!$A$1:$I$89,5,0)</f>
        <v>253.79640000000001</v>
      </c>
      <c r="CA148" s="13">
        <f t="shared" si="147"/>
        <v>61.39816832228076</v>
      </c>
      <c r="CB148" s="20">
        <f t="shared" si="118"/>
        <v>548.96387316130563</v>
      </c>
      <c r="CC148" s="59">
        <f t="shared" si="119"/>
        <v>842.29720649463889</v>
      </c>
      <c r="CD148" s="59">
        <f ca="1">AVERAGE(OFFSET($CC$3,0,0,'Données projet'!$E$12+1,1))-AVERAGE(OFFSET($H$3,0,0,'Données projet'!$E$12+1,1))</f>
        <v>279.49721661620544</v>
      </c>
      <c r="CE148" s="59">
        <f t="shared" si="148"/>
        <v>275.18739333988754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14.675623411039783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14.675623411039783</v>
      </c>
      <c r="CO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789</v>
      </c>
      <c r="CU148" s="17">
        <f>CT148*VLOOKUP('Données projet'!$B$13,Paramètres!$A$1:$I$89,3,0)*VLOOKUP('Données projet'!$B$13,Paramètres!$A$1:$I$89,5,0)</f>
        <v>389.76600000000002</v>
      </c>
      <c r="CV148" s="13">
        <f t="shared" si="149"/>
        <v>89.698759503620408</v>
      </c>
      <c r="CW148" s="20">
        <f t="shared" si="121"/>
        <v>835.06778946880547</v>
      </c>
      <c r="CX148" s="59">
        <f t="shared" si="122"/>
        <v>1128.4011228021388</v>
      </c>
      <c r="CY148" s="59">
        <f ca="1">AVERAGE(OFFSET($CX$3,0,0,'Données projet'!$E$13+1,1))-AVERAGE(OFFSET($H$3,0,0,'Données projet'!$E$13+1,1))</f>
        <v>396.27049617044378</v>
      </c>
      <c r="CZ148" s="59">
        <f t="shared" si="150"/>
        <v>335.2680289568774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39.782714597094248</v>
      </c>
      <c r="DG148" s="21">
        <f>EXP(-LN(2)/25)*DG147+(1-EXP(-LN(2)/25))/(LN(2)/25)*Calculateur!DB148*Calculateur!DD148*VLOOKUP('Données projet'!$B$13,Paramètres!$A$1:$I$89,3,0)*0.475*44/12</f>
        <v>1.9383587045959219</v>
      </c>
      <c r="DH148" s="21">
        <f>EXP(-LN(2)/2)*DH147+(1-EXP(-LN(2)/2))/(LN(2)/2)*DB148*DE148*VLOOKUP('Données projet'!$B$13,Paramètres!$A$1:$I$89,3,0)*0.475*44/12</f>
        <v>1.886732975619997E-18</v>
      </c>
      <c r="DI148" s="22">
        <f t="shared" si="123"/>
        <v>41.721073301690168</v>
      </c>
      <c r="DJ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541.99999999999989</v>
      </c>
      <c r="DP148" s="17">
        <f>DO148*VLOOKUP('Données projet'!$B$14,Paramètres!$A$1:$I$89,3,0)*VLOOKUP('Données projet'!$B$14,Paramètres!$A$1:$I$89,5,0)</f>
        <v>310.02399999999994</v>
      </c>
      <c r="DQ148" s="13">
        <f t="shared" si="151"/>
        <v>73.27384230442388</v>
      </c>
      <c r="DR148" s="20">
        <f t="shared" si="124"/>
        <v>667.57707534687154</v>
      </c>
      <c r="DS148" s="59">
        <f t="shared" si="125"/>
        <v>960.91040868020491</v>
      </c>
      <c r="DT148" s="59">
        <f ca="1">AVERAGE(OFFSET($DS$3,0,0,'Données projet'!$E$14+1,1))-AVERAGE(OFFSET($H$3,0,0,'Données projet'!$E$14+1,1))</f>
        <v>307.43900954374504</v>
      </c>
      <c r="DU148" s="59">
        <f t="shared" si="152"/>
        <v>185.25270859048999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31.632986310815951</v>
      </c>
      <c r="EB148" s="21">
        <f>EXP(-LN(2)/25)*EB147+(1-EXP(-LN(2)/25))/(LN(2)/25)*Calculateur!DW148*Calculateur!DY148*VLOOKUP('Données projet'!$B$14,Paramètres!$A$1:$I$89,3,0)*0.475*44/12</f>
        <v>1.1018038952439968</v>
      </c>
      <c r="EC148" s="21">
        <f>EXP(-LN(2)/2)*EC147+(1-EXP(-LN(2)/2))/(LN(2)/2)*DW148*DZ148*VLOOKUP('Données projet'!$B$14,Paramètres!$A$1:$I$89,3,0)*0.475*44/12</f>
        <v>1.787431240061049E-18</v>
      </c>
      <c r="ED148" s="22">
        <f t="shared" si="126"/>
        <v>32.734790206059948</v>
      </c>
      <c r="EE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401</v>
      </c>
      <c r="EK148" s="17">
        <f>EJ148*VLOOKUP('Données projet'!$B$15,Paramètres!$A$1:$I$89,3,0)*VLOOKUP('Données projet'!$B$15,Paramètres!$A$1:$I$89,5,0)</f>
        <v>250.22399999999999</v>
      </c>
      <c r="EL148" s="13">
        <f t="shared" si="153"/>
        <v>60.633904580527918</v>
      </c>
      <c r="EM148" s="20">
        <f t="shared" si="127"/>
        <v>541.41085047775289</v>
      </c>
      <c r="EN148" s="59">
        <f t="shared" si="128"/>
        <v>834.74418381108626</v>
      </c>
      <c r="EO148" s="59">
        <f ca="1">AVERAGE(OFFSET($EN$3,0,0,'Données projet'!$E$15+1,1))-AVERAGE(OFFSET($H$3,0,0,'Données projet'!$E$15+1,1))</f>
        <v>269.77739619445515</v>
      </c>
      <c r="EP148" s="59">
        <f t="shared" si="154"/>
        <v>347.56964743629885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14.224374186254577</v>
      </c>
      <c r="EW148" s="21">
        <f>EXP(-LN(2)/25)*EW147+(1-EXP(-LN(2)/25))/(LN(2)/25)*Calculateur!ER148*Calculateur!ET148*VLOOKUP('Données projet'!$B$15,Paramètres!$A$1:$I$89,3,0)*0.475*44/12</f>
        <v>3.7829546263946496</v>
      </c>
      <c r="EX148" s="21">
        <f>EXP(-LN(2)/2)*EX147+(1-EXP(-LN(2)/2))/(LN(2)/2)*ER148*EU148*VLOOKUP('Données projet'!$B$15,Paramètres!$A$1:$I$89,3,0)*0.475*44/12</f>
        <v>1.2187031182234427E-19</v>
      </c>
      <c r="EY148" s="22">
        <f t="shared" si="129"/>
        <v>18.007328812649227</v>
      </c>
      <c r="EZ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367.99999999999972</v>
      </c>
      <c r="FF148" s="17">
        <f>FE148*VLOOKUP('Données projet'!$B$16,Paramètres!$A$1:$I$89,3,0)*VLOOKUP('Données projet'!$B$16,Paramètres!$A$1:$I$89,5,0)</f>
        <v>292.78079999999977</v>
      </c>
      <c r="FG148" s="13">
        <f t="shared" si="155"/>
        <v>69.660903052386217</v>
      </c>
      <c r="FH148" s="20">
        <f t="shared" si="130"/>
        <v>631.25263281623893</v>
      </c>
      <c r="FI148" s="59">
        <f t="shared" si="131"/>
        <v>924.58596614957219</v>
      </c>
      <c r="FJ148" s="59">
        <f ca="1">AVERAGE(OFFSET($FI$3,0,0,'Données projet'!$E$16+1,1))-AVERAGE(OFFSET($H$3,0,0,'Données projet'!$E$16+1,1))</f>
        <v>331.52724290297675</v>
      </c>
      <c r="FK148" s="59">
        <f t="shared" si="156"/>
        <v>322.79102610158054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17.01200144719256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17.01200144719256</v>
      </c>
      <c r="FU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852.00000000000011</v>
      </c>
      <c r="GA148" s="17">
        <f>FZ148*VLOOKUP('Données projet'!$B$17,Paramètres!$A$1:$I$89,3,0)*VLOOKUP('Données projet'!$B$17,Paramètres!$A$1:$I$89,5,0)</f>
        <v>420.88800000000009</v>
      </c>
      <c r="GB148" s="13">
        <f t="shared" si="157"/>
        <v>95.998759891259041</v>
      </c>
      <c r="GC148" s="20">
        <f t="shared" si="133"/>
        <v>900.24444014394294</v>
      </c>
      <c r="GD148" s="59">
        <f t="shared" si="134"/>
        <v>1193.5777734772762</v>
      </c>
      <c r="GE148" s="59">
        <f ca="1">AVERAGE(OFFSET($GD$3,0,0,'Données projet'!$E$17+1,1))-AVERAGE(OFFSET($H$3,0,0,'Données projet'!$E$17+1,1))</f>
        <v>434.08297999735811</v>
      </c>
      <c r="GF148" s="59">
        <f t="shared" si="158"/>
        <v>371.04090283546122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43.891995954929698</v>
      </c>
      <c r="GM148" s="21">
        <f>EXP(-LN(2)/25)*GM147+(1-EXP(-LN(2)/25))/(LN(2)/25)*Calculateur!GH148*Calculateur!GJ148*VLOOKUP('Données projet'!$B$17,Paramètres!$A$1:$I$89,3,0)*0.475*44/12</f>
        <v>2.1321945750555149</v>
      </c>
      <c r="GN148" s="21">
        <f>EXP(-LN(2)/2)*GN147+(1-EXP(-LN(2)/2))/(LN(2)/2)*GH148*GK148*VLOOKUP('Données projet'!$B$17,Paramètres!$A$1:$I$89,3,0)*0.475*44/12</f>
        <v>3.6877053614390831E-18</v>
      </c>
      <c r="GO148" s="21">
        <f t="shared" si="135"/>
        <v>46.024190529985212</v>
      </c>
      <c r="GP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614.99999999999989</v>
      </c>
      <c r="GV148" s="17">
        <f>GU148*VLOOKUP('Données projet'!$B$18,Paramètres!$A$1:$I$89,3,0)*VLOOKUP('Données projet'!$B$18,Paramètres!$A$1:$I$89,5,0)</f>
        <v>351.78</v>
      </c>
      <c r="GW148" s="13">
        <f t="shared" si="159"/>
        <v>81.92892344316067</v>
      </c>
      <c r="GX148" s="20">
        <f t="shared" si="136"/>
        <v>755.37637499683808</v>
      </c>
      <c r="GY148" s="59">
        <f t="shared" si="137"/>
        <v>1048.7097083301715</v>
      </c>
      <c r="GZ148" s="59">
        <f ca="1">AVERAGE(OFFSET($GY$3,0,0,'Données projet'!$E$18+1,1))-AVERAGE(OFFSET($H$3,0,0,'Données projet'!$E$18+1,1))</f>
        <v>362.57172983134313</v>
      </c>
      <c r="HA148" s="59">
        <f t="shared" si="160"/>
        <v>232.03250917542471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35.672357999812846</v>
      </c>
      <c r="HH148" s="21">
        <f>EXP(-LN(2)/25)*HH147+(1-EXP(-LN(2)/25))/(LN(2)/25)*Calculateur!HC148*Calculateur!HE148*VLOOKUP('Données projet'!$B$18,Paramètres!$A$1:$I$89,3,0)*0.475*44/12</f>
        <v>1.2854378777846647</v>
      </c>
      <c r="HI148" s="21">
        <f>EXP(-LN(2)/2)*HI147+(1-EXP(-LN(2)/2))/(LN(2)/2)*HC148*HF148*VLOOKUP('Données projet'!$B$18,Paramètres!$A$1:$I$89,3,0)*0.475*44/12</f>
        <v>3.6741642156810441E-18</v>
      </c>
      <c r="HJ148" s="22">
        <f t="shared" si="138"/>
        <v>36.957795877597512</v>
      </c>
    </row>
    <row r="149" spans="1:218" x14ac:dyDescent="0.3">
      <c r="A149" s="10">
        <f t="shared" si="139"/>
        <v>146</v>
      </c>
      <c r="B149" s="71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5">
        <f t="shared" si="110"/>
        <v>450.00595248268087</v>
      </c>
      <c r="I149" s="6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266.99999999999983</v>
      </c>
      <c r="O149" s="13">
        <f>N149*VLOOKUP('Données projet'!$B$9,Paramètres!$A$1:$I$89,3,0)*VLOOKUP('Données projet'!$B$9,Paramètres!$A$1:$I$89,5,0)</f>
        <v>212.42519999999985</v>
      </c>
      <c r="P149" s="13">
        <f t="shared" si="141"/>
        <v>52.465198231787184</v>
      </c>
      <c r="Q149" s="20">
        <f t="shared" si="108"/>
        <v>461.35077692036231</v>
      </c>
      <c r="R149" s="59">
        <f t="shared" si="109"/>
        <v>754.68411025369562</v>
      </c>
      <c r="S149" s="59">
        <f ca="1">AVERAGE(OFFSET($R$3,0,0,'Données projet'!$E$9+1,1))-AVERAGE(OFFSET($H$3,0,0,'Données projet'!$E$9+1,1))</f>
        <v>225.2323446080772</v>
      </c>
      <c r="T149" s="59">
        <f t="shared" si="142"/>
        <v>222.29030402759292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11.740884761118862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11.740884761118862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732.99999999999966</v>
      </c>
      <c r="AJ149" s="13">
        <f>AI149*VLOOKUP('Données projet'!$B$10,Paramètres!$A$1:$I$89,3,0)*VLOOKUP('Données projet'!$B$10,Paramètres!$A$1:$I$89,5,0)</f>
        <v>362.1019999999998</v>
      </c>
      <c r="AK149" s="13">
        <f t="shared" si="143"/>
        <v>84.049487364732272</v>
      </c>
      <c r="AL149" s="20">
        <f t="shared" si="112"/>
        <v>777.04717382690842</v>
      </c>
      <c r="AM149" s="59">
        <f t="shared" si="113"/>
        <v>1070.3805071602417</v>
      </c>
      <c r="AN149" s="59">
        <f ca="1">AVERAGE(OFFSET($AM$3,0,0,'Données projet'!$E$10+1,1))-AVERAGE(OFFSET($H$3,0,0,'Données projet'!$E$10+1,1))</f>
        <v>360.05819346986135</v>
      </c>
      <c r="AO149" s="59">
        <f t="shared" si="144"/>
        <v>300.47468388351081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35.159774133401307</v>
      </c>
      <c r="AV149" s="21">
        <f>EXP(-LN(2)/25)*AV148+(1-EXP(-LN(2)/25))/(LN(2)/25)*Calculateur!AQ149*Calculateur!AS149*VLOOKUP('Données projet'!$B$10,Paramètres!$A$1:$I$89,3,0)*0.475*44/12</f>
        <v>1.6968187654964009</v>
      </c>
      <c r="AW149" s="21">
        <f>EXP(-LN(2)/2)*AW148+(1-EXP(-LN(2)/2))/(LN(2)/2)*AQ149*AT149*VLOOKUP('Données projet'!$B$10,Paramètres!$A$1:$I$89,3,0)*0.475*44/12</f>
        <v>1.8192568382034165E-19</v>
      </c>
      <c r="AX149" s="21">
        <f t="shared" si="114"/>
        <v>36.856592898897709</v>
      </c>
      <c r="AY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465.00000000000006</v>
      </c>
      <c r="BE149" s="13">
        <f>BD149*VLOOKUP('Données projet'!$B$11,Paramètres!$A$1:$I$89,3,0)*VLOOKUP('Données projet'!$B$11,Paramètres!$A$1:$I$89,5,0)</f>
        <v>265.98</v>
      </c>
      <c r="BF149" s="13">
        <f t="shared" si="145"/>
        <v>63.995380422211589</v>
      </c>
      <c r="BG149" s="20">
        <f t="shared" si="115"/>
        <v>574.70712090201857</v>
      </c>
      <c r="BH149" s="59">
        <f t="shared" si="116"/>
        <v>868.04045423535194</v>
      </c>
      <c r="BI149" s="59">
        <f ca="1">AVERAGE(OFFSET($BH$3,0,0,'Données projet'!$E$11+1,1))-AVERAGE(OFFSET($H$3,0,0,'Données projet'!$E$11+1,1))</f>
        <v>250.90038883668348</v>
      </c>
      <c r="BJ149" s="59">
        <f t="shared" si="146"/>
        <v>141.96132114475608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26.928340478775006</v>
      </c>
      <c r="BQ149" s="21">
        <f>EXP(-LN(2)/25)*BQ148+(1-EXP(-LN(2)/25))/(LN(2)/25)*Calculateur!BL149*Calculateur!BN149*VLOOKUP('Données projet'!$B$11,Paramètres!$A$1:$I$89,3,0)*0.475*44/12</f>
        <v>0.47743296849582223</v>
      </c>
      <c r="BR149" s="21">
        <f>EXP(-LN(2)/2)*BR148+(1-EXP(-LN(2)/2))/(LN(2)/2)*BL149*BO149*VLOOKUP('Données projet'!$B$11,Paramètres!$A$1:$I$89,3,0)*0.475*44/12</f>
        <v>1.310782909378108E-17</v>
      </c>
      <c r="BS149" s="22">
        <f t="shared" si="117"/>
        <v>27.405773447270828</v>
      </c>
      <c r="BT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319</v>
      </c>
      <c r="BZ149" s="13">
        <f>BY149*VLOOKUP('Données projet'!$B$12,Paramètres!$A$1:$I$89,3,0)*VLOOKUP('Données projet'!$B$12,Paramètres!$A$1:$I$89,5,0)</f>
        <v>253.79640000000001</v>
      </c>
      <c r="CA149" s="13">
        <f t="shared" si="147"/>
        <v>61.39816832228076</v>
      </c>
      <c r="CB149" s="20">
        <f t="shared" si="118"/>
        <v>548.96387316130563</v>
      </c>
      <c r="CC149" s="59">
        <f t="shared" si="119"/>
        <v>842.29720649463889</v>
      </c>
      <c r="CD149" s="59">
        <f ca="1">AVERAGE(OFFSET($CC$3,0,0,'Données projet'!$E$12+1,1))-AVERAGE(OFFSET($H$3,0,0,'Données projet'!$E$12+1,1))</f>
        <v>279.49721661620544</v>
      </c>
      <c r="CE149" s="59">
        <f t="shared" si="148"/>
        <v>275.18739333988754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14.387843387195712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14.387843387195712</v>
      </c>
      <c r="CO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789</v>
      </c>
      <c r="CU149" s="17">
        <f>CT149*VLOOKUP('Données projet'!$B$13,Paramètres!$A$1:$I$89,3,0)*VLOOKUP('Données projet'!$B$13,Paramètres!$A$1:$I$89,5,0)</f>
        <v>389.76600000000002</v>
      </c>
      <c r="CV149" s="13">
        <f t="shared" si="149"/>
        <v>89.698759503620408</v>
      </c>
      <c r="CW149" s="20">
        <f t="shared" si="121"/>
        <v>835.06778946880547</v>
      </c>
      <c r="CX149" s="59">
        <f t="shared" si="122"/>
        <v>1128.4011228021388</v>
      </c>
      <c r="CY149" s="59">
        <f ca="1">AVERAGE(OFFSET($CX$3,0,0,'Données projet'!$E$13+1,1))-AVERAGE(OFFSET($H$3,0,0,'Données projet'!$E$13+1,1))</f>
        <v>396.27049617044378</v>
      </c>
      <c r="CZ149" s="59">
        <f t="shared" si="150"/>
        <v>335.2680289568774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39.002599828905161</v>
      </c>
      <c r="DG149" s="21">
        <f>EXP(-LN(2)/25)*DG148+(1-EXP(-LN(2)/25))/(LN(2)/25)*Calculateur!DB149*Calculateur!DD149*VLOOKUP('Données projet'!$B$13,Paramètres!$A$1:$I$89,3,0)*0.475*44/12</f>
        <v>1.8853541838848922</v>
      </c>
      <c r="DH149" s="21">
        <f>EXP(-LN(2)/2)*DH148+(1-EXP(-LN(2)/2))/(LN(2)/2)*DB149*DE149*VLOOKUP('Données projet'!$B$13,Paramètres!$A$1:$I$89,3,0)*0.475*44/12</f>
        <v>1.3341216813491729E-18</v>
      </c>
      <c r="DI149" s="22">
        <f t="shared" si="123"/>
        <v>40.887954012790054</v>
      </c>
      <c r="DJ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541.99999999999989</v>
      </c>
      <c r="DP149" s="17">
        <f>DO149*VLOOKUP('Données projet'!$B$14,Paramètres!$A$1:$I$89,3,0)*VLOOKUP('Données projet'!$B$14,Paramètres!$A$1:$I$89,5,0)</f>
        <v>310.02399999999994</v>
      </c>
      <c r="DQ149" s="13">
        <f t="shared" si="151"/>
        <v>73.27384230442388</v>
      </c>
      <c r="DR149" s="20">
        <f t="shared" si="124"/>
        <v>667.57707534687154</v>
      </c>
      <c r="DS149" s="59">
        <f t="shared" si="125"/>
        <v>960.91040868020491</v>
      </c>
      <c r="DT149" s="59">
        <f ca="1">AVERAGE(OFFSET($DS$3,0,0,'Données projet'!$E$14+1,1))-AVERAGE(OFFSET($H$3,0,0,'Données projet'!$E$14+1,1))</f>
        <v>307.43900954374504</v>
      </c>
      <c r="DU149" s="59">
        <f t="shared" si="152"/>
        <v>185.25270859048999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31.012682743477356</v>
      </c>
      <c r="EB149" s="21">
        <f>EXP(-LN(2)/25)*EB148+(1-EXP(-LN(2)/25))/(LN(2)/25)*Calculateur!DW149*Calculateur!DY149*VLOOKUP('Données projet'!$B$14,Paramètres!$A$1:$I$89,3,0)*0.475*44/12</f>
        <v>1.071675009787201</v>
      </c>
      <c r="EC149" s="21">
        <f>EXP(-LN(2)/2)*EC148+(1-EXP(-LN(2)/2))/(LN(2)/2)*DW149*DZ149*VLOOKUP('Données projet'!$B$14,Paramètres!$A$1:$I$89,3,0)*0.475*44/12</f>
        <v>1.2639047507518475E-18</v>
      </c>
      <c r="ED149" s="22">
        <f t="shared" si="126"/>
        <v>32.084357753264555</v>
      </c>
      <c r="EE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401</v>
      </c>
      <c r="EK149" s="17">
        <f>EJ149*VLOOKUP('Données projet'!$B$15,Paramètres!$A$1:$I$89,3,0)*VLOOKUP('Données projet'!$B$15,Paramètres!$A$1:$I$89,5,0)</f>
        <v>250.22399999999999</v>
      </c>
      <c r="EL149" s="13">
        <f t="shared" si="153"/>
        <v>60.633904580527918</v>
      </c>
      <c r="EM149" s="20">
        <f t="shared" si="127"/>
        <v>541.41085047775289</v>
      </c>
      <c r="EN149" s="59">
        <f t="shared" si="128"/>
        <v>834.74418381108626</v>
      </c>
      <c r="EO149" s="59">
        <f ca="1">AVERAGE(OFFSET($EN$3,0,0,'Données projet'!$E$15+1,1))-AVERAGE(OFFSET($H$3,0,0,'Données projet'!$E$15+1,1))</f>
        <v>269.77739619445515</v>
      </c>
      <c r="EP149" s="59">
        <f t="shared" si="154"/>
        <v>347.56964743629885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13.945442884473694</v>
      </c>
      <c r="EW149" s="21">
        <f>EXP(-LN(2)/25)*EW148+(1-EXP(-LN(2)/25))/(LN(2)/25)*Calculateur!ER149*Calculateur!ET149*VLOOKUP('Données projet'!$B$15,Paramètres!$A$1:$I$89,3,0)*0.475*44/12</f>
        <v>3.6795095331989502</v>
      </c>
      <c r="EX149" s="21">
        <f>EXP(-LN(2)/2)*EX148+(1-EXP(-LN(2)/2))/(LN(2)/2)*ER149*EU149*VLOOKUP('Données projet'!$B$15,Paramètres!$A$1:$I$89,3,0)*0.475*44/12</f>
        <v>8.6175323914898705E-20</v>
      </c>
      <c r="EY149" s="22">
        <f t="shared" si="129"/>
        <v>17.624952417672645</v>
      </c>
      <c r="EZ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367.99999999999972</v>
      </c>
      <c r="FF149" s="17">
        <f>FE149*VLOOKUP('Données projet'!$B$16,Paramètres!$A$1:$I$89,3,0)*VLOOKUP('Données projet'!$B$16,Paramètres!$A$1:$I$89,5,0)</f>
        <v>292.78079999999977</v>
      </c>
      <c r="FG149" s="13">
        <f t="shared" si="155"/>
        <v>69.660903052386217</v>
      </c>
      <c r="FH149" s="20">
        <f t="shared" si="130"/>
        <v>631.25263281623893</v>
      </c>
      <c r="FI149" s="59">
        <f t="shared" si="131"/>
        <v>924.58596614957219</v>
      </c>
      <c r="FJ149" s="59">
        <f ca="1">AVERAGE(OFFSET($FI$3,0,0,'Données projet'!$E$16+1,1))-AVERAGE(OFFSET($H$3,0,0,'Données projet'!$E$16+1,1))</f>
        <v>331.52724290297675</v>
      </c>
      <c r="FK149" s="59">
        <f t="shared" si="156"/>
        <v>322.79102610158054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16.678406475109423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16.678406475109423</v>
      </c>
      <c r="FU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852.00000000000011</v>
      </c>
      <c r="GA149" s="17">
        <f>FZ149*VLOOKUP('Données projet'!$B$17,Paramètres!$A$1:$I$89,3,0)*VLOOKUP('Données projet'!$B$17,Paramètres!$A$1:$I$89,5,0)</f>
        <v>420.88800000000009</v>
      </c>
      <c r="GB149" s="13">
        <f t="shared" si="157"/>
        <v>95.998759891259041</v>
      </c>
      <c r="GC149" s="20">
        <f t="shared" si="133"/>
        <v>900.24444014394294</v>
      </c>
      <c r="GD149" s="59">
        <f t="shared" si="134"/>
        <v>1193.5777734772762</v>
      </c>
      <c r="GE149" s="59">
        <f ca="1">AVERAGE(OFFSET($GD$3,0,0,'Données projet'!$E$17+1,1))-AVERAGE(OFFSET($H$3,0,0,'Données projet'!$E$17+1,1))</f>
        <v>434.08297999735811</v>
      </c>
      <c r="GF149" s="59">
        <f t="shared" si="158"/>
        <v>371.04090283546122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43.031300685727594</v>
      </c>
      <c r="GM149" s="21">
        <f>EXP(-LN(2)/25)*GM148+(1-EXP(-LN(2)/25))/(LN(2)/25)*Calculateur!GH149*Calculateur!GJ149*VLOOKUP('Données projet'!$B$17,Paramètres!$A$1:$I$89,3,0)*0.475*44/12</f>
        <v>2.0738896022733821</v>
      </c>
      <c r="GN149" s="21">
        <f>EXP(-LN(2)/2)*GN148+(1-EXP(-LN(2)/2))/(LN(2)/2)*GH149*GK149*VLOOKUP('Données projet'!$B$17,Paramètres!$A$1:$I$89,3,0)*0.475*44/12</f>
        <v>2.6076014680915639E-18</v>
      </c>
      <c r="GO149" s="21">
        <f t="shared" si="135"/>
        <v>45.105190288000976</v>
      </c>
      <c r="GP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614.99999999999989</v>
      </c>
      <c r="GV149" s="17">
        <f>GU149*VLOOKUP('Données projet'!$B$18,Paramètres!$A$1:$I$89,3,0)*VLOOKUP('Données projet'!$B$18,Paramètres!$A$1:$I$89,5,0)</f>
        <v>351.78</v>
      </c>
      <c r="GW149" s="13">
        <f t="shared" si="159"/>
        <v>81.92892344316067</v>
      </c>
      <c r="GX149" s="20">
        <f t="shared" si="136"/>
        <v>755.37637499683808</v>
      </c>
      <c r="GY149" s="59">
        <f t="shared" si="137"/>
        <v>1048.7097083301715</v>
      </c>
      <c r="GZ149" s="59">
        <f ca="1">AVERAGE(OFFSET($GY$3,0,0,'Données projet'!$E$18+1,1))-AVERAGE(OFFSET($H$3,0,0,'Données projet'!$E$18+1,1))</f>
        <v>362.57172983134313</v>
      </c>
      <c r="HA149" s="59">
        <f t="shared" si="160"/>
        <v>232.03250917542471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34.97284481742647</v>
      </c>
      <c r="HH149" s="21">
        <f>EXP(-LN(2)/25)*HH148+(1-EXP(-LN(2)/25))/(LN(2)/25)*Calculateur!HC149*Calculateur!HE149*VLOOKUP('Données projet'!$B$18,Paramètres!$A$1:$I$89,3,0)*0.475*44/12</f>
        <v>1.2502875114184029</v>
      </c>
      <c r="HI149" s="21">
        <f>EXP(-LN(2)/2)*HI148+(1-EXP(-LN(2)/2))/(LN(2)/2)*HC149*HF149*VLOOKUP('Données projet'!$B$18,Paramètres!$A$1:$I$89,3,0)*0.475*44/12</f>
        <v>2.5980264321010191E-18</v>
      </c>
      <c r="HJ149" s="22">
        <f t="shared" si="138"/>
        <v>36.223132328844869</v>
      </c>
    </row>
    <row r="150" spans="1:218" x14ac:dyDescent="0.3">
      <c r="A150" s="10">
        <f t="shared" si="139"/>
        <v>147</v>
      </c>
      <c r="B150" s="71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5">
        <f t="shared" si="110"/>
        <v>451.05157419889701</v>
      </c>
      <c r="I150" s="6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266.99999999999983</v>
      </c>
      <c r="O150" s="13">
        <f>N150*VLOOKUP('Données projet'!$B$9,Paramètres!$A$1:$I$89,3,0)*VLOOKUP('Données projet'!$B$9,Paramètres!$A$1:$I$89,5,0)</f>
        <v>212.42519999999985</v>
      </c>
      <c r="P150" s="13">
        <f t="shared" si="141"/>
        <v>52.465198231787184</v>
      </c>
      <c r="Q150" s="20">
        <f t="shared" si="108"/>
        <v>461.35077692036231</v>
      </c>
      <c r="R150" s="59">
        <f t="shared" si="109"/>
        <v>754.68411025369562</v>
      </c>
      <c r="S150" s="59">
        <f ca="1">AVERAGE(OFFSET($R$3,0,0,'Données projet'!$E$9+1,1))-AVERAGE(OFFSET($H$3,0,0,'Données projet'!$E$9+1,1))</f>
        <v>225.2323446080772</v>
      </c>
      <c r="T150" s="59">
        <f t="shared" si="142"/>
        <v>222.29030402759292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11.510653172185911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11.510653172185911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732.99999999999966</v>
      </c>
      <c r="AJ150" s="13">
        <f>AI150*VLOOKUP('Données projet'!$B$10,Paramètres!$A$1:$I$89,3,0)*VLOOKUP('Données projet'!$B$10,Paramètres!$A$1:$I$89,5,0)</f>
        <v>362.1019999999998</v>
      </c>
      <c r="AK150" s="13">
        <f t="shared" si="143"/>
        <v>84.049487364732272</v>
      </c>
      <c r="AL150" s="20">
        <f t="shared" si="112"/>
        <v>777.04717382690842</v>
      </c>
      <c r="AM150" s="59">
        <f t="shared" si="113"/>
        <v>1070.3805071602417</v>
      </c>
      <c r="AN150" s="59">
        <f ca="1">AVERAGE(OFFSET($AM$3,0,0,'Données projet'!$E$10+1,1))-AVERAGE(OFFSET($H$3,0,0,'Données projet'!$E$10+1,1))</f>
        <v>360.05819346986135</v>
      </c>
      <c r="AO150" s="59">
        <f t="shared" si="144"/>
        <v>300.47468388351081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34.470312407989979</v>
      </c>
      <c r="AV150" s="21">
        <f>EXP(-LN(2)/25)*AV149+(1-EXP(-LN(2)/25))/(LN(2)/25)*Calculateur!AQ150*Calculateur!AS150*VLOOKUP('Données projet'!$B$10,Paramètres!$A$1:$I$89,3,0)*0.475*44/12</f>
        <v>1.6504191671220811</v>
      </c>
      <c r="AW150" s="21">
        <f>EXP(-LN(2)/2)*AW149+(1-EXP(-LN(2)/2))/(LN(2)/2)*AQ150*AT150*VLOOKUP('Données projet'!$B$10,Paramètres!$A$1:$I$89,3,0)*0.475*44/12</f>
        <v>1.2864088470136335E-19</v>
      </c>
      <c r="AX150" s="21">
        <f t="shared" si="114"/>
        <v>36.12073157511206</v>
      </c>
      <c r="AY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465.00000000000006</v>
      </c>
      <c r="BE150" s="13">
        <f>BD150*VLOOKUP('Données projet'!$B$11,Paramètres!$A$1:$I$89,3,0)*VLOOKUP('Données projet'!$B$11,Paramètres!$A$1:$I$89,5,0)</f>
        <v>265.98</v>
      </c>
      <c r="BF150" s="13">
        <f t="shared" si="145"/>
        <v>63.995380422211589</v>
      </c>
      <c r="BG150" s="20">
        <f t="shared" si="115"/>
        <v>574.70712090201857</v>
      </c>
      <c r="BH150" s="59">
        <f t="shared" si="116"/>
        <v>868.04045423535194</v>
      </c>
      <c r="BI150" s="59">
        <f ca="1">AVERAGE(OFFSET($BH$3,0,0,'Données projet'!$E$11+1,1))-AVERAGE(OFFSET($H$3,0,0,'Données projet'!$E$11+1,1))</f>
        <v>250.90038883668348</v>
      </c>
      <c r="BJ150" s="59">
        <f t="shared" si="146"/>
        <v>141.96132114475608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26.40029214665212</v>
      </c>
      <c r="BQ150" s="21">
        <f>EXP(-LN(2)/25)*BQ149+(1-EXP(-LN(2)/25))/(LN(2)/25)*Calculateur!BL150*Calculateur!BN150*VLOOKUP('Données projet'!$B$11,Paramètres!$A$1:$I$89,3,0)*0.475*44/12</f>
        <v>0.46437753886519534</v>
      </c>
      <c r="BR150" s="21">
        <f>EXP(-LN(2)/2)*BR149+(1-EXP(-LN(2)/2))/(LN(2)/2)*BL150*BO150*VLOOKUP('Données projet'!$B$11,Paramètres!$A$1:$I$89,3,0)*0.475*44/12</f>
        <v>9.2686348388469198E-18</v>
      </c>
      <c r="BS150" s="22">
        <f t="shared" si="117"/>
        <v>26.864669685517317</v>
      </c>
      <c r="BT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319</v>
      </c>
      <c r="BZ150" s="13">
        <f>BY150*VLOOKUP('Données projet'!$B$12,Paramètres!$A$1:$I$89,3,0)*VLOOKUP('Données projet'!$B$12,Paramètres!$A$1:$I$89,5,0)</f>
        <v>253.79640000000001</v>
      </c>
      <c r="CA150" s="13">
        <f t="shared" si="147"/>
        <v>61.39816832228076</v>
      </c>
      <c r="CB150" s="20">
        <f t="shared" si="118"/>
        <v>548.96387316130563</v>
      </c>
      <c r="CC150" s="59">
        <f t="shared" si="119"/>
        <v>842.29720649463889</v>
      </c>
      <c r="CD150" s="59">
        <f ca="1">AVERAGE(OFFSET($CC$3,0,0,'Données projet'!$E$12+1,1))-AVERAGE(OFFSET($H$3,0,0,'Données projet'!$E$12+1,1))</f>
        <v>279.49721661620544</v>
      </c>
      <c r="CE150" s="59">
        <f t="shared" si="148"/>
        <v>275.18739333988754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14.105706554090741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14.105706554090741</v>
      </c>
      <c r="CO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789</v>
      </c>
      <c r="CU150" s="17">
        <f>CT150*VLOOKUP('Données projet'!$B$13,Paramètres!$A$1:$I$89,3,0)*VLOOKUP('Données projet'!$B$13,Paramètres!$A$1:$I$89,5,0)</f>
        <v>389.76600000000002</v>
      </c>
      <c r="CV150" s="13">
        <f t="shared" si="149"/>
        <v>89.698759503620408</v>
      </c>
      <c r="CW150" s="20">
        <f t="shared" si="121"/>
        <v>835.06778946880547</v>
      </c>
      <c r="CX150" s="59">
        <f t="shared" si="122"/>
        <v>1128.4011228021388</v>
      </c>
      <c r="CY150" s="59">
        <f ca="1">AVERAGE(OFFSET($CX$3,0,0,'Données projet'!$E$13+1,1))-AVERAGE(OFFSET($H$3,0,0,'Données projet'!$E$13+1,1))</f>
        <v>396.27049617044378</v>
      </c>
      <c r="CZ150" s="59">
        <f t="shared" si="150"/>
        <v>335.2680289568774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38.237782635497233</v>
      </c>
      <c r="DG150" s="21">
        <f>EXP(-LN(2)/25)*DG149+(1-EXP(-LN(2)/25))/(LN(2)/25)*Calculateur!DB150*Calculateur!DD150*VLOOKUP('Données projet'!$B$13,Paramètres!$A$1:$I$89,3,0)*0.475*44/12</f>
        <v>1.8337990745800923</v>
      </c>
      <c r="DH150" s="21">
        <f>EXP(-LN(2)/2)*DH149+(1-EXP(-LN(2)/2))/(LN(2)/2)*DB150*DE150*VLOOKUP('Données projet'!$B$13,Paramètres!$A$1:$I$89,3,0)*0.475*44/12</f>
        <v>9.433664878099985E-19</v>
      </c>
      <c r="DI150" s="22">
        <f t="shared" si="123"/>
        <v>40.071581710077325</v>
      </c>
      <c r="DJ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541.99999999999989</v>
      </c>
      <c r="DP150" s="17">
        <f>DO150*VLOOKUP('Données projet'!$B$14,Paramètres!$A$1:$I$89,3,0)*VLOOKUP('Données projet'!$B$14,Paramètres!$A$1:$I$89,5,0)</f>
        <v>310.02399999999994</v>
      </c>
      <c r="DQ150" s="13">
        <f t="shared" si="151"/>
        <v>73.27384230442388</v>
      </c>
      <c r="DR150" s="20">
        <f t="shared" si="124"/>
        <v>667.57707534687154</v>
      </c>
      <c r="DS150" s="59">
        <f t="shared" si="125"/>
        <v>960.91040868020491</v>
      </c>
      <c r="DT150" s="59">
        <f ca="1">AVERAGE(OFFSET($DS$3,0,0,'Données projet'!$E$14+1,1))-AVERAGE(OFFSET($H$3,0,0,'Données projet'!$E$14+1,1))</f>
        <v>307.43900954374504</v>
      </c>
      <c r="DU150" s="59">
        <f t="shared" si="152"/>
        <v>185.25270859048999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30.404542950746453</v>
      </c>
      <c r="EB150" s="21">
        <f>EXP(-LN(2)/25)*EB149+(1-EXP(-LN(2)/25))/(LN(2)/25)*Calculateur!DW150*Calculateur!DY150*VLOOKUP('Données projet'!$B$14,Paramètres!$A$1:$I$89,3,0)*0.475*44/12</f>
        <v>1.0423700002876306</v>
      </c>
      <c r="EC150" s="21">
        <f>EXP(-LN(2)/2)*EC149+(1-EXP(-LN(2)/2))/(LN(2)/2)*DW150*DZ150*VLOOKUP('Données projet'!$B$14,Paramètres!$A$1:$I$89,3,0)*0.475*44/12</f>
        <v>8.9371562003052449E-19</v>
      </c>
      <c r="ED150" s="22">
        <f t="shared" si="126"/>
        <v>31.446912951034083</v>
      </c>
      <c r="EE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401</v>
      </c>
      <c r="EK150" s="17">
        <f>EJ150*VLOOKUP('Données projet'!$B$15,Paramètres!$A$1:$I$89,3,0)*VLOOKUP('Données projet'!$B$15,Paramètres!$A$1:$I$89,5,0)</f>
        <v>250.22399999999999</v>
      </c>
      <c r="EL150" s="13">
        <f t="shared" si="153"/>
        <v>60.633904580527918</v>
      </c>
      <c r="EM150" s="20">
        <f t="shared" si="127"/>
        <v>541.41085047775289</v>
      </c>
      <c r="EN150" s="59">
        <f t="shared" si="128"/>
        <v>834.74418381108626</v>
      </c>
      <c r="EO150" s="59">
        <f ca="1">AVERAGE(OFFSET($EN$3,0,0,'Données projet'!$E$15+1,1))-AVERAGE(OFFSET($H$3,0,0,'Données projet'!$E$15+1,1))</f>
        <v>269.77739619445515</v>
      </c>
      <c r="EP150" s="59">
        <f t="shared" si="154"/>
        <v>347.56964743629885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13.671981255389438</v>
      </c>
      <c r="EW150" s="21">
        <f>EXP(-LN(2)/25)*EW149+(1-EXP(-LN(2)/25))/(LN(2)/25)*Calculateur!ER150*Calculateur!ET150*VLOOKUP('Données projet'!$B$15,Paramètres!$A$1:$I$89,3,0)*0.475*44/12</f>
        <v>3.578893151516628</v>
      </c>
      <c r="EX150" s="21">
        <f>EXP(-LN(2)/2)*EX149+(1-EXP(-LN(2)/2))/(LN(2)/2)*ER150*EU150*VLOOKUP('Données projet'!$B$15,Paramètres!$A$1:$I$89,3,0)*0.475*44/12</f>
        <v>6.0935155911172133E-20</v>
      </c>
      <c r="EY150" s="22">
        <f t="shared" si="129"/>
        <v>17.250874406906068</v>
      </c>
      <c r="EZ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367.99999999999972</v>
      </c>
      <c r="FF150" s="17">
        <f>FE150*VLOOKUP('Données projet'!$B$16,Paramètres!$A$1:$I$89,3,0)*VLOOKUP('Données projet'!$B$16,Paramètres!$A$1:$I$89,5,0)</f>
        <v>292.78079999999977</v>
      </c>
      <c r="FG150" s="13">
        <f t="shared" si="155"/>
        <v>69.660903052386217</v>
      </c>
      <c r="FH150" s="20">
        <f t="shared" si="130"/>
        <v>631.25263281623893</v>
      </c>
      <c r="FI150" s="59">
        <f t="shared" si="131"/>
        <v>924.58596614957219</v>
      </c>
      <c r="FJ150" s="59">
        <f ca="1">AVERAGE(OFFSET($FI$3,0,0,'Données projet'!$E$16+1,1))-AVERAGE(OFFSET($H$3,0,0,'Données projet'!$E$16+1,1))</f>
        <v>331.52724290297675</v>
      </c>
      <c r="FK150" s="59">
        <f t="shared" si="156"/>
        <v>322.79102610158054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16.351353096955993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16.351353096955993</v>
      </c>
      <c r="FU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852.00000000000011</v>
      </c>
      <c r="GA150" s="17">
        <f>FZ150*VLOOKUP('Données projet'!$B$17,Paramètres!$A$1:$I$89,3,0)*VLOOKUP('Données projet'!$B$17,Paramètres!$A$1:$I$89,5,0)</f>
        <v>420.88800000000009</v>
      </c>
      <c r="GB150" s="13">
        <f t="shared" si="157"/>
        <v>95.998759891259041</v>
      </c>
      <c r="GC150" s="20">
        <f t="shared" si="133"/>
        <v>900.24444014394294</v>
      </c>
      <c r="GD150" s="59">
        <f t="shared" si="134"/>
        <v>1193.5777734772762</v>
      </c>
      <c r="GE150" s="59">
        <f ca="1">AVERAGE(OFFSET($GD$3,0,0,'Données projet'!$E$17+1,1))-AVERAGE(OFFSET($H$3,0,0,'Données projet'!$E$17+1,1))</f>
        <v>434.08297999735811</v>
      </c>
      <c r="GF150" s="59">
        <f t="shared" si="158"/>
        <v>371.04090283546122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42.187483125782265</v>
      </c>
      <c r="GM150" s="21">
        <f>EXP(-LN(2)/25)*GM149+(1-EXP(-LN(2)/25))/(LN(2)/25)*Calculateur!GH150*Calculateur!GJ150*VLOOKUP('Données projet'!$B$17,Paramètres!$A$1:$I$89,3,0)*0.475*44/12</f>
        <v>2.0171789820381023</v>
      </c>
      <c r="GN150" s="21">
        <f>EXP(-LN(2)/2)*GN149+(1-EXP(-LN(2)/2))/(LN(2)/2)*GH150*GK150*VLOOKUP('Données projet'!$B$17,Paramètres!$A$1:$I$89,3,0)*0.475*44/12</f>
        <v>1.8438526807195415E-18</v>
      </c>
      <c r="GO150" s="21">
        <f t="shared" si="135"/>
        <v>44.204662107820369</v>
      </c>
      <c r="GP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614.99999999999989</v>
      </c>
      <c r="GV150" s="17">
        <f>GU150*VLOOKUP('Données projet'!$B$18,Paramètres!$A$1:$I$89,3,0)*VLOOKUP('Données projet'!$B$18,Paramètres!$A$1:$I$89,5,0)</f>
        <v>351.78</v>
      </c>
      <c r="GW150" s="13">
        <f t="shared" si="159"/>
        <v>81.92892344316067</v>
      </c>
      <c r="GX150" s="20">
        <f t="shared" si="136"/>
        <v>755.37637499683808</v>
      </c>
      <c r="GY150" s="59">
        <f t="shared" si="137"/>
        <v>1048.7097083301715</v>
      </c>
      <c r="GZ150" s="59">
        <f ca="1">AVERAGE(OFFSET($GY$3,0,0,'Données projet'!$E$18+1,1))-AVERAGE(OFFSET($H$3,0,0,'Données projet'!$E$18+1,1))</f>
        <v>362.57172983134313</v>
      </c>
      <c r="HA150" s="59">
        <f t="shared" si="160"/>
        <v>232.03250917542471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34.287048661885784</v>
      </c>
      <c r="HH150" s="21">
        <f>EXP(-LN(2)/25)*HH149+(1-EXP(-LN(2)/25))/(LN(2)/25)*Calculateur!HC150*Calculateur!HE150*VLOOKUP('Données projet'!$B$18,Paramètres!$A$1:$I$89,3,0)*0.475*44/12</f>
        <v>1.216098333668904</v>
      </c>
      <c r="HI150" s="21">
        <f>EXP(-LN(2)/2)*HI149+(1-EXP(-LN(2)/2))/(LN(2)/2)*HC150*HF150*VLOOKUP('Données projet'!$B$18,Paramètres!$A$1:$I$89,3,0)*0.475*44/12</f>
        <v>1.837082107840522E-18</v>
      </c>
      <c r="HJ150" s="22">
        <f t="shared" si="138"/>
        <v>35.503146995554687</v>
      </c>
    </row>
    <row r="151" spans="1:218" x14ac:dyDescent="0.3">
      <c r="A151" s="10">
        <f t="shared" si="139"/>
        <v>148</v>
      </c>
      <c r="B151" s="71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5">
        <f t="shared" si="110"/>
        <v>452.09703137186477</v>
      </c>
      <c r="I151" s="6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266.99999999999983</v>
      </c>
      <c r="O151" s="13">
        <f>N151*VLOOKUP('Données projet'!$B$9,Paramètres!$A$1:$I$89,3,0)*VLOOKUP('Données projet'!$B$9,Paramètres!$A$1:$I$89,5,0)</f>
        <v>212.42519999999985</v>
      </c>
      <c r="P151" s="13">
        <f t="shared" si="141"/>
        <v>52.465198231787184</v>
      </c>
      <c r="Q151" s="20">
        <f t="shared" si="108"/>
        <v>461.35077692036231</v>
      </c>
      <c r="R151" s="59">
        <f t="shared" si="109"/>
        <v>754.68411025369562</v>
      </c>
      <c r="S151" s="59">
        <f ca="1">AVERAGE(OFFSET($R$3,0,0,'Données projet'!$E$9+1,1))-AVERAGE(OFFSET($H$3,0,0,'Données projet'!$E$9+1,1))</f>
        <v>225.2323446080772</v>
      </c>
      <c r="T151" s="59">
        <f t="shared" si="142"/>
        <v>222.29030402759292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11.284936284284534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11.284936284284534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732.99999999999966</v>
      </c>
      <c r="AJ151" s="13">
        <f>AI151*VLOOKUP('Données projet'!$B$10,Paramètres!$A$1:$I$89,3,0)*VLOOKUP('Données projet'!$B$10,Paramètres!$A$1:$I$89,5,0)</f>
        <v>362.1019999999998</v>
      </c>
      <c r="AK151" s="13">
        <f t="shared" si="143"/>
        <v>84.049487364732272</v>
      </c>
      <c r="AL151" s="20">
        <f t="shared" si="112"/>
        <v>777.04717382690842</v>
      </c>
      <c r="AM151" s="59">
        <f t="shared" si="113"/>
        <v>1070.3805071602417</v>
      </c>
      <c r="AN151" s="59">
        <f ca="1">AVERAGE(OFFSET($AM$3,0,0,'Données projet'!$E$10+1,1))-AVERAGE(OFFSET($H$3,0,0,'Données projet'!$E$10+1,1))</f>
        <v>360.05819346986135</v>
      </c>
      <c r="AO151" s="59">
        <f t="shared" si="144"/>
        <v>300.47468388351081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33.794370606483838</v>
      </c>
      <c r="AV151" s="21">
        <f>EXP(-LN(2)/25)*AV150+(1-EXP(-LN(2)/25))/(LN(2)/25)*Calculateur!AQ151*Calculateur!AS151*VLOOKUP('Données projet'!$B$10,Paramètres!$A$1:$I$89,3,0)*0.475*44/12</f>
        <v>1.6052883682053558</v>
      </c>
      <c r="AW151" s="21">
        <f>EXP(-LN(2)/2)*AW150+(1-EXP(-LN(2)/2))/(LN(2)/2)*AQ151*AT151*VLOOKUP('Données projet'!$B$10,Paramètres!$A$1:$I$89,3,0)*0.475*44/12</f>
        <v>9.0962841910170823E-20</v>
      </c>
      <c r="AX151" s="21">
        <f t="shared" si="114"/>
        <v>35.399658974689196</v>
      </c>
      <c r="AY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465.00000000000006</v>
      </c>
      <c r="BE151" s="13">
        <f>BD151*VLOOKUP('Données projet'!$B$11,Paramètres!$A$1:$I$89,3,0)*VLOOKUP('Données projet'!$B$11,Paramètres!$A$1:$I$89,5,0)</f>
        <v>265.98</v>
      </c>
      <c r="BF151" s="13">
        <f t="shared" si="145"/>
        <v>63.995380422211589</v>
      </c>
      <c r="BG151" s="20">
        <f t="shared" si="115"/>
        <v>574.70712090201857</v>
      </c>
      <c r="BH151" s="59">
        <f t="shared" si="116"/>
        <v>868.04045423535194</v>
      </c>
      <c r="BI151" s="59">
        <f ca="1">AVERAGE(OFFSET($BH$3,0,0,'Données projet'!$E$11+1,1))-AVERAGE(OFFSET($H$3,0,0,'Données projet'!$E$11+1,1))</f>
        <v>250.90038883668348</v>
      </c>
      <c r="BJ151" s="59">
        <f t="shared" si="146"/>
        <v>141.96132114475608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25.882598520244482</v>
      </c>
      <c r="BQ151" s="21">
        <f>EXP(-LN(2)/25)*BQ150+(1-EXP(-LN(2)/25))/(LN(2)/25)*Calculateur!BL151*Calculateur!BN151*VLOOKUP('Données projet'!$B$11,Paramètres!$A$1:$I$89,3,0)*0.475*44/12</f>
        <v>0.45167911064437316</v>
      </c>
      <c r="BR151" s="21">
        <f>EXP(-LN(2)/2)*BR150+(1-EXP(-LN(2)/2))/(LN(2)/2)*BL151*BO151*VLOOKUP('Données projet'!$B$11,Paramètres!$A$1:$I$89,3,0)*0.475*44/12</f>
        <v>6.5539145468905402E-18</v>
      </c>
      <c r="BS151" s="22">
        <f t="shared" si="117"/>
        <v>26.334277630888856</v>
      </c>
      <c r="BT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319</v>
      </c>
      <c r="BZ151" s="13">
        <f>BY151*VLOOKUP('Données projet'!$B$12,Paramètres!$A$1:$I$89,3,0)*VLOOKUP('Données projet'!$B$12,Paramètres!$A$1:$I$89,5,0)</f>
        <v>253.79640000000001</v>
      </c>
      <c r="CA151" s="13">
        <f t="shared" si="147"/>
        <v>61.39816832228076</v>
      </c>
      <c r="CB151" s="20">
        <f t="shared" si="118"/>
        <v>548.96387316130563</v>
      </c>
      <c r="CC151" s="59">
        <f t="shared" si="119"/>
        <v>842.29720649463889</v>
      </c>
      <c r="CD151" s="59">
        <f ca="1">AVERAGE(OFFSET($CC$3,0,0,'Données projet'!$E$12+1,1))-AVERAGE(OFFSET($H$3,0,0,'Données projet'!$E$12+1,1))</f>
        <v>279.49721661620544</v>
      </c>
      <c r="CE151" s="59">
        <f t="shared" si="148"/>
        <v>275.18739333988754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13.829102252196481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13.829102252196481</v>
      </c>
      <c r="CO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789</v>
      </c>
      <c r="CU151" s="17">
        <f>CT151*VLOOKUP('Données projet'!$B$13,Paramètres!$A$1:$I$89,3,0)*VLOOKUP('Données projet'!$B$13,Paramètres!$A$1:$I$89,5,0)</f>
        <v>389.76600000000002</v>
      </c>
      <c r="CV151" s="13">
        <f t="shared" si="149"/>
        <v>89.698759503620408</v>
      </c>
      <c r="CW151" s="20">
        <f t="shared" si="121"/>
        <v>835.06778946880547</v>
      </c>
      <c r="CX151" s="59">
        <f t="shared" si="122"/>
        <v>1128.4011228021388</v>
      </c>
      <c r="CY151" s="59">
        <f ca="1">AVERAGE(OFFSET($CX$3,0,0,'Données projet'!$E$13+1,1))-AVERAGE(OFFSET($H$3,0,0,'Données projet'!$E$13+1,1))</f>
        <v>396.27049617044378</v>
      </c>
      <c r="CZ151" s="59">
        <f t="shared" si="150"/>
        <v>335.2680289568774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37.48796304075961</v>
      </c>
      <c r="DG151" s="21">
        <f>EXP(-LN(2)/25)*DG150+(1-EXP(-LN(2)/25))/(LN(2)/25)*Calculateur!DB151*Calculateur!DD151*VLOOKUP('Données projet'!$B$13,Paramètres!$A$1:$I$89,3,0)*0.475*44/12</f>
        <v>1.7836537424503975</v>
      </c>
      <c r="DH151" s="21">
        <f>EXP(-LN(2)/2)*DH150+(1-EXP(-LN(2)/2))/(LN(2)/2)*DB151*DE151*VLOOKUP('Données projet'!$B$13,Paramètres!$A$1:$I$89,3,0)*0.475*44/12</f>
        <v>6.6706084067458647E-19</v>
      </c>
      <c r="DI151" s="22">
        <f t="shared" si="123"/>
        <v>39.271616783210007</v>
      </c>
      <c r="DJ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541.99999999999989</v>
      </c>
      <c r="DP151" s="17">
        <f>DO151*VLOOKUP('Données projet'!$B$14,Paramètres!$A$1:$I$89,3,0)*VLOOKUP('Données projet'!$B$14,Paramètres!$A$1:$I$89,5,0)</f>
        <v>310.02399999999994</v>
      </c>
      <c r="DQ151" s="13">
        <f t="shared" si="151"/>
        <v>73.27384230442388</v>
      </c>
      <c r="DR151" s="20">
        <f t="shared" si="124"/>
        <v>667.57707534687154</v>
      </c>
      <c r="DS151" s="59">
        <f t="shared" si="125"/>
        <v>960.91040868020491</v>
      </c>
      <c r="DT151" s="59">
        <f ca="1">AVERAGE(OFFSET($DS$3,0,0,'Données projet'!$E$14+1,1))-AVERAGE(OFFSET($H$3,0,0,'Données projet'!$E$14+1,1))</f>
        <v>307.43900954374504</v>
      </c>
      <c r="DU151" s="59">
        <f t="shared" si="152"/>
        <v>185.25270859048999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29.808328408422355</v>
      </c>
      <c r="EB151" s="21">
        <f>EXP(-LN(2)/25)*EB150+(1-EXP(-LN(2)/25))/(LN(2)/25)*Calculateur!DW151*Calculateur!DY151*VLOOKUP('Données projet'!$B$14,Paramètres!$A$1:$I$89,3,0)*0.475*44/12</f>
        <v>1.0138663378139094</v>
      </c>
      <c r="EC151" s="21">
        <f>EXP(-LN(2)/2)*EC150+(1-EXP(-LN(2)/2))/(LN(2)/2)*DW151*DZ151*VLOOKUP('Données projet'!$B$14,Paramètres!$A$1:$I$89,3,0)*0.475*44/12</f>
        <v>6.3195237537592374E-19</v>
      </c>
      <c r="ED151" s="22">
        <f t="shared" si="126"/>
        <v>30.822194746236264</v>
      </c>
      <c r="EE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401</v>
      </c>
      <c r="EK151" s="17">
        <f>EJ151*VLOOKUP('Données projet'!$B$15,Paramètres!$A$1:$I$89,3,0)*VLOOKUP('Données projet'!$B$15,Paramètres!$A$1:$I$89,5,0)</f>
        <v>250.22399999999999</v>
      </c>
      <c r="EL151" s="13">
        <f t="shared" si="153"/>
        <v>60.633904580527918</v>
      </c>
      <c r="EM151" s="20">
        <f t="shared" si="127"/>
        <v>541.41085047775289</v>
      </c>
      <c r="EN151" s="59">
        <f t="shared" si="128"/>
        <v>834.74418381108626</v>
      </c>
      <c r="EO151" s="59">
        <f ca="1">AVERAGE(OFFSET($EN$3,0,0,'Données projet'!$E$15+1,1))-AVERAGE(OFFSET($H$3,0,0,'Données projet'!$E$15+1,1))</f>
        <v>269.77739619445515</v>
      </c>
      <c r="EP151" s="59">
        <f t="shared" si="154"/>
        <v>347.56964743629885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13.4038820420564</v>
      </c>
      <c r="EW151" s="21">
        <f>EXP(-LN(2)/25)*EW150+(1-EXP(-LN(2)/25))/(LN(2)/25)*Calculateur!ER151*Calculateur!ET151*VLOOKUP('Données projet'!$B$15,Paramètres!$A$1:$I$89,3,0)*0.475*44/12</f>
        <v>3.4810281300825947</v>
      </c>
      <c r="EX151" s="21">
        <f>EXP(-LN(2)/2)*EX150+(1-EXP(-LN(2)/2))/(LN(2)/2)*ER151*EU151*VLOOKUP('Données projet'!$B$15,Paramètres!$A$1:$I$89,3,0)*0.475*44/12</f>
        <v>4.3087661957449353E-20</v>
      </c>
      <c r="EY151" s="22">
        <f t="shared" si="129"/>
        <v>16.884910172138994</v>
      </c>
      <c r="EZ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367.99999999999972</v>
      </c>
      <c r="FF151" s="17">
        <f>FE151*VLOOKUP('Données projet'!$B$16,Paramètres!$A$1:$I$89,3,0)*VLOOKUP('Données projet'!$B$16,Paramètres!$A$1:$I$89,5,0)</f>
        <v>292.78079999999977</v>
      </c>
      <c r="FG151" s="13">
        <f t="shared" si="155"/>
        <v>69.660903052386217</v>
      </c>
      <c r="FH151" s="20">
        <f t="shared" si="130"/>
        <v>631.25263281623893</v>
      </c>
      <c r="FI151" s="59">
        <f t="shared" si="131"/>
        <v>924.58596614957219</v>
      </c>
      <c r="FJ151" s="59">
        <f ca="1">AVERAGE(OFFSET($FI$3,0,0,'Données projet'!$E$16+1,1))-AVERAGE(OFFSET($H$3,0,0,'Données projet'!$E$16+1,1))</f>
        <v>331.52724290297675</v>
      </c>
      <c r="FK151" s="59">
        <f t="shared" si="156"/>
        <v>322.79102610158054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16.03071303606529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16.03071303606529</v>
      </c>
      <c r="FU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852.00000000000011</v>
      </c>
      <c r="GA151" s="17">
        <f>FZ151*VLOOKUP('Données projet'!$B$17,Paramètres!$A$1:$I$89,3,0)*VLOOKUP('Données projet'!$B$17,Paramètres!$A$1:$I$89,5,0)</f>
        <v>420.88800000000009</v>
      </c>
      <c r="GB151" s="13">
        <f t="shared" si="157"/>
        <v>95.998759891259041</v>
      </c>
      <c r="GC151" s="20">
        <f t="shared" si="133"/>
        <v>900.24444014394294</v>
      </c>
      <c r="GD151" s="59">
        <f t="shared" si="134"/>
        <v>1193.5777734772762</v>
      </c>
      <c r="GE151" s="59">
        <f ca="1">AVERAGE(OFFSET($GD$3,0,0,'Données projet'!$E$17+1,1))-AVERAGE(OFFSET($H$3,0,0,'Données projet'!$E$17+1,1))</f>
        <v>434.08297999735811</v>
      </c>
      <c r="GF151" s="59">
        <f t="shared" si="158"/>
        <v>371.04090283546122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41.360212313509578</v>
      </c>
      <c r="GM151" s="21">
        <f>EXP(-LN(2)/25)*GM150+(1-EXP(-LN(2)/25))/(LN(2)/25)*Calculateur!GH151*Calculateur!GJ151*VLOOKUP('Données projet'!$B$17,Paramètres!$A$1:$I$89,3,0)*0.475*44/12</f>
        <v>1.9620191166954382</v>
      </c>
      <c r="GN151" s="21">
        <f>EXP(-LN(2)/2)*GN150+(1-EXP(-LN(2)/2))/(LN(2)/2)*GH151*GK151*VLOOKUP('Données projet'!$B$17,Paramètres!$A$1:$I$89,3,0)*0.475*44/12</f>
        <v>1.303800734045782E-18</v>
      </c>
      <c r="GO151" s="21">
        <f t="shared" si="135"/>
        <v>43.322231430205015</v>
      </c>
      <c r="GP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614.99999999999989</v>
      </c>
      <c r="GV151" s="17">
        <f>GU151*VLOOKUP('Données projet'!$B$18,Paramètres!$A$1:$I$89,3,0)*VLOOKUP('Données projet'!$B$18,Paramètres!$A$1:$I$89,5,0)</f>
        <v>351.78</v>
      </c>
      <c r="GW151" s="13">
        <f t="shared" si="159"/>
        <v>81.92892344316067</v>
      </c>
      <c r="GX151" s="20">
        <f t="shared" si="136"/>
        <v>755.37637499683808</v>
      </c>
      <c r="GY151" s="59">
        <f t="shared" si="137"/>
        <v>1048.7097083301715</v>
      </c>
      <c r="GZ151" s="59">
        <f ca="1">AVERAGE(OFFSET($GY$3,0,0,'Données projet'!$E$18+1,1))-AVERAGE(OFFSET($H$3,0,0,'Données projet'!$E$18+1,1))</f>
        <v>362.57172983134313</v>
      </c>
      <c r="HA151" s="59">
        <f t="shared" si="160"/>
        <v>232.03250917542471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33.614700550660899</v>
      </c>
      <c r="HH151" s="21">
        <f>EXP(-LN(2)/25)*HH150+(1-EXP(-LN(2)/25))/(LN(2)/25)*Calculateur!HC151*Calculateur!HE151*VLOOKUP('Données projet'!$B$18,Paramètres!$A$1:$I$89,3,0)*0.475*44/12</f>
        <v>1.1828440607828958</v>
      </c>
      <c r="HI151" s="21">
        <f>EXP(-LN(2)/2)*HI150+(1-EXP(-LN(2)/2))/(LN(2)/2)*HC151*HF151*VLOOKUP('Données projet'!$B$18,Paramètres!$A$1:$I$89,3,0)*0.475*44/12</f>
        <v>1.2990132160505095E-18</v>
      </c>
      <c r="HJ151" s="22">
        <f t="shared" si="138"/>
        <v>34.797544611443797</v>
      </c>
    </row>
    <row r="152" spans="1:218" x14ac:dyDescent="0.3">
      <c r="A152" s="10">
        <f t="shared" si="139"/>
        <v>149</v>
      </c>
      <c r="B152" s="71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5">
        <f t="shared" si="110"/>
        <v>453.14232524230488</v>
      </c>
      <c r="I152" s="6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266.99999999999983</v>
      </c>
      <c r="O152" s="13">
        <f>N152*VLOOKUP('Données projet'!$B$9,Paramètres!$A$1:$I$89,3,0)*VLOOKUP('Données projet'!$B$9,Paramètres!$A$1:$I$89,5,0)</f>
        <v>212.42519999999985</v>
      </c>
      <c r="P152" s="13">
        <f t="shared" si="141"/>
        <v>52.465198231787184</v>
      </c>
      <c r="Q152" s="20">
        <f t="shared" si="108"/>
        <v>461.35077692036231</v>
      </c>
      <c r="R152" s="59">
        <f t="shared" si="109"/>
        <v>754.68411025369562</v>
      </c>
      <c r="S152" s="59">
        <f ca="1">AVERAGE(OFFSET($R$3,0,0,'Données projet'!$E$9+1,1))-AVERAGE(OFFSET($H$3,0,0,'Données projet'!$E$9+1,1))</f>
        <v>225.2323446080772</v>
      </c>
      <c r="T152" s="59">
        <f t="shared" si="142"/>
        <v>222.29030402759292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11.063645566881195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11.063645566881195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732.99999999999966</v>
      </c>
      <c r="AJ152" s="13">
        <f>AI152*VLOOKUP('Données projet'!$B$10,Paramètres!$A$1:$I$89,3,0)*VLOOKUP('Données projet'!$B$10,Paramètres!$A$1:$I$89,5,0)</f>
        <v>362.1019999999998</v>
      </c>
      <c r="AK152" s="13">
        <f t="shared" si="143"/>
        <v>84.049487364732272</v>
      </c>
      <c r="AL152" s="20">
        <f t="shared" si="112"/>
        <v>777.04717382690842</v>
      </c>
      <c r="AM152" s="59">
        <f t="shared" si="113"/>
        <v>1070.3805071602417</v>
      </c>
      <c r="AN152" s="59">
        <f ca="1">AVERAGE(OFFSET($AM$3,0,0,'Données projet'!$E$10+1,1))-AVERAGE(OFFSET($H$3,0,0,'Données projet'!$E$10+1,1))</f>
        <v>360.05819346986135</v>
      </c>
      <c r="AO152" s="59">
        <f t="shared" si="144"/>
        <v>300.47468388351081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33.131683611421444</v>
      </c>
      <c r="AV152" s="21">
        <f>EXP(-LN(2)/25)*AV151+(1-EXP(-LN(2)/25))/(LN(2)/25)*Calculateur!AQ152*Calculateur!AS152*VLOOKUP('Données projet'!$B$10,Paramètres!$A$1:$I$89,3,0)*0.475*44/12</f>
        <v>1.561391673358334</v>
      </c>
      <c r="AW152" s="21">
        <f>EXP(-LN(2)/2)*AW151+(1-EXP(-LN(2)/2))/(LN(2)/2)*AQ152*AT152*VLOOKUP('Données projet'!$B$10,Paramètres!$A$1:$I$89,3,0)*0.475*44/12</f>
        <v>6.4320442350681674E-20</v>
      </c>
      <c r="AX152" s="21">
        <f t="shared" si="114"/>
        <v>34.693075284779781</v>
      </c>
      <c r="AY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465.00000000000006</v>
      </c>
      <c r="BE152" s="13">
        <f>BD152*VLOOKUP('Données projet'!$B$11,Paramètres!$A$1:$I$89,3,0)*VLOOKUP('Données projet'!$B$11,Paramètres!$A$1:$I$89,5,0)</f>
        <v>265.98</v>
      </c>
      <c r="BF152" s="13">
        <f t="shared" si="145"/>
        <v>63.995380422211589</v>
      </c>
      <c r="BG152" s="20">
        <f t="shared" si="115"/>
        <v>574.70712090201857</v>
      </c>
      <c r="BH152" s="59">
        <f t="shared" si="116"/>
        <v>868.04045423535194</v>
      </c>
      <c r="BI152" s="59">
        <f ca="1">AVERAGE(OFFSET($BH$3,0,0,'Données projet'!$E$11+1,1))-AVERAGE(OFFSET($H$3,0,0,'Données projet'!$E$11+1,1))</f>
        <v>250.90038883668348</v>
      </c>
      <c r="BJ152" s="59">
        <f t="shared" si="146"/>
        <v>141.96132114475608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25.375056550088765</v>
      </c>
      <c r="BQ152" s="21">
        <f>EXP(-LN(2)/25)*BQ151+(1-EXP(-LN(2)/25))/(LN(2)/25)*Calculateur!BL152*Calculateur!BN152*VLOOKUP('Données projet'!$B$11,Paramètres!$A$1:$I$89,3,0)*0.475*44/12</f>
        <v>0.43932792161103068</v>
      </c>
      <c r="BR152" s="21">
        <f>EXP(-LN(2)/2)*BR151+(1-EXP(-LN(2)/2))/(LN(2)/2)*BL152*BO152*VLOOKUP('Données projet'!$B$11,Paramètres!$A$1:$I$89,3,0)*0.475*44/12</f>
        <v>4.6343174194234599E-18</v>
      </c>
      <c r="BS152" s="22">
        <f t="shared" si="117"/>
        <v>25.814384471699796</v>
      </c>
      <c r="BT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319</v>
      </c>
      <c r="BZ152" s="13">
        <f>BY152*VLOOKUP('Données projet'!$B$12,Paramètres!$A$1:$I$89,3,0)*VLOOKUP('Données projet'!$B$12,Paramètres!$A$1:$I$89,5,0)</f>
        <v>253.79640000000001</v>
      </c>
      <c r="CA152" s="13">
        <f t="shared" si="147"/>
        <v>61.39816832228076</v>
      </c>
      <c r="CB152" s="20">
        <f t="shared" si="118"/>
        <v>548.96387316130563</v>
      </c>
      <c r="CC152" s="59">
        <f t="shared" si="119"/>
        <v>842.29720649463889</v>
      </c>
      <c r="CD152" s="59">
        <f ca="1">AVERAGE(OFFSET($CC$3,0,0,'Données projet'!$E$12+1,1))-AVERAGE(OFFSET($H$3,0,0,'Données projet'!$E$12+1,1))</f>
        <v>279.49721661620544</v>
      </c>
      <c r="CE152" s="59">
        <f t="shared" si="148"/>
        <v>275.18739333988754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13.557921991950403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13.557921991950403</v>
      </c>
      <c r="CO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789</v>
      </c>
      <c r="CU152" s="17">
        <f>CT152*VLOOKUP('Données projet'!$B$13,Paramètres!$A$1:$I$89,3,0)*VLOOKUP('Données projet'!$B$13,Paramètres!$A$1:$I$89,5,0)</f>
        <v>389.76600000000002</v>
      </c>
      <c r="CV152" s="13">
        <f t="shared" si="149"/>
        <v>89.698759503620408</v>
      </c>
      <c r="CW152" s="20">
        <f t="shared" si="121"/>
        <v>835.06778946880547</v>
      </c>
      <c r="CX152" s="59">
        <f t="shared" si="122"/>
        <v>1128.4011228021388</v>
      </c>
      <c r="CY152" s="59">
        <f ca="1">AVERAGE(OFFSET($CX$3,0,0,'Données projet'!$E$13+1,1))-AVERAGE(OFFSET($H$3,0,0,'Données projet'!$E$13+1,1))</f>
        <v>396.27049617044378</v>
      </c>
      <c r="CZ152" s="59">
        <f t="shared" si="150"/>
        <v>335.2680289568774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36.75284695093</v>
      </c>
      <c r="DG152" s="21">
        <f>EXP(-LN(2)/25)*DG151+(1-EXP(-LN(2)/25))/(LN(2)/25)*Calculateur!DB152*Calculateur!DD152*VLOOKUP('Données projet'!$B$13,Paramètres!$A$1:$I$89,3,0)*0.475*44/12</f>
        <v>1.7348796370648176</v>
      </c>
      <c r="DH152" s="21">
        <f>EXP(-LN(2)/2)*DH151+(1-EXP(-LN(2)/2))/(LN(2)/2)*DB152*DE152*VLOOKUP('Données projet'!$B$13,Paramètres!$A$1:$I$89,3,0)*0.475*44/12</f>
        <v>4.7168324390499925E-19</v>
      </c>
      <c r="DI152" s="22">
        <f t="shared" si="123"/>
        <v>38.487726587994814</v>
      </c>
      <c r="DJ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541.99999999999989</v>
      </c>
      <c r="DP152" s="17">
        <f>DO152*VLOOKUP('Données projet'!$B$14,Paramètres!$A$1:$I$89,3,0)*VLOOKUP('Données projet'!$B$14,Paramètres!$A$1:$I$89,5,0)</f>
        <v>310.02399999999994</v>
      </c>
      <c r="DQ152" s="13">
        <f t="shared" si="151"/>
        <v>73.27384230442388</v>
      </c>
      <c r="DR152" s="20">
        <f t="shared" si="124"/>
        <v>667.57707534687154</v>
      </c>
      <c r="DS152" s="59">
        <f t="shared" si="125"/>
        <v>960.91040868020491</v>
      </c>
      <c r="DT152" s="59">
        <f ca="1">AVERAGE(OFFSET($DS$3,0,0,'Données projet'!$E$14+1,1))-AVERAGE(OFFSET($H$3,0,0,'Données projet'!$E$14+1,1))</f>
        <v>307.43900954374504</v>
      </c>
      <c r="DU152" s="59">
        <f t="shared" si="152"/>
        <v>185.25270859048999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29.223805269618268</v>
      </c>
      <c r="EB152" s="21">
        <f>EXP(-LN(2)/25)*EB151+(1-EXP(-LN(2)/25))/(LN(2)/25)*Calculateur!DW152*Calculateur!DY152*VLOOKUP('Données projet'!$B$14,Paramètres!$A$1:$I$89,3,0)*0.475*44/12</f>
        <v>0.98614210948947456</v>
      </c>
      <c r="EC152" s="21">
        <f>EXP(-LN(2)/2)*EC151+(1-EXP(-LN(2)/2))/(LN(2)/2)*DW152*DZ152*VLOOKUP('Données projet'!$B$14,Paramètres!$A$1:$I$89,3,0)*0.475*44/12</f>
        <v>4.4685781001526225E-19</v>
      </c>
      <c r="ED152" s="22">
        <f t="shared" si="126"/>
        <v>30.209947379107742</v>
      </c>
      <c r="EE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401</v>
      </c>
      <c r="EK152" s="17">
        <f>EJ152*VLOOKUP('Données projet'!$B$15,Paramètres!$A$1:$I$89,3,0)*VLOOKUP('Données projet'!$B$15,Paramètres!$A$1:$I$89,5,0)</f>
        <v>250.22399999999999</v>
      </c>
      <c r="EL152" s="13">
        <f t="shared" si="153"/>
        <v>60.633904580527918</v>
      </c>
      <c r="EM152" s="20">
        <f t="shared" si="127"/>
        <v>541.41085047775289</v>
      </c>
      <c r="EN152" s="59">
        <f t="shared" si="128"/>
        <v>834.74418381108626</v>
      </c>
      <c r="EO152" s="59">
        <f ca="1">AVERAGE(OFFSET($EN$3,0,0,'Données projet'!$E$15+1,1))-AVERAGE(OFFSET($H$3,0,0,'Données projet'!$E$15+1,1))</f>
        <v>269.77739619445515</v>
      </c>
      <c r="EP152" s="59">
        <f t="shared" si="154"/>
        <v>347.56964743629885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13.141040090772451</v>
      </c>
      <c r="EW152" s="21">
        <f>EXP(-LN(2)/25)*EW151+(1-EXP(-LN(2)/25))/(LN(2)/25)*Calculateur!ER152*Calculateur!ET152*VLOOKUP('Données projet'!$B$15,Paramètres!$A$1:$I$89,3,0)*0.475*44/12</f>
        <v>3.3858392328061728</v>
      </c>
      <c r="EX152" s="21">
        <f>EXP(-LN(2)/2)*EX151+(1-EXP(-LN(2)/2))/(LN(2)/2)*ER152*EU152*VLOOKUP('Données projet'!$B$15,Paramètres!$A$1:$I$89,3,0)*0.475*44/12</f>
        <v>3.0467577955586067E-20</v>
      </c>
      <c r="EY152" s="22">
        <f t="shared" si="129"/>
        <v>16.526879323578623</v>
      </c>
      <c r="EZ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367.99999999999972</v>
      </c>
      <c r="FF152" s="17">
        <f>FE152*VLOOKUP('Données projet'!$B$16,Paramètres!$A$1:$I$89,3,0)*VLOOKUP('Données projet'!$B$16,Paramètres!$A$1:$I$89,5,0)</f>
        <v>292.78079999999977</v>
      </c>
      <c r="FG152" s="13">
        <f t="shared" si="155"/>
        <v>69.660903052386217</v>
      </c>
      <c r="FH152" s="20">
        <f t="shared" si="130"/>
        <v>631.25263281623893</v>
      </c>
      <c r="FI152" s="59">
        <f t="shared" si="131"/>
        <v>924.58596614957219</v>
      </c>
      <c r="FJ152" s="59">
        <f ca="1">AVERAGE(OFFSET($FI$3,0,0,'Données projet'!$E$16+1,1))-AVERAGE(OFFSET($H$3,0,0,'Données projet'!$E$16+1,1))</f>
        <v>331.52724290297675</v>
      </c>
      <c r="FK152" s="59">
        <f t="shared" si="156"/>
        <v>322.79102610158054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15.716360531197527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15.716360531197527</v>
      </c>
      <c r="FU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852.00000000000011</v>
      </c>
      <c r="GA152" s="17">
        <f>FZ152*VLOOKUP('Données projet'!$B$17,Paramètres!$A$1:$I$89,3,0)*VLOOKUP('Données projet'!$B$17,Paramètres!$A$1:$I$89,5,0)</f>
        <v>420.88800000000009</v>
      </c>
      <c r="GB152" s="13">
        <f t="shared" si="157"/>
        <v>95.998759891259041</v>
      </c>
      <c r="GC152" s="20">
        <f t="shared" si="133"/>
        <v>900.24444014394294</v>
      </c>
      <c r="GD152" s="59">
        <f t="shared" si="134"/>
        <v>1193.5777734772762</v>
      </c>
      <c r="GE152" s="59">
        <f ca="1">AVERAGE(OFFSET($GD$3,0,0,'Données projet'!$E$17+1,1))-AVERAGE(OFFSET($H$3,0,0,'Données projet'!$E$17+1,1))</f>
        <v>434.08297999735811</v>
      </c>
      <c r="GF152" s="59">
        <f t="shared" si="158"/>
        <v>371.04090283546122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40.549163777280185</v>
      </c>
      <c r="GM152" s="21">
        <f>EXP(-LN(2)/25)*GM151+(1-EXP(-LN(2)/25))/(LN(2)/25)*Calculateur!GH152*Calculateur!GJ152*VLOOKUP('Données projet'!$B$17,Paramètres!$A$1:$I$89,3,0)*0.475*44/12</f>
        <v>1.9083676007713004</v>
      </c>
      <c r="GN152" s="21">
        <f>EXP(-LN(2)/2)*GN151+(1-EXP(-LN(2)/2))/(LN(2)/2)*GH152*GK152*VLOOKUP('Données projet'!$B$17,Paramètres!$A$1:$I$89,3,0)*0.475*44/12</f>
        <v>9.2192634035977076E-19</v>
      </c>
      <c r="GO152" s="21">
        <f t="shared" si="135"/>
        <v>42.457531378051485</v>
      </c>
      <c r="GP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614.99999999999989</v>
      </c>
      <c r="GV152" s="17">
        <f>GU152*VLOOKUP('Données projet'!$B$18,Paramètres!$A$1:$I$89,3,0)*VLOOKUP('Données projet'!$B$18,Paramètres!$A$1:$I$89,5,0)</f>
        <v>351.78</v>
      </c>
      <c r="GW152" s="13">
        <f t="shared" si="159"/>
        <v>81.92892344316067</v>
      </c>
      <c r="GX152" s="20">
        <f t="shared" si="136"/>
        <v>755.37637499683808</v>
      </c>
      <c r="GY152" s="59">
        <f t="shared" si="137"/>
        <v>1048.7097083301715</v>
      </c>
      <c r="GZ152" s="59">
        <f ca="1">AVERAGE(OFFSET($GY$3,0,0,'Données projet'!$E$18+1,1))-AVERAGE(OFFSET($H$3,0,0,'Données projet'!$E$18+1,1))</f>
        <v>362.57172983134313</v>
      </c>
      <c r="HA152" s="59">
        <f t="shared" si="160"/>
        <v>232.03250917542471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32.955536775805278</v>
      </c>
      <c r="HH152" s="21">
        <f>EXP(-LN(2)/25)*HH151+(1-EXP(-LN(2)/25))/(LN(2)/25)*Calculateur!HC152*Calculateur!HE152*VLOOKUP('Données projet'!$B$18,Paramètres!$A$1:$I$89,3,0)*0.475*44/12</f>
        <v>1.1504991277377219</v>
      </c>
      <c r="HI152" s="21">
        <f>EXP(-LN(2)/2)*HI151+(1-EXP(-LN(2)/2))/(LN(2)/2)*HC152*HF152*VLOOKUP('Données projet'!$B$18,Paramètres!$A$1:$I$89,3,0)*0.475*44/12</f>
        <v>9.1854105392026102E-19</v>
      </c>
      <c r="HJ152" s="22">
        <f t="shared" si="138"/>
        <v>34.106035903543003</v>
      </c>
    </row>
    <row r="153" spans="1:218" x14ac:dyDescent="0.3">
      <c r="A153" s="10">
        <f>A152+1</f>
        <v>150</v>
      </c>
      <c r="B153" s="71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5">
        <f t="shared" si="110"/>
        <v>454.18745703332144</v>
      </c>
      <c r="I153" s="6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266.99999999999983</v>
      </c>
      <c r="O153" s="13">
        <f>N153*VLOOKUP('Données projet'!$B$9,Paramètres!$A$1:$I$89,3,0)*VLOOKUP('Données projet'!$B$9,Paramètres!$A$1:$I$89,5,0)</f>
        <v>212.42519999999985</v>
      </c>
      <c r="P153" s="13">
        <f t="shared" si="141"/>
        <v>52.465198231787184</v>
      </c>
      <c r="Q153" s="20">
        <f t="shared" si="108"/>
        <v>461.35077692036231</v>
      </c>
      <c r="R153" s="59">
        <f t="shared" si="109"/>
        <v>754.68411025369562</v>
      </c>
      <c r="S153" s="59">
        <f ca="1">AVERAGE(OFFSET($R$3,0,0,'Données projet'!$E$9+1,1))-AVERAGE(OFFSET($H$3,0,0,'Données projet'!$E$9+1,1))</f>
        <v>225.2323446080772</v>
      </c>
      <c r="T153" s="59">
        <f t="shared" si="142"/>
        <v>222.29030402759292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10.846694225472126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10.846694225472126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732.99999999999966</v>
      </c>
      <c r="AJ153" s="13">
        <f>AI153*VLOOKUP('Données projet'!$B$10,Paramètres!$A$1:$I$89,3,0)*VLOOKUP('Données projet'!$B$10,Paramètres!$A$1:$I$89,5,0)</f>
        <v>362.1019999999998</v>
      </c>
      <c r="AK153" s="13">
        <f t="shared" si="143"/>
        <v>84.049487364732272</v>
      </c>
      <c r="AL153" s="20">
        <f t="shared" si="112"/>
        <v>777.04717382690842</v>
      </c>
      <c r="AM153" s="59">
        <f t="shared" si="113"/>
        <v>1070.3805071602417</v>
      </c>
      <c r="AN153" s="59">
        <f ca="1">AVERAGE(OFFSET($AM$3,0,0,'Données projet'!$E$10+1,1))-AVERAGE(OFFSET($H$3,0,0,'Données projet'!$E$10+1,1))</f>
        <v>360.05819346986135</v>
      </c>
      <c r="AO153" s="59">
        <f t="shared" si="144"/>
        <v>300.47468388351081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32.481991504133063</v>
      </c>
      <c r="AV153" s="21">
        <f>EXP(-LN(2)/25)*AV152+(1-EXP(-LN(2)/25))/(LN(2)/25)*Calculateur!AQ153*Calculateur!AS153*VLOOKUP('Données projet'!$B$10,Paramètres!$A$1:$I$89,3,0)*0.475*44/12</f>
        <v>1.5186953359403308</v>
      </c>
      <c r="AW153" s="21">
        <f>EXP(-LN(2)/2)*AW152+(1-EXP(-LN(2)/2))/(LN(2)/2)*AQ153*AT153*VLOOKUP('Données projet'!$B$10,Paramètres!$A$1:$I$89,3,0)*0.475*44/12</f>
        <v>4.5481420955085412E-20</v>
      </c>
      <c r="AX153" s="21">
        <f t="shared" si="114"/>
        <v>34.000686840073392</v>
      </c>
      <c r="AY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465.00000000000006</v>
      </c>
      <c r="BE153" s="13">
        <f>BD153*VLOOKUP('Données projet'!$B$11,Paramètres!$A$1:$I$89,3,0)*VLOOKUP('Données projet'!$B$11,Paramètres!$A$1:$I$89,5,0)</f>
        <v>265.98</v>
      </c>
      <c r="BF153" s="13">
        <f t="shared" si="145"/>
        <v>63.995380422211589</v>
      </c>
      <c r="BG153" s="20">
        <f t="shared" si="115"/>
        <v>574.70712090201857</v>
      </c>
      <c r="BH153" s="59">
        <f t="shared" si="116"/>
        <v>868.04045423535194</v>
      </c>
      <c r="BI153" s="59">
        <f ca="1">AVERAGE(OFFSET($BH$3,0,0,'Données projet'!$E$11+1,1))-AVERAGE(OFFSET($H$3,0,0,'Données projet'!$E$11+1,1))</f>
        <v>250.90038883668348</v>
      </c>
      <c r="BJ153" s="59">
        <f t="shared" si="146"/>
        <v>141.96132114475608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24.877467168397768</v>
      </c>
      <c r="BQ153" s="21">
        <f>EXP(-LN(2)/25)*BQ152+(1-EXP(-LN(2)/25))/(LN(2)/25)*Calculateur!BL153*Calculateur!BN153*VLOOKUP('Données projet'!$B$11,Paramètres!$A$1:$I$89,3,0)*0.475*44/12</f>
        <v>0.42731447649132576</v>
      </c>
      <c r="BR153" s="21">
        <f>EXP(-LN(2)/2)*BR152+(1-EXP(-LN(2)/2))/(LN(2)/2)*BL153*BO153*VLOOKUP('Données projet'!$B$11,Paramètres!$A$1:$I$89,3,0)*0.475*44/12</f>
        <v>3.2769572734452701E-18</v>
      </c>
      <c r="BS153" s="22">
        <f t="shared" si="117"/>
        <v>25.304781644889093</v>
      </c>
      <c r="BT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319</v>
      </c>
      <c r="BZ153" s="13">
        <f>BY153*VLOOKUP('Données projet'!$B$12,Paramètres!$A$1:$I$89,3,0)*VLOOKUP('Données projet'!$B$12,Paramètres!$A$1:$I$89,5,0)</f>
        <v>253.79640000000001</v>
      </c>
      <c r="CA153" s="13">
        <f t="shared" si="147"/>
        <v>61.39816832228076</v>
      </c>
      <c r="CB153" s="20">
        <f t="shared" si="118"/>
        <v>548.96387316130563</v>
      </c>
      <c r="CC153" s="59">
        <f t="shared" si="119"/>
        <v>842.29720649463889</v>
      </c>
      <c r="CD153" s="59">
        <f ca="1">AVERAGE(OFFSET($CC$3,0,0,'Données projet'!$E$12+1,1))-AVERAGE(OFFSET($H$3,0,0,'Données projet'!$E$12+1,1))</f>
        <v>279.49721661620544</v>
      </c>
      <c r="CE153" s="59">
        <f t="shared" si="148"/>
        <v>275.18739333988754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13.292059411204123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13.292059411204123</v>
      </c>
      <c r="CO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789</v>
      </c>
      <c r="CU153" s="17">
        <f>CT153*VLOOKUP('Données projet'!$B$13,Paramètres!$A$1:$I$89,3,0)*VLOOKUP('Données projet'!$B$13,Paramètres!$A$1:$I$89,5,0)</f>
        <v>389.76600000000002</v>
      </c>
      <c r="CV153" s="13">
        <f t="shared" si="149"/>
        <v>89.698759503620408</v>
      </c>
      <c r="CW153" s="20">
        <f t="shared" si="121"/>
        <v>835.06778946880547</v>
      </c>
      <c r="CX153" s="59">
        <f t="shared" si="122"/>
        <v>1128.4011228021388</v>
      </c>
      <c r="CY153" s="59">
        <f ca="1">AVERAGE(OFFSET($CX$3,0,0,'Données projet'!$E$13+1,1))-AVERAGE(OFFSET($H$3,0,0,'Données projet'!$E$13+1,1))</f>
        <v>396.27049617044378</v>
      </c>
      <c r="CZ153" s="59">
        <f t="shared" si="150"/>
        <v>335.2680289568774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36.032146039245404</v>
      </c>
      <c r="DG153" s="21">
        <f>EXP(-LN(2)/25)*DG152+(1-EXP(-LN(2)/25))/(LN(2)/25)*Calculateur!DB153*Calculateur!DD153*VLOOKUP('Données projet'!$B$13,Paramètres!$A$1:$I$89,3,0)*0.475*44/12</f>
        <v>1.6874392621559251</v>
      </c>
      <c r="DH153" s="21">
        <f>EXP(-LN(2)/2)*DH152+(1-EXP(-LN(2)/2))/(LN(2)/2)*DB153*DE153*VLOOKUP('Données projet'!$B$13,Paramètres!$A$1:$I$89,3,0)*0.475*44/12</f>
        <v>3.3353042033729324E-19</v>
      </c>
      <c r="DI153" s="22">
        <f t="shared" si="123"/>
        <v>37.719585301401331</v>
      </c>
      <c r="DJ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541.99999999999989</v>
      </c>
      <c r="DP153" s="17">
        <f>DO153*VLOOKUP('Données projet'!$B$14,Paramètres!$A$1:$I$89,3,0)*VLOOKUP('Données projet'!$B$14,Paramètres!$A$1:$I$89,5,0)</f>
        <v>310.02399999999994</v>
      </c>
      <c r="DQ153" s="13">
        <f t="shared" si="151"/>
        <v>73.27384230442388</v>
      </c>
      <c r="DR153" s="20">
        <f t="shared" si="124"/>
        <v>667.57707534687154</v>
      </c>
      <c r="DS153" s="59">
        <f t="shared" si="125"/>
        <v>960.91040868020491</v>
      </c>
      <c r="DT153" s="59">
        <f ca="1">AVERAGE(OFFSET($DS$3,0,0,'Données projet'!$E$14+1,1))-AVERAGE(OFFSET($H$3,0,0,'Données projet'!$E$14+1,1))</f>
        <v>307.43900954374504</v>
      </c>
      <c r="DU153" s="59">
        <f t="shared" si="152"/>
        <v>185.25270859048999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28.650744273042218</v>
      </c>
      <c r="EB153" s="21">
        <f>EXP(-LN(2)/25)*EB152+(1-EXP(-LN(2)/25))/(LN(2)/25)*Calculateur!DW153*Calculateur!DY153*VLOOKUP('Données projet'!$B$14,Paramètres!$A$1:$I$89,3,0)*0.475*44/12</f>
        <v>0.95917600164652517</v>
      </c>
      <c r="EC153" s="21">
        <f>EXP(-LN(2)/2)*EC152+(1-EXP(-LN(2)/2))/(LN(2)/2)*DW153*DZ153*VLOOKUP('Données projet'!$B$14,Paramètres!$A$1:$I$89,3,0)*0.475*44/12</f>
        <v>3.1597618768796187E-19</v>
      </c>
      <c r="ED153" s="22">
        <f t="shared" si="126"/>
        <v>29.609920274688744</v>
      </c>
      <c r="EE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401</v>
      </c>
      <c r="EK153" s="17">
        <f>EJ153*VLOOKUP('Données projet'!$B$15,Paramètres!$A$1:$I$89,3,0)*VLOOKUP('Données projet'!$B$15,Paramètres!$A$1:$I$89,5,0)</f>
        <v>250.22399999999999</v>
      </c>
      <c r="EL153" s="13">
        <f t="shared" si="153"/>
        <v>60.633904580527918</v>
      </c>
      <c r="EM153" s="20">
        <f t="shared" si="127"/>
        <v>541.41085047775289</v>
      </c>
      <c r="EN153" s="59">
        <f t="shared" si="128"/>
        <v>834.74418381108626</v>
      </c>
      <c r="EO153" s="59">
        <f ca="1">AVERAGE(OFFSET($EN$3,0,0,'Données projet'!$E$15+1,1))-AVERAGE(OFFSET($H$3,0,0,'Données projet'!$E$15+1,1))</f>
        <v>269.77739619445515</v>
      </c>
      <c r="EP153" s="59">
        <f t="shared" si="154"/>
        <v>347.56964743629885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12.88335230983542</v>
      </c>
      <c r="EW153" s="21">
        <f>EXP(-LN(2)/25)*EW152+(1-EXP(-LN(2)/25))/(LN(2)/25)*Calculateur!ER153*Calculateur!ET153*VLOOKUP('Données projet'!$B$15,Paramètres!$A$1:$I$89,3,0)*0.475*44/12</f>
        <v>3.2932532809315411</v>
      </c>
      <c r="EX153" s="21">
        <f>EXP(-LN(2)/2)*EX152+(1-EXP(-LN(2)/2))/(LN(2)/2)*ER153*EU153*VLOOKUP('Données projet'!$B$15,Paramètres!$A$1:$I$89,3,0)*0.475*44/12</f>
        <v>2.1543830978724676E-20</v>
      </c>
      <c r="EY153" s="22">
        <f t="shared" si="129"/>
        <v>16.176605590766961</v>
      </c>
      <c r="EZ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367.99999999999972</v>
      </c>
      <c r="FF153" s="17">
        <f>FE153*VLOOKUP('Données projet'!$B$16,Paramètres!$A$1:$I$89,3,0)*VLOOKUP('Données projet'!$B$16,Paramètres!$A$1:$I$89,5,0)</f>
        <v>292.78079999999977</v>
      </c>
      <c r="FG153" s="13">
        <f t="shared" si="155"/>
        <v>69.660903052386217</v>
      </c>
      <c r="FH153" s="20">
        <f t="shared" si="130"/>
        <v>631.25263281623893</v>
      </c>
      <c r="FI153" s="59">
        <f t="shared" si="131"/>
        <v>924.58596614957219</v>
      </c>
      <c r="FJ153" s="59">
        <f ca="1">AVERAGE(OFFSET($FI$3,0,0,'Données projet'!$E$16+1,1))-AVERAGE(OFFSET($H$3,0,0,'Données projet'!$E$16+1,1))</f>
        <v>331.52724290297675</v>
      </c>
      <c r="FK153" s="59">
        <f t="shared" si="156"/>
        <v>322.79102610158054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15.408172287214125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15.408172287214125</v>
      </c>
      <c r="FU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852.00000000000011</v>
      </c>
      <c r="GA153" s="17">
        <f>FZ153*VLOOKUP('Données projet'!$B$17,Paramètres!$A$1:$I$89,3,0)*VLOOKUP('Données projet'!$B$17,Paramètres!$A$1:$I$89,5,0)</f>
        <v>420.88800000000009</v>
      </c>
      <c r="GB153" s="13">
        <f t="shared" si="157"/>
        <v>95.998759891259041</v>
      </c>
      <c r="GC153" s="20">
        <f t="shared" si="133"/>
        <v>900.24444014394294</v>
      </c>
      <c r="GD153" s="59">
        <f t="shared" si="134"/>
        <v>1193.5777734772762</v>
      </c>
      <c r="GE153" s="59">
        <f ca="1">AVERAGE(OFFSET($GD$3,0,0,'Données projet'!$E$17+1,1))-AVERAGE(OFFSET($H$3,0,0,'Données projet'!$E$17+1,1))</f>
        <v>434.08297999735811</v>
      </c>
      <c r="GF153" s="59">
        <f t="shared" si="158"/>
        <v>371.04090283546122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39.754019408155486</v>
      </c>
      <c r="GM153" s="21">
        <f>EXP(-LN(2)/25)*GM152+(1-EXP(-LN(2)/25))/(LN(2)/25)*Calculateur!GH153*Calculateur!GJ153*VLOOKUP('Données projet'!$B$17,Paramètres!$A$1:$I$89,3,0)*0.475*44/12</f>
        <v>1.8561831883715187</v>
      </c>
      <c r="GN153" s="21">
        <f>EXP(-LN(2)/2)*GN152+(1-EXP(-LN(2)/2))/(LN(2)/2)*GH153*GK153*VLOOKUP('Données projet'!$B$17,Paramètres!$A$1:$I$89,3,0)*0.475*44/12</f>
        <v>6.5190036702289098E-19</v>
      </c>
      <c r="GO153" s="21">
        <f t="shared" si="135"/>
        <v>41.610202596527003</v>
      </c>
      <c r="GP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614.99999999999989</v>
      </c>
      <c r="GV153" s="17">
        <f>GU153*VLOOKUP('Données projet'!$B$18,Paramètres!$A$1:$I$89,3,0)*VLOOKUP('Données projet'!$B$18,Paramètres!$A$1:$I$89,5,0)</f>
        <v>351.78</v>
      </c>
      <c r="GW153" s="13">
        <f t="shared" si="159"/>
        <v>81.92892344316067</v>
      </c>
      <c r="GX153" s="20">
        <f t="shared" si="136"/>
        <v>755.37637499683808</v>
      </c>
      <c r="GY153" s="59">
        <f t="shared" si="137"/>
        <v>1048.7097083301715</v>
      </c>
      <c r="GZ153" s="59">
        <f ca="1">AVERAGE(OFFSET($GY$3,0,0,'Données projet'!$E$18+1,1))-AVERAGE(OFFSET($H$3,0,0,'Données projet'!$E$18+1,1))</f>
        <v>362.57172983134313</v>
      </c>
      <c r="HA153" s="59">
        <f t="shared" si="160"/>
        <v>232.03250917542471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32.309298800524374</v>
      </c>
      <c r="HH153" s="21">
        <f>EXP(-LN(2)/25)*HH152+(1-EXP(-LN(2)/25))/(LN(2)/25)*Calculateur!HC153*Calculateur!HE153*VLOOKUP('Données projet'!$B$18,Paramètres!$A$1:$I$89,3,0)*0.475*44/12</f>
        <v>1.1190386685876144</v>
      </c>
      <c r="HI153" s="21">
        <f>EXP(-LN(2)/2)*HI152+(1-EXP(-LN(2)/2))/(LN(2)/2)*HC153*HF153*VLOOKUP('Données projet'!$B$18,Paramètres!$A$1:$I$89,3,0)*0.475*44/12</f>
        <v>6.4950660802525477E-19</v>
      </c>
      <c r="HJ153" s="22">
        <f t="shared" si="138"/>
        <v>33.428337469111987</v>
      </c>
    </row>
    <row r="154" spans="1:218" x14ac:dyDescent="0.3">
      <c r="A154" s="10">
        <f t="shared" ref="A154:A202" si="161">A153+1</f>
        <v>151</v>
      </c>
      <c r="B154" s="71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5">
        <f t="shared" si="110"/>
        <v>455.23242795076749</v>
      </c>
      <c r="I154" s="6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266.99999999999983</v>
      </c>
      <c r="O154" s="13">
        <f>N154*VLOOKUP('Données projet'!$B$9,Paramètres!$A$1:$I$89,3,0)*VLOOKUP('Données projet'!$B$9,Paramètres!$A$1:$I$89,5,0)</f>
        <v>212.42519999999985</v>
      </c>
      <c r="P154" s="13">
        <f t="shared" si="141"/>
        <v>52.465198231787184</v>
      </c>
      <c r="Q154" s="20">
        <f t="shared" ref="Q154:Q203" si="162">(O154+P154)*0.475*44/12</f>
        <v>461.35077692036231</v>
      </c>
      <c r="R154" s="59">
        <f t="shared" si="109"/>
        <v>754.68411025369562</v>
      </c>
      <c r="S154" s="59">
        <f ca="1">AVERAGE(OFFSET($R$3,0,0,'Données projet'!$E$9+1,1))-AVERAGE(OFFSET($H$3,0,0,'Données projet'!$E$9+1,1))</f>
        <v>225.2323446080772</v>
      </c>
      <c r="T154" s="59">
        <f t="shared" si="142"/>
        <v>222.29030402759292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10.633997167540835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10.633997167540835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732.99999999999966</v>
      </c>
      <c r="AJ154" s="13">
        <f>AI154*VLOOKUP('Données projet'!$B$10,Paramètres!$A$1:$I$89,3,0)*VLOOKUP('Données projet'!$B$10,Paramètres!$A$1:$I$89,5,0)</f>
        <v>362.1019999999998</v>
      </c>
      <c r="AK154" s="13">
        <f t="shared" ref="AK154:AK203" si="164">EXP(-1.0587+0.8836*LN(AJ154)+0.284)</f>
        <v>84.049487364732272</v>
      </c>
      <c r="AL154" s="20">
        <f t="shared" ref="AL154:AL203" si="165">(AJ154+AK154)*0.475*44/12</f>
        <v>777.04717382690842</v>
      </c>
      <c r="AM154" s="59">
        <f t="shared" si="113"/>
        <v>1070.3805071602417</v>
      </c>
      <c r="AN154" s="59">
        <f ca="1">AVERAGE(OFFSET($AM$3,0,0,'Données projet'!$E$10+1,1))-AVERAGE(OFFSET($H$3,0,0,'Données projet'!$E$10+1,1))</f>
        <v>360.05819346986135</v>
      </c>
      <c r="AO154" s="59">
        <f t="shared" si="144"/>
        <v>300.47468388351081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31.845039462795555</v>
      </c>
      <c r="AV154" s="21">
        <f>EXP(-LN(2)/25)*AV153+(1-EXP(-LN(2)/25))/(LN(2)/25)*Calculateur!AQ154*Calculateur!AS154*VLOOKUP('Données projet'!$B$10,Paramètres!$A$1:$I$89,3,0)*0.475*44/12</f>
        <v>1.4771665321143257</v>
      </c>
      <c r="AW154" s="21">
        <f>EXP(-LN(2)/2)*AW153+(1-EXP(-LN(2)/2))/(LN(2)/2)*AQ154*AT154*VLOOKUP('Données projet'!$B$10,Paramètres!$A$1:$I$89,3,0)*0.475*44/12</f>
        <v>3.2160221175340837E-20</v>
      </c>
      <c r="AX154" s="21">
        <f t="shared" ref="AX154:AX203" si="166">SUM(AU154:AW154)</f>
        <v>33.322205994909879</v>
      </c>
      <c r="AY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465.00000000000006</v>
      </c>
      <c r="BE154" s="13">
        <f>BD154*VLOOKUP('Données projet'!$B$11,Paramètres!$A$1:$I$89,3,0)*VLOOKUP('Données projet'!$B$11,Paramètres!$A$1:$I$89,5,0)</f>
        <v>265.98</v>
      </c>
      <c r="BF154" s="13">
        <f t="shared" ref="BF154:BF203" si="167">EXP(-1.0587+0.8836*LN(BE154)+0.284)</f>
        <v>63.995380422211589</v>
      </c>
      <c r="BG154" s="20">
        <f t="shared" ref="BG154:BG203" si="168">(BE154+BF154)*0.475*44/12</f>
        <v>574.70712090201857</v>
      </c>
      <c r="BH154" s="59">
        <f t="shared" si="116"/>
        <v>868.04045423535194</v>
      </c>
      <c r="BI154" s="59">
        <f ca="1">AVERAGE(OFFSET($BH$3,0,0,'Données projet'!$E$11+1,1))-AVERAGE(OFFSET($H$3,0,0,'Données projet'!$E$11+1,1))</f>
        <v>250.90038883668348</v>
      </c>
      <c r="BJ154" s="59">
        <f t="shared" si="146"/>
        <v>141.96132114475608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24.389635210982178</v>
      </c>
      <c r="BQ154" s="21">
        <f>EXP(-LN(2)/25)*BQ153+(1-EXP(-LN(2)/25))/(LN(2)/25)*Calculateur!BL154*Calculateur!BN154*VLOOKUP('Données projet'!$B$11,Paramètres!$A$1:$I$89,3,0)*0.475*44/12</f>
        <v>0.41562953966017879</v>
      </c>
      <c r="BR154" s="21">
        <f>EXP(-LN(2)/2)*BR153+(1-EXP(-LN(2)/2))/(LN(2)/2)*BL154*BO154*VLOOKUP('Données projet'!$B$11,Paramètres!$A$1:$I$89,3,0)*0.475*44/12</f>
        <v>2.3171587097117299E-18</v>
      </c>
      <c r="BS154" s="22">
        <f t="shared" ref="BS154:BS203" si="169">SUM(BP154:BR154)</f>
        <v>24.805264750642358</v>
      </c>
      <c r="BT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319</v>
      </c>
      <c r="BZ154" s="13">
        <f>BY154*VLOOKUP('Données projet'!$B$12,Paramètres!$A$1:$I$89,3,0)*VLOOKUP('Données projet'!$B$12,Paramètres!$A$1:$I$89,5,0)</f>
        <v>253.79640000000001</v>
      </c>
      <c r="CA154" s="13">
        <f t="shared" ref="CA154:CA203" si="170">EXP(-1.0587+0.8836*LN(BZ154)+0.284)</f>
        <v>61.39816832228076</v>
      </c>
      <c r="CB154" s="20">
        <f t="shared" ref="CB154:CB203" si="171">(BZ154+CA154)*0.475*44/12</f>
        <v>548.96387316130563</v>
      </c>
      <c r="CC154" s="59">
        <f t="shared" si="119"/>
        <v>842.29720649463889</v>
      </c>
      <c r="CD154" s="59">
        <f ca="1">AVERAGE(OFFSET($CC$3,0,0,'Données projet'!$E$12+1,1))-AVERAGE(OFFSET($H$3,0,0,'Données projet'!$E$12+1,1))</f>
        <v>279.49721661620544</v>
      </c>
      <c r="CE154" s="59">
        <f t="shared" si="148"/>
        <v>275.18739333988754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13.031410233506117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13.031410233506117</v>
      </c>
      <c r="CO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789</v>
      </c>
      <c r="CU154" s="17">
        <f>CT154*VLOOKUP('Données projet'!$B$13,Paramètres!$A$1:$I$89,3,0)*VLOOKUP('Données projet'!$B$13,Paramètres!$A$1:$I$89,5,0)</f>
        <v>389.76600000000002</v>
      </c>
      <c r="CV154" s="13">
        <f t="shared" ref="CV154:CV203" si="173">EXP(-1.0587+0.8836*LN(CU154)+0.284)</f>
        <v>89.698759503620408</v>
      </c>
      <c r="CW154" s="20">
        <f t="shared" ref="CW154:CW203" si="174">(CU154+CV154)*0.475*44/12</f>
        <v>835.06778946880547</v>
      </c>
      <c r="CX154" s="59">
        <f t="shared" si="122"/>
        <v>1128.4011228021388</v>
      </c>
      <c r="CY154" s="59">
        <f ca="1">AVERAGE(OFFSET($CX$3,0,0,'Données projet'!$E$13+1,1))-AVERAGE(OFFSET($H$3,0,0,'Données projet'!$E$13+1,1))</f>
        <v>396.27049617044378</v>
      </c>
      <c r="CZ154" s="59">
        <f t="shared" si="150"/>
        <v>335.2680289568774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35.325577632854795</v>
      </c>
      <c r="DG154" s="21">
        <f>EXP(-LN(2)/25)*DG153+(1-EXP(-LN(2)/25))/(LN(2)/25)*Calculateur!DB154*Calculateur!DD154*VLOOKUP('Données projet'!$B$13,Paramètres!$A$1:$I$89,3,0)*0.475*44/12</f>
        <v>1.6412961467936973</v>
      </c>
      <c r="DH154" s="21">
        <f>EXP(-LN(2)/2)*DH153+(1-EXP(-LN(2)/2))/(LN(2)/2)*DB154*DE154*VLOOKUP('Données projet'!$B$13,Paramètres!$A$1:$I$89,3,0)*0.475*44/12</f>
        <v>2.3584162195249963E-19</v>
      </c>
      <c r="DI154" s="22">
        <f t="shared" ref="DI154:DI203" si="175">SUM(DF154:DH154)</f>
        <v>36.966873779648495</v>
      </c>
      <c r="DJ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541.99999999999989</v>
      </c>
      <c r="DP154" s="17">
        <f>DO154*VLOOKUP('Données projet'!$B$14,Paramètres!$A$1:$I$89,3,0)*VLOOKUP('Données projet'!$B$14,Paramètres!$A$1:$I$89,5,0)</f>
        <v>310.02399999999994</v>
      </c>
      <c r="DQ154" s="13">
        <f t="shared" ref="DQ154:DQ203" si="176">EXP(-1.0587+0.8836*LN(DP154)+0.284)</f>
        <v>73.27384230442388</v>
      </c>
      <c r="DR154" s="20">
        <f t="shared" ref="DR154:DR203" si="177">(DP154+DQ154)*0.475*44/12</f>
        <v>667.57707534687154</v>
      </c>
      <c r="DS154" s="59">
        <f t="shared" si="125"/>
        <v>960.91040868020491</v>
      </c>
      <c r="DT154" s="59">
        <f ca="1">AVERAGE(OFFSET($DS$3,0,0,'Données projet'!$E$14+1,1))-AVERAGE(OFFSET($H$3,0,0,'Données projet'!$E$14+1,1))</f>
        <v>307.43900954374504</v>
      </c>
      <c r="DU154" s="59">
        <f t="shared" si="152"/>
        <v>185.25270859048999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28.088920653076332</v>
      </c>
      <c r="EB154" s="21">
        <f>EXP(-LN(2)/25)*EB153+(1-EXP(-LN(2)/25))/(LN(2)/25)*Calculateur!DW154*Calculateur!DY154*VLOOKUP('Données projet'!$B$14,Paramètres!$A$1:$I$89,3,0)*0.475*44/12</f>
        <v>0.93294728344062727</v>
      </c>
      <c r="EC154" s="21">
        <f>EXP(-LN(2)/2)*EC153+(1-EXP(-LN(2)/2))/(LN(2)/2)*DW154*DZ154*VLOOKUP('Données projet'!$B$14,Paramètres!$A$1:$I$89,3,0)*0.475*44/12</f>
        <v>2.2342890500763112E-19</v>
      </c>
      <c r="ED154" s="22">
        <f t="shared" ref="ED154:ED203" si="178">SUM(EA154:EC154)</f>
        <v>29.021867936516959</v>
      </c>
      <c r="EE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401</v>
      </c>
      <c r="EK154" s="17">
        <f>EJ154*VLOOKUP('Données projet'!$B$15,Paramètres!$A$1:$I$89,3,0)*VLOOKUP('Données projet'!$B$15,Paramètres!$A$1:$I$89,5,0)</f>
        <v>250.22399999999999</v>
      </c>
      <c r="EL154" s="13">
        <f t="shared" ref="EL154:EL203" si="179">EXP(-1.0587+0.8836*LN(EK154)+0.284)</f>
        <v>60.633904580527918</v>
      </c>
      <c r="EM154" s="20">
        <f t="shared" ref="EM154:EM203" si="180">(EK154+EL154)*0.475*44/12</f>
        <v>541.41085047775289</v>
      </c>
      <c r="EN154" s="59">
        <f t="shared" si="128"/>
        <v>834.74418381108626</v>
      </c>
      <c r="EO154" s="59">
        <f ca="1">AVERAGE(OFFSET($EN$3,0,0,'Données projet'!$E$15+1,1))-AVERAGE(OFFSET($H$3,0,0,'Données projet'!$E$15+1,1))</f>
        <v>269.77739619445515</v>
      </c>
      <c r="EP154" s="59">
        <f t="shared" si="154"/>
        <v>347.56964743629885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12.630717629108537</v>
      </c>
      <c r="EW154" s="21">
        <f>EXP(-LN(2)/25)*EW153+(1-EXP(-LN(2)/25))/(LN(2)/25)*Calculateur!ER154*Calculateur!ET154*VLOOKUP('Données projet'!$B$15,Paramètres!$A$1:$I$89,3,0)*0.475*44/12</f>
        <v>3.2031990967798047</v>
      </c>
      <c r="EX154" s="21">
        <f>EXP(-LN(2)/2)*EX153+(1-EXP(-LN(2)/2))/(LN(2)/2)*ER154*EU154*VLOOKUP('Données projet'!$B$15,Paramètres!$A$1:$I$89,3,0)*0.475*44/12</f>
        <v>1.5233788977793033E-20</v>
      </c>
      <c r="EY154" s="22">
        <f t="shared" ref="EY154:EY203" si="181">SUM(EV154:EX154)</f>
        <v>15.833916725888342</v>
      </c>
      <c r="EZ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367.99999999999972</v>
      </c>
      <c r="FF154" s="17">
        <f>FE154*VLOOKUP('Données projet'!$B$16,Paramètres!$A$1:$I$89,3,0)*VLOOKUP('Données projet'!$B$16,Paramètres!$A$1:$I$89,5,0)</f>
        <v>292.78079999999977</v>
      </c>
      <c r="FG154" s="13">
        <f t="shared" ref="FG154:FG203" si="182">EXP(-1.0587+0.8836*LN(FF154)+0.284)</f>
        <v>69.660903052386217</v>
      </c>
      <c r="FH154" s="20">
        <f t="shared" ref="FH154:FH203" si="183">(FF154+FG154)*0.475*44/12</f>
        <v>631.25263281623893</v>
      </c>
      <c r="FI154" s="59">
        <f t="shared" si="131"/>
        <v>924.58596614957219</v>
      </c>
      <c r="FJ154" s="59">
        <f ca="1">AVERAGE(OFFSET($FI$3,0,0,'Données projet'!$E$16+1,1))-AVERAGE(OFFSET($H$3,0,0,'Données projet'!$E$16+1,1))</f>
        <v>331.52724290297675</v>
      </c>
      <c r="FK154" s="59">
        <f t="shared" si="156"/>
        <v>322.79102610158054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15.10602742671897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15.10602742671897</v>
      </c>
      <c r="FU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852.00000000000011</v>
      </c>
      <c r="GA154" s="17">
        <f>FZ154*VLOOKUP('Données projet'!$B$17,Paramètres!$A$1:$I$89,3,0)*VLOOKUP('Données projet'!$B$17,Paramètres!$A$1:$I$89,5,0)</f>
        <v>420.88800000000009</v>
      </c>
      <c r="GB154" s="13">
        <f t="shared" ref="GB154:GB203" si="185">EXP(-1.0587+0.8836*LN(GA154)+0.284)</f>
        <v>95.998759891259041</v>
      </c>
      <c r="GC154" s="20">
        <f t="shared" ref="GC154:GC203" si="186">(GA154+GB154)*0.475*44/12</f>
        <v>900.24444014394294</v>
      </c>
      <c r="GD154" s="59">
        <f t="shared" si="134"/>
        <v>1193.5777734772762</v>
      </c>
      <c r="GE154" s="59">
        <f ca="1">AVERAGE(OFFSET($GD$3,0,0,'Données projet'!$E$17+1,1))-AVERAGE(OFFSET($H$3,0,0,'Données projet'!$E$17+1,1))</f>
        <v>434.08297999735811</v>
      </c>
      <c r="GF154" s="59">
        <f t="shared" si="158"/>
        <v>371.04090283546122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38.974467335119151</v>
      </c>
      <c r="GM154" s="21">
        <f>EXP(-LN(2)/25)*GM153+(1-EXP(-LN(2)/25))/(LN(2)/25)*Calculateur!GH154*Calculateur!GJ154*VLOOKUP('Données projet'!$B$17,Paramètres!$A$1:$I$89,3,0)*0.475*44/12</f>
        <v>1.805425761473068</v>
      </c>
      <c r="GN154" s="21">
        <f>EXP(-LN(2)/2)*GN153+(1-EXP(-LN(2)/2))/(LN(2)/2)*GH154*GK154*VLOOKUP('Données projet'!$B$17,Paramètres!$A$1:$I$89,3,0)*0.475*44/12</f>
        <v>4.6096317017988538E-19</v>
      </c>
      <c r="GO154" s="21">
        <f t="shared" ref="GO154:GO203" si="187">SUM(GL154:GN154)</f>
        <v>40.779893096592218</v>
      </c>
      <c r="GP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614.99999999999989</v>
      </c>
      <c r="GV154" s="17">
        <f>GU154*VLOOKUP('Données projet'!$B$18,Paramètres!$A$1:$I$89,3,0)*VLOOKUP('Données projet'!$B$18,Paramètres!$A$1:$I$89,5,0)</f>
        <v>351.78</v>
      </c>
      <c r="GW154" s="13">
        <f t="shared" ref="GW154:GW203" si="188">EXP(-1.0587+0.8836*LN(GV154)+0.284)</f>
        <v>81.92892344316067</v>
      </c>
      <c r="GX154" s="20">
        <f t="shared" ref="GX154:GX203" si="189">(GV154+GW154)*0.475*44/12</f>
        <v>755.37637499683808</v>
      </c>
      <c r="GY154" s="59">
        <f t="shared" si="137"/>
        <v>1048.7097083301715</v>
      </c>
      <c r="GZ154" s="59">
        <f ca="1">AVERAGE(OFFSET($GY$3,0,0,'Données projet'!$E$18+1,1))-AVERAGE(OFFSET($H$3,0,0,'Données projet'!$E$18+1,1))</f>
        <v>362.57172983134313</v>
      </c>
      <c r="HA154" s="59">
        <f t="shared" si="160"/>
        <v>232.03250917542471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31.675733157772481</v>
      </c>
      <c r="HH154" s="21">
        <f>EXP(-LN(2)/25)*HH153+(1-EXP(-LN(2)/25))/(LN(2)/25)*Calculateur!HC154*Calculateur!HE154*VLOOKUP('Données projet'!$B$18,Paramètres!$A$1:$I$89,3,0)*0.475*44/12</f>
        <v>1.0884384973474002</v>
      </c>
      <c r="HI154" s="21">
        <f>EXP(-LN(2)/2)*HI153+(1-EXP(-LN(2)/2))/(LN(2)/2)*HC154*HF154*VLOOKUP('Données projet'!$B$18,Paramètres!$A$1:$I$89,3,0)*0.475*44/12</f>
        <v>4.5927052696013051E-19</v>
      </c>
      <c r="HJ154" s="22">
        <f t="shared" ref="HJ154:HJ203" si="190">SUM(HG154:HI154)</f>
        <v>32.764171655119881</v>
      </c>
    </row>
    <row r="155" spans="1:218" x14ac:dyDescent="0.3">
      <c r="A155" s="10">
        <f t="shared" si="161"/>
        <v>152</v>
      </c>
      <c r="B155" s="71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5">
        <f t="shared" si="110"/>
        <v>456.27723918360118</v>
      </c>
      <c r="I155" s="6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266.99999999999983</v>
      </c>
      <c r="O155" s="13">
        <f>N155*VLOOKUP('Données projet'!$B$9,Paramètres!$A$1:$I$89,3,0)*VLOOKUP('Données projet'!$B$9,Paramètres!$A$1:$I$89,5,0)</f>
        <v>212.42519999999985</v>
      </c>
      <c r="P155" s="13">
        <f t="shared" si="141"/>
        <v>52.465198231787184</v>
      </c>
      <c r="Q155" s="20">
        <f t="shared" si="162"/>
        <v>461.35077692036231</v>
      </c>
      <c r="R155" s="59">
        <f t="shared" si="109"/>
        <v>754.68411025369562</v>
      </c>
      <c r="S155" s="59">
        <f ca="1">AVERAGE(OFFSET($R$3,0,0,'Données projet'!$E$9+1,1))-AVERAGE(OFFSET($H$3,0,0,'Données projet'!$E$9+1,1))</f>
        <v>225.2323446080772</v>
      </c>
      <c r="T155" s="59">
        <f t="shared" si="142"/>
        <v>222.29030402759292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10.425470969183182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10.425470969183182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732.99999999999966</v>
      </c>
      <c r="AJ155" s="13">
        <f>AI155*VLOOKUP('Données projet'!$B$10,Paramètres!$A$1:$I$89,3,0)*VLOOKUP('Données projet'!$B$10,Paramètres!$A$1:$I$89,5,0)</f>
        <v>362.1019999999998</v>
      </c>
      <c r="AK155" s="13">
        <f t="shared" si="164"/>
        <v>84.049487364732272</v>
      </c>
      <c r="AL155" s="20">
        <f t="shared" si="165"/>
        <v>777.04717382690842</v>
      </c>
      <c r="AM155" s="59">
        <f t="shared" si="113"/>
        <v>1070.3805071602417</v>
      </c>
      <c r="AN155" s="59">
        <f ca="1">AVERAGE(OFFSET($AM$3,0,0,'Données projet'!$E$10+1,1))-AVERAGE(OFFSET($H$3,0,0,'Données projet'!$E$10+1,1))</f>
        <v>360.05819346986135</v>
      </c>
      <c r="AO155" s="59">
        <f t="shared" si="144"/>
        <v>300.47468388351081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31.220577662486289</v>
      </c>
      <c r="AV155" s="21">
        <f>EXP(-LN(2)/25)*AV154+(1-EXP(-LN(2)/25))/(LN(2)/25)*Calculateur!AQ155*Calculateur!AS155*VLOOKUP('Données projet'!$B$10,Paramètres!$A$1:$I$89,3,0)*0.475*44/12</f>
        <v>1.4367733356128476</v>
      </c>
      <c r="AW155" s="21">
        <f>EXP(-LN(2)/2)*AW154+(1-EXP(-LN(2)/2))/(LN(2)/2)*AQ155*AT155*VLOOKUP('Données projet'!$B$10,Paramètres!$A$1:$I$89,3,0)*0.475*44/12</f>
        <v>2.2740710477542706E-20</v>
      </c>
      <c r="AX155" s="21">
        <f t="shared" si="166"/>
        <v>32.657350998099133</v>
      </c>
      <c r="AY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465.00000000000006</v>
      </c>
      <c r="BE155" s="13">
        <f>BD155*VLOOKUP('Données projet'!$B$11,Paramètres!$A$1:$I$89,3,0)*VLOOKUP('Données projet'!$B$11,Paramètres!$A$1:$I$89,5,0)</f>
        <v>265.98</v>
      </c>
      <c r="BF155" s="13">
        <f t="shared" si="167"/>
        <v>63.995380422211589</v>
      </c>
      <c r="BG155" s="20">
        <f t="shared" si="168"/>
        <v>574.70712090201857</v>
      </c>
      <c r="BH155" s="59">
        <f t="shared" si="116"/>
        <v>868.04045423535194</v>
      </c>
      <c r="BI155" s="59">
        <f ca="1">AVERAGE(OFFSET($BH$3,0,0,'Données projet'!$E$11+1,1))-AVERAGE(OFFSET($H$3,0,0,'Données projet'!$E$11+1,1))</f>
        <v>250.90038883668348</v>
      </c>
      <c r="BJ155" s="59">
        <f t="shared" si="146"/>
        <v>141.96132114475608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23.911369340703391</v>
      </c>
      <c r="BQ155" s="21">
        <f>EXP(-LN(2)/25)*BQ154+(1-EXP(-LN(2)/25))/(LN(2)/25)*Calculateur!BL155*Calculateur!BN155*VLOOKUP('Données projet'!$B$11,Paramètres!$A$1:$I$89,3,0)*0.475*44/12</f>
        <v>0.40426412804116363</v>
      </c>
      <c r="BR155" s="21">
        <f>EXP(-LN(2)/2)*BR154+(1-EXP(-LN(2)/2))/(LN(2)/2)*BL155*BO155*VLOOKUP('Données projet'!$B$11,Paramètres!$A$1:$I$89,3,0)*0.475*44/12</f>
        <v>1.638478636722635E-18</v>
      </c>
      <c r="BS155" s="22">
        <f t="shared" si="169"/>
        <v>24.315633468744554</v>
      </c>
      <c r="BT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319</v>
      </c>
      <c r="BZ155" s="13">
        <f>BY155*VLOOKUP('Données projet'!$B$12,Paramètres!$A$1:$I$89,3,0)*VLOOKUP('Données projet'!$B$12,Paramètres!$A$1:$I$89,5,0)</f>
        <v>253.79640000000001</v>
      </c>
      <c r="CA155" s="13">
        <f t="shared" si="170"/>
        <v>61.39816832228076</v>
      </c>
      <c r="CB155" s="20">
        <f t="shared" si="171"/>
        <v>548.96387316130563</v>
      </c>
      <c r="CC155" s="59">
        <f t="shared" si="119"/>
        <v>842.29720649463889</v>
      </c>
      <c r="CD155" s="59">
        <f ca="1">AVERAGE(OFFSET($CC$3,0,0,'Données projet'!$E$12+1,1))-AVERAGE(OFFSET($H$3,0,0,'Données projet'!$E$12+1,1))</f>
        <v>279.49721661620544</v>
      </c>
      <c r="CE155" s="59">
        <f t="shared" si="148"/>
        <v>275.18739333988754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12.775872227202468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12.775872227202468</v>
      </c>
      <c r="CO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789</v>
      </c>
      <c r="CU155" s="17">
        <f>CT155*VLOOKUP('Données projet'!$B$13,Paramètres!$A$1:$I$89,3,0)*VLOOKUP('Données projet'!$B$13,Paramètres!$A$1:$I$89,5,0)</f>
        <v>389.76600000000002</v>
      </c>
      <c r="CV155" s="13">
        <f t="shared" si="173"/>
        <v>89.698759503620408</v>
      </c>
      <c r="CW155" s="20">
        <f t="shared" si="174"/>
        <v>835.06778946880547</v>
      </c>
      <c r="CX155" s="59">
        <f t="shared" si="122"/>
        <v>1128.4011228021388</v>
      </c>
      <c r="CY155" s="59">
        <f ca="1">AVERAGE(OFFSET($CX$3,0,0,'Données projet'!$E$13+1,1))-AVERAGE(OFFSET($H$3,0,0,'Données projet'!$E$13+1,1))</f>
        <v>396.27049617044378</v>
      </c>
      <c r="CZ155" s="59">
        <f t="shared" si="150"/>
        <v>335.2680289568774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34.632864601949329</v>
      </c>
      <c r="DG155" s="21">
        <f>EXP(-LN(2)/25)*DG154+(1-EXP(-LN(2)/25))/(LN(2)/25)*Calculateur!DB155*Calculateur!DD155*VLOOKUP('Données projet'!$B$13,Paramètres!$A$1:$I$89,3,0)*0.475*44/12</f>
        <v>1.5964148173476105</v>
      </c>
      <c r="DH155" s="21">
        <f>EXP(-LN(2)/2)*DH154+(1-EXP(-LN(2)/2))/(LN(2)/2)*DB155*DE155*VLOOKUP('Données projet'!$B$13,Paramètres!$A$1:$I$89,3,0)*0.475*44/12</f>
        <v>1.6676521016864662E-19</v>
      </c>
      <c r="DI155" s="22">
        <f t="shared" si="175"/>
        <v>36.229279419296937</v>
      </c>
      <c r="DJ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541.99999999999989</v>
      </c>
      <c r="DP155" s="17">
        <f>DO155*VLOOKUP('Données projet'!$B$14,Paramètres!$A$1:$I$89,3,0)*VLOOKUP('Données projet'!$B$14,Paramètres!$A$1:$I$89,5,0)</f>
        <v>310.02399999999994</v>
      </c>
      <c r="DQ155" s="13">
        <f t="shared" si="176"/>
        <v>73.27384230442388</v>
      </c>
      <c r="DR155" s="20">
        <f t="shared" si="177"/>
        <v>667.57707534687154</v>
      </c>
      <c r="DS155" s="59">
        <f t="shared" si="125"/>
        <v>960.91040868020491</v>
      </c>
      <c r="DT155" s="59">
        <f ca="1">AVERAGE(OFFSET($DS$3,0,0,'Données projet'!$E$14+1,1))-AVERAGE(OFFSET($H$3,0,0,'Données projet'!$E$14+1,1))</f>
        <v>307.43900954374504</v>
      </c>
      <c r="DU155" s="59">
        <f t="shared" si="152"/>
        <v>185.25270859048999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27.538114051619406</v>
      </c>
      <c r="EB155" s="21">
        <f>EXP(-LN(2)/25)*EB154+(1-EXP(-LN(2)/25))/(LN(2)/25)*Calculateur!DW155*Calculateur!DY155*VLOOKUP('Données projet'!$B$14,Paramètres!$A$1:$I$89,3,0)*0.475*44/12</f>
        <v>0.907435790913378</v>
      </c>
      <c r="EC155" s="21">
        <f>EXP(-LN(2)/2)*EC154+(1-EXP(-LN(2)/2))/(LN(2)/2)*DW155*DZ155*VLOOKUP('Données projet'!$B$14,Paramètres!$A$1:$I$89,3,0)*0.475*44/12</f>
        <v>1.5798809384398094E-19</v>
      </c>
      <c r="ED155" s="22">
        <f t="shared" si="178"/>
        <v>28.445549842532785</v>
      </c>
      <c r="EE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401</v>
      </c>
      <c r="EK155" s="17">
        <f>EJ155*VLOOKUP('Données projet'!$B$15,Paramètres!$A$1:$I$89,3,0)*VLOOKUP('Données projet'!$B$15,Paramètres!$A$1:$I$89,5,0)</f>
        <v>250.22399999999999</v>
      </c>
      <c r="EL155" s="13">
        <f t="shared" si="179"/>
        <v>60.633904580527918</v>
      </c>
      <c r="EM155" s="20">
        <f t="shared" si="180"/>
        <v>541.41085047775289</v>
      </c>
      <c r="EN155" s="59">
        <f t="shared" si="128"/>
        <v>834.74418381108626</v>
      </c>
      <c r="EO155" s="59">
        <f ca="1">AVERAGE(OFFSET($EN$3,0,0,'Données projet'!$E$15+1,1))-AVERAGE(OFFSET($H$3,0,0,'Données projet'!$E$15+1,1))</f>
        <v>269.77739619445515</v>
      </c>
      <c r="EP155" s="59">
        <f t="shared" si="154"/>
        <v>347.56964743629885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12.383036960378767</v>
      </c>
      <c r="EW155" s="21">
        <f>EXP(-LN(2)/25)*EW154+(1-EXP(-LN(2)/25))/(LN(2)/25)*Calculateur!ER155*Calculateur!ET155*VLOOKUP('Données projet'!$B$15,Paramètres!$A$1:$I$89,3,0)*0.475*44/12</f>
        <v>3.1156074490294414</v>
      </c>
      <c r="EX155" s="21">
        <f>EXP(-LN(2)/2)*EX154+(1-EXP(-LN(2)/2))/(LN(2)/2)*ER155*EU155*VLOOKUP('Données projet'!$B$15,Paramètres!$A$1:$I$89,3,0)*0.475*44/12</f>
        <v>1.0771915489362338E-20</v>
      </c>
      <c r="EY155" s="22">
        <f t="shared" si="181"/>
        <v>15.498644409408209</v>
      </c>
      <c r="EZ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367.99999999999972</v>
      </c>
      <c r="FF155" s="17">
        <f>FE155*VLOOKUP('Données projet'!$B$16,Paramètres!$A$1:$I$89,3,0)*VLOOKUP('Données projet'!$B$16,Paramètres!$A$1:$I$89,5,0)</f>
        <v>292.78079999999977</v>
      </c>
      <c r="FG155" s="13">
        <f t="shared" si="182"/>
        <v>69.660903052386217</v>
      </c>
      <c r="FH155" s="20">
        <f t="shared" si="183"/>
        <v>631.25263281623893</v>
      </c>
      <c r="FI155" s="59">
        <f t="shared" si="131"/>
        <v>924.58596614957219</v>
      </c>
      <c r="FJ155" s="59">
        <f ca="1">AVERAGE(OFFSET($FI$3,0,0,'Données projet'!$E$16+1,1))-AVERAGE(OFFSET($H$3,0,0,'Données projet'!$E$16+1,1))</f>
        <v>331.52724290297675</v>
      </c>
      <c r="FK155" s="59">
        <f t="shared" si="156"/>
        <v>322.79102610158054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14.809807442647958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14.809807442647958</v>
      </c>
      <c r="FU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852.00000000000011</v>
      </c>
      <c r="GA155" s="17">
        <f>FZ155*VLOOKUP('Données projet'!$B$17,Paramètres!$A$1:$I$89,3,0)*VLOOKUP('Données projet'!$B$17,Paramètres!$A$1:$I$89,5,0)</f>
        <v>420.88800000000009</v>
      </c>
      <c r="GB155" s="13">
        <f t="shared" si="185"/>
        <v>95.998759891259041</v>
      </c>
      <c r="GC155" s="20">
        <f t="shared" si="186"/>
        <v>900.24444014394294</v>
      </c>
      <c r="GD155" s="59">
        <f t="shared" si="134"/>
        <v>1193.5777734772762</v>
      </c>
      <c r="GE155" s="59">
        <f ca="1">AVERAGE(OFFSET($GD$3,0,0,'Données projet'!$E$17+1,1))-AVERAGE(OFFSET($H$3,0,0,'Données projet'!$E$17+1,1))</f>
        <v>434.08297999735811</v>
      </c>
      <c r="GF155" s="59">
        <f t="shared" si="158"/>
        <v>371.04090283546122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38.210201802755243</v>
      </c>
      <c r="GM155" s="21">
        <f>EXP(-LN(2)/25)*GM154+(1-EXP(-LN(2)/25))/(LN(2)/25)*Calculateur!GH155*Calculateur!GJ155*VLOOKUP('Données projet'!$B$17,Paramètres!$A$1:$I$89,3,0)*0.475*44/12</f>
        <v>1.7560562990823725</v>
      </c>
      <c r="GN155" s="21">
        <f>EXP(-LN(2)/2)*GN154+(1-EXP(-LN(2)/2))/(LN(2)/2)*GH155*GK155*VLOOKUP('Données projet'!$B$17,Paramètres!$A$1:$I$89,3,0)*0.475*44/12</f>
        <v>3.2595018351144549E-19</v>
      </c>
      <c r="GO155" s="21">
        <f t="shared" si="187"/>
        <v>39.966258101837617</v>
      </c>
      <c r="GP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614.99999999999989</v>
      </c>
      <c r="GV155" s="17">
        <f>GU155*VLOOKUP('Données projet'!$B$18,Paramètres!$A$1:$I$89,3,0)*VLOOKUP('Données projet'!$B$18,Paramètres!$A$1:$I$89,5,0)</f>
        <v>351.78</v>
      </c>
      <c r="GW155" s="13">
        <f t="shared" si="188"/>
        <v>81.92892344316067</v>
      </c>
      <c r="GX155" s="20">
        <f t="shared" si="189"/>
        <v>755.37637499683808</v>
      </c>
      <c r="GY155" s="59">
        <f t="shared" si="137"/>
        <v>1048.7097083301715</v>
      </c>
      <c r="GZ155" s="59">
        <f ca="1">AVERAGE(OFFSET($GY$3,0,0,'Données projet'!$E$18+1,1))-AVERAGE(OFFSET($H$3,0,0,'Données projet'!$E$18+1,1))</f>
        <v>362.57172983134313</v>
      </c>
      <c r="HA155" s="59">
        <f t="shared" si="160"/>
        <v>232.03250917542471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31.05459135083807</v>
      </c>
      <c r="HH155" s="21">
        <f>EXP(-LN(2)/25)*HH154+(1-EXP(-LN(2)/25))/(LN(2)/25)*Calculateur!HC155*Calculateur!HE155*VLOOKUP('Données projet'!$B$18,Paramètres!$A$1:$I$89,3,0)*0.475*44/12</f>
        <v>1.0586750893989425</v>
      </c>
      <c r="HI155" s="21">
        <f>EXP(-LN(2)/2)*HI154+(1-EXP(-LN(2)/2))/(LN(2)/2)*HC155*HF155*VLOOKUP('Données projet'!$B$18,Paramètres!$A$1:$I$89,3,0)*0.475*44/12</f>
        <v>3.2475330401262738E-19</v>
      </c>
      <c r="HJ155" s="22">
        <f t="shared" si="190"/>
        <v>32.113266440237012</v>
      </c>
    </row>
    <row r="156" spans="1:218" x14ac:dyDescent="0.3">
      <c r="A156" s="10">
        <f t="shared" si="161"/>
        <v>153</v>
      </c>
      <c r="B156" s="71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5">
        <f t="shared" si="110"/>
        <v>457.32189190423196</v>
      </c>
      <c r="I156" s="6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266.99999999999983</v>
      </c>
      <c r="O156" s="13">
        <f>N156*VLOOKUP('Données projet'!$B$9,Paramètres!$A$1:$I$89,3,0)*VLOOKUP('Données projet'!$B$9,Paramètres!$A$1:$I$89,5,0)</f>
        <v>212.42519999999985</v>
      </c>
      <c r="P156" s="13">
        <f t="shared" si="141"/>
        <v>52.465198231787184</v>
      </c>
      <c r="Q156" s="20">
        <f t="shared" si="162"/>
        <v>461.35077692036231</v>
      </c>
      <c r="R156" s="59">
        <f t="shared" si="109"/>
        <v>754.68411025369562</v>
      </c>
      <c r="S156" s="59">
        <f ca="1">AVERAGE(OFFSET($R$3,0,0,'Données projet'!$E$9+1,1))-AVERAGE(OFFSET($H$3,0,0,'Données projet'!$E$9+1,1))</f>
        <v>225.2323446080772</v>
      </c>
      <c r="T156" s="59">
        <f t="shared" si="142"/>
        <v>222.29030402759292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10.221033842386902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10.221033842386902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732.99999999999966</v>
      </c>
      <c r="AJ156" s="13">
        <f>AI156*VLOOKUP('Données projet'!$B$10,Paramètres!$A$1:$I$89,3,0)*VLOOKUP('Données projet'!$B$10,Paramètres!$A$1:$I$89,5,0)</f>
        <v>362.1019999999998</v>
      </c>
      <c r="AK156" s="13">
        <f t="shared" si="164"/>
        <v>84.049487364732272</v>
      </c>
      <c r="AL156" s="20">
        <f t="shared" si="165"/>
        <v>777.04717382690842</v>
      </c>
      <c r="AM156" s="59">
        <f t="shared" si="113"/>
        <v>1070.3805071602417</v>
      </c>
      <c r="AN156" s="59">
        <f ca="1">AVERAGE(OFFSET($AM$3,0,0,'Données projet'!$E$10+1,1))-AVERAGE(OFFSET($H$3,0,0,'Données projet'!$E$10+1,1))</f>
        <v>360.05819346986135</v>
      </c>
      <c r="AO156" s="59">
        <f t="shared" si="144"/>
        <v>300.47468388351081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30.608361177197001</v>
      </c>
      <c r="AV156" s="21">
        <f>EXP(-LN(2)/25)*AV155+(1-EXP(-LN(2)/25))/(LN(2)/25)*Calculateur!AQ156*Calculateur!AS156*VLOOKUP('Données projet'!$B$10,Paramètres!$A$1:$I$89,3,0)*0.475*44/12</f>
        <v>1.3974846931938882</v>
      </c>
      <c r="AW156" s="21">
        <f>EXP(-LN(2)/2)*AW155+(1-EXP(-LN(2)/2))/(LN(2)/2)*AQ156*AT156*VLOOKUP('Données projet'!$B$10,Paramètres!$A$1:$I$89,3,0)*0.475*44/12</f>
        <v>1.6080110587670418E-20</v>
      </c>
      <c r="AX156" s="21">
        <f t="shared" si="166"/>
        <v>32.005845870390885</v>
      </c>
      <c r="AY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465.00000000000006</v>
      </c>
      <c r="BE156" s="13">
        <f>BD156*VLOOKUP('Données projet'!$B$11,Paramètres!$A$1:$I$89,3,0)*VLOOKUP('Données projet'!$B$11,Paramètres!$A$1:$I$89,5,0)</f>
        <v>265.98</v>
      </c>
      <c r="BF156" s="13">
        <f t="shared" si="167"/>
        <v>63.995380422211589</v>
      </c>
      <c r="BG156" s="20">
        <f t="shared" si="168"/>
        <v>574.70712090201857</v>
      </c>
      <c r="BH156" s="59">
        <f t="shared" si="116"/>
        <v>868.04045423535194</v>
      </c>
      <c r="BI156" s="59">
        <f ca="1">AVERAGE(OFFSET($BH$3,0,0,'Données projet'!$E$11+1,1))-AVERAGE(OFFSET($H$3,0,0,'Données projet'!$E$11+1,1))</f>
        <v>250.90038883668348</v>
      </c>
      <c r="BJ156" s="59">
        <f t="shared" si="146"/>
        <v>141.96132114475608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23.442481972427398</v>
      </c>
      <c r="BQ156" s="21">
        <f>EXP(-LN(2)/25)*BQ155+(1-EXP(-LN(2)/25))/(LN(2)/25)*Calculateur!BL156*Calculateur!BN156*VLOOKUP('Données projet'!$B$11,Paramètres!$A$1:$I$89,3,0)*0.475*44/12</f>
        <v>0.39320950420055145</v>
      </c>
      <c r="BR156" s="21">
        <f>EXP(-LN(2)/2)*BR155+(1-EXP(-LN(2)/2))/(LN(2)/2)*BL156*BO156*VLOOKUP('Données projet'!$B$11,Paramètres!$A$1:$I$89,3,0)*0.475*44/12</f>
        <v>1.158579354855865E-18</v>
      </c>
      <c r="BS156" s="22">
        <f t="shared" si="169"/>
        <v>23.83569147662795</v>
      </c>
      <c r="BT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319</v>
      </c>
      <c r="BZ156" s="13">
        <f>BY156*VLOOKUP('Données projet'!$B$12,Paramètres!$A$1:$I$89,3,0)*VLOOKUP('Données projet'!$B$12,Paramètres!$A$1:$I$89,5,0)</f>
        <v>253.79640000000001</v>
      </c>
      <c r="CA156" s="13">
        <f t="shared" si="170"/>
        <v>61.39816832228076</v>
      </c>
      <c r="CB156" s="20">
        <f t="shared" si="171"/>
        <v>548.96387316130563</v>
      </c>
      <c r="CC156" s="59">
        <f t="shared" si="119"/>
        <v>842.29720649463889</v>
      </c>
      <c r="CD156" s="59">
        <f ca="1">AVERAGE(OFFSET($CC$3,0,0,'Données projet'!$E$12+1,1))-AVERAGE(OFFSET($H$3,0,0,'Données projet'!$E$12+1,1))</f>
        <v>279.49721661620544</v>
      </c>
      <c r="CE156" s="59">
        <f t="shared" si="148"/>
        <v>275.18739333988754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12.52534516533964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12.52534516533964</v>
      </c>
      <c r="CO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789</v>
      </c>
      <c r="CU156" s="17">
        <f>CT156*VLOOKUP('Données projet'!$B$13,Paramètres!$A$1:$I$89,3,0)*VLOOKUP('Données projet'!$B$13,Paramètres!$A$1:$I$89,5,0)</f>
        <v>389.76600000000002</v>
      </c>
      <c r="CV156" s="13">
        <f t="shared" si="173"/>
        <v>89.698759503620408</v>
      </c>
      <c r="CW156" s="20">
        <f t="shared" si="174"/>
        <v>835.06778946880547</v>
      </c>
      <c r="CX156" s="59">
        <f t="shared" si="122"/>
        <v>1128.4011228021388</v>
      </c>
      <c r="CY156" s="59">
        <f ca="1">AVERAGE(OFFSET($CX$3,0,0,'Données projet'!$E$13+1,1))-AVERAGE(OFFSET($H$3,0,0,'Données projet'!$E$13+1,1))</f>
        <v>396.27049617044378</v>
      </c>
      <c r="CZ156" s="59">
        <f t="shared" si="150"/>
        <v>335.2680289568774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33.953735251066689</v>
      </c>
      <c r="DG156" s="21">
        <f>EXP(-LN(2)/25)*DG155+(1-EXP(-LN(2)/25))/(LN(2)/25)*Calculateur!DB156*Calculateur!DD156*VLOOKUP('Données projet'!$B$13,Paramètres!$A$1:$I$89,3,0)*0.475*44/12</f>
        <v>1.5527607702154336</v>
      </c>
      <c r="DH156" s="21">
        <f>EXP(-LN(2)/2)*DH155+(1-EXP(-LN(2)/2))/(LN(2)/2)*DB156*DE156*VLOOKUP('Données projet'!$B$13,Paramètres!$A$1:$I$89,3,0)*0.475*44/12</f>
        <v>1.1792081097624981E-19</v>
      </c>
      <c r="DI156" s="22">
        <f t="shared" si="175"/>
        <v>35.506496021282125</v>
      </c>
      <c r="DJ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541.99999999999989</v>
      </c>
      <c r="DP156" s="17">
        <f>DO156*VLOOKUP('Données projet'!$B$14,Paramètres!$A$1:$I$89,3,0)*VLOOKUP('Données projet'!$B$14,Paramètres!$A$1:$I$89,5,0)</f>
        <v>310.02399999999994</v>
      </c>
      <c r="DQ156" s="13">
        <f t="shared" si="176"/>
        <v>73.27384230442388</v>
      </c>
      <c r="DR156" s="20">
        <f t="shared" si="177"/>
        <v>667.57707534687154</v>
      </c>
      <c r="DS156" s="59">
        <f t="shared" si="125"/>
        <v>960.91040868020491</v>
      </c>
      <c r="DT156" s="59">
        <f ca="1">AVERAGE(OFFSET($DS$3,0,0,'Données projet'!$E$14+1,1))-AVERAGE(OFFSET($H$3,0,0,'Données projet'!$E$14+1,1))</f>
        <v>307.43900954374504</v>
      </c>
      <c r="DU156" s="59">
        <f t="shared" si="152"/>
        <v>185.25270859048999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26.998108431658196</v>
      </c>
      <c r="EB156" s="21">
        <f>EXP(-LN(2)/25)*EB155+(1-EXP(-LN(2)/25))/(LN(2)/25)*Calculateur!DW156*Calculateur!DY156*VLOOKUP('Données projet'!$B$14,Paramètres!$A$1:$I$89,3,0)*0.475*44/12</f>
        <v>0.88262191149087743</v>
      </c>
      <c r="EC156" s="21">
        <f>EXP(-LN(2)/2)*EC155+(1-EXP(-LN(2)/2))/(LN(2)/2)*DW156*DZ156*VLOOKUP('Données projet'!$B$14,Paramètres!$A$1:$I$89,3,0)*0.475*44/12</f>
        <v>1.1171445250381556E-19</v>
      </c>
      <c r="ED156" s="22">
        <f t="shared" si="178"/>
        <v>27.880730343149072</v>
      </c>
      <c r="EE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401</v>
      </c>
      <c r="EK156" s="17">
        <f>EJ156*VLOOKUP('Données projet'!$B$15,Paramètres!$A$1:$I$89,3,0)*VLOOKUP('Données projet'!$B$15,Paramètres!$A$1:$I$89,5,0)</f>
        <v>250.22399999999999</v>
      </c>
      <c r="EL156" s="13">
        <f t="shared" si="179"/>
        <v>60.633904580527918</v>
      </c>
      <c r="EM156" s="20">
        <f t="shared" si="180"/>
        <v>541.41085047775289</v>
      </c>
      <c r="EN156" s="59">
        <f t="shared" si="128"/>
        <v>834.74418381108626</v>
      </c>
      <c r="EO156" s="59">
        <f ca="1">AVERAGE(OFFSET($EN$3,0,0,'Données projet'!$E$15+1,1))-AVERAGE(OFFSET($H$3,0,0,'Données projet'!$E$15+1,1))</f>
        <v>269.77739619445515</v>
      </c>
      <c r="EP156" s="59">
        <f t="shared" si="154"/>
        <v>347.56964743629885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12.140213158492498</v>
      </c>
      <c r="EW156" s="21">
        <f>EXP(-LN(2)/25)*EW155+(1-EXP(-LN(2)/25))/(LN(2)/25)*Calculateur!ER156*Calculateur!ET156*VLOOKUP('Données projet'!$B$15,Paramètres!$A$1:$I$89,3,0)*0.475*44/12</f>
        <v>3.0304109994930566</v>
      </c>
      <c r="EX156" s="21">
        <f>EXP(-LN(2)/2)*EX155+(1-EXP(-LN(2)/2))/(LN(2)/2)*ER156*EU156*VLOOKUP('Données projet'!$B$15,Paramètres!$A$1:$I$89,3,0)*0.475*44/12</f>
        <v>7.6168944888965167E-21</v>
      </c>
      <c r="EY156" s="22">
        <f t="shared" si="181"/>
        <v>15.170624157985555</v>
      </c>
      <c r="EZ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367.99999999999972</v>
      </c>
      <c r="FF156" s="17">
        <f>FE156*VLOOKUP('Données projet'!$B$16,Paramètres!$A$1:$I$89,3,0)*VLOOKUP('Données projet'!$B$16,Paramètres!$A$1:$I$89,5,0)</f>
        <v>292.78079999999977</v>
      </c>
      <c r="FG156" s="13">
        <f t="shared" si="182"/>
        <v>69.660903052386217</v>
      </c>
      <c r="FH156" s="20">
        <f t="shared" si="183"/>
        <v>631.25263281623893</v>
      </c>
      <c r="FI156" s="59">
        <f t="shared" si="131"/>
        <v>924.58596614957219</v>
      </c>
      <c r="FJ156" s="59">
        <f ca="1">AVERAGE(OFFSET($FI$3,0,0,'Données projet'!$E$16+1,1))-AVERAGE(OFFSET($H$3,0,0,'Données projet'!$E$16+1,1))</f>
        <v>331.52724290297675</v>
      </c>
      <c r="FK156" s="59">
        <f t="shared" si="156"/>
        <v>322.79102610158054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14.519396151788229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14.519396151788229</v>
      </c>
      <c r="FU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852.00000000000011</v>
      </c>
      <c r="GA156" s="17">
        <f>FZ156*VLOOKUP('Données projet'!$B$17,Paramètres!$A$1:$I$89,3,0)*VLOOKUP('Données projet'!$B$17,Paramètres!$A$1:$I$89,5,0)</f>
        <v>420.88800000000009</v>
      </c>
      <c r="GB156" s="13">
        <f t="shared" si="185"/>
        <v>95.998759891259041</v>
      </c>
      <c r="GC156" s="20">
        <f t="shared" si="186"/>
        <v>900.24444014394294</v>
      </c>
      <c r="GD156" s="59">
        <f t="shared" si="134"/>
        <v>1193.5777734772762</v>
      </c>
      <c r="GE156" s="59">
        <f ca="1">AVERAGE(OFFSET($GD$3,0,0,'Données projet'!$E$17+1,1))-AVERAGE(OFFSET($H$3,0,0,'Données projet'!$E$17+1,1))</f>
        <v>434.08297999735811</v>
      </c>
      <c r="GF156" s="59">
        <f t="shared" si="158"/>
        <v>371.04090283546122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37.460923051325047</v>
      </c>
      <c r="GM156" s="21">
        <f>EXP(-LN(2)/25)*GM155+(1-EXP(-LN(2)/25))/(LN(2)/25)*Calculateur!GH156*Calculateur!GJ156*VLOOKUP('Données projet'!$B$17,Paramètres!$A$1:$I$89,3,0)*0.475*44/12</f>
        <v>1.7080368472369778</v>
      </c>
      <c r="GN156" s="21">
        <f>EXP(-LN(2)/2)*GN155+(1-EXP(-LN(2)/2))/(LN(2)/2)*GH156*GK156*VLOOKUP('Données projet'!$B$17,Paramètres!$A$1:$I$89,3,0)*0.475*44/12</f>
        <v>2.3048158508994269E-19</v>
      </c>
      <c r="GO156" s="21">
        <f t="shared" si="187"/>
        <v>39.168959898562022</v>
      </c>
      <c r="GP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614.99999999999989</v>
      </c>
      <c r="GV156" s="17">
        <f>GU156*VLOOKUP('Données projet'!$B$18,Paramètres!$A$1:$I$89,3,0)*VLOOKUP('Données projet'!$B$18,Paramètres!$A$1:$I$89,5,0)</f>
        <v>351.78</v>
      </c>
      <c r="GW156" s="13">
        <f t="shared" si="188"/>
        <v>81.92892344316067</v>
      </c>
      <c r="GX156" s="20">
        <f t="shared" si="189"/>
        <v>755.37637499683808</v>
      </c>
      <c r="GY156" s="59">
        <f t="shared" si="137"/>
        <v>1048.7097083301715</v>
      </c>
      <c r="GZ156" s="59">
        <f ca="1">AVERAGE(OFFSET($GY$3,0,0,'Données projet'!$E$18+1,1))-AVERAGE(OFFSET($H$3,0,0,'Données projet'!$E$18+1,1))</f>
        <v>362.57172983134313</v>
      </c>
      <c r="HA156" s="59">
        <f t="shared" si="160"/>
        <v>232.03250917542471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30.445629755878549</v>
      </c>
      <c r="HH156" s="21">
        <f>EXP(-LN(2)/25)*HH155+(1-EXP(-LN(2)/25))/(LN(2)/25)*Calculateur!HC156*Calculateur!HE156*VLOOKUP('Données projet'!$B$18,Paramètres!$A$1:$I$89,3,0)*0.475*44/12</f>
        <v>1.0297255634060252</v>
      </c>
      <c r="HI156" s="21">
        <f>EXP(-LN(2)/2)*HI155+(1-EXP(-LN(2)/2))/(LN(2)/2)*HC156*HF156*VLOOKUP('Données projet'!$B$18,Paramètres!$A$1:$I$89,3,0)*0.475*44/12</f>
        <v>2.2963526348006525E-19</v>
      </c>
      <c r="HJ156" s="22">
        <f t="shared" si="190"/>
        <v>31.475355319284574</v>
      </c>
    </row>
    <row r="157" spans="1:218" x14ac:dyDescent="0.3">
      <c r="A157" s="10">
        <f t="shared" si="161"/>
        <v>154</v>
      </c>
      <c r="B157" s="71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5">
        <f t="shared" si="110"/>
        <v>458.36638726885758</v>
      </c>
      <c r="I157" s="6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266.99999999999983</v>
      </c>
      <c r="O157" s="13">
        <f>N157*VLOOKUP('Données projet'!$B$9,Paramètres!$A$1:$I$89,3,0)*VLOOKUP('Données projet'!$B$9,Paramètres!$A$1:$I$89,5,0)</f>
        <v>212.42519999999985</v>
      </c>
      <c r="P157" s="13">
        <f t="shared" si="141"/>
        <v>52.465198231787184</v>
      </c>
      <c r="Q157" s="20">
        <f t="shared" si="162"/>
        <v>461.35077692036231</v>
      </c>
      <c r="R157" s="59">
        <f t="shared" si="109"/>
        <v>754.68411025369562</v>
      </c>
      <c r="S157" s="59">
        <f ca="1">AVERAGE(OFFSET($R$3,0,0,'Données projet'!$E$9+1,1))-AVERAGE(OFFSET($H$3,0,0,'Données projet'!$E$9+1,1))</f>
        <v>225.2323446080772</v>
      </c>
      <c r="T157" s="59">
        <f t="shared" si="142"/>
        <v>222.29030402759292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10.020605602952761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10.020605602952761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732.99999999999966</v>
      </c>
      <c r="AJ157" s="13">
        <f>AI157*VLOOKUP('Données projet'!$B$10,Paramètres!$A$1:$I$89,3,0)*VLOOKUP('Données projet'!$B$10,Paramètres!$A$1:$I$89,5,0)</f>
        <v>362.1019999999998</v>
      </c>
      <c r="AK157" s="13">
        <f t="shared" si="164"/>
        <v>84.049487364732272</v>
      </c>
      <c r="AL157" s="20">
        <f t="shared" si="165"/>
        <v>777.04717382690842</v>
      </c>
      <c r="AM157" s="59">
        <f t="shared" si="113"/>
        <v>1070.3805071602417</v>
      </c>
      <c r="AN157" s="59">
        <f ca="1">AVERAGE(OFFSET($AM$3,0,0,'Données projet'!$E$10+1,1))-AVERAGE(OFFSET($H$3,0,0,'Données projet'!$E$10+1,1))</f>
        <v>360.05819346986135</v>
      </c>
      <c r="AO157" s="59">
        <f t="shared" si="144"/>
        <v>300.47468388351081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30.00814988376905</v>
      </c>
      <c r="AV157" s="21">
        <f>EXP(-LN(2)/25)*AV156+(1-EXP(-LN(2)/25))/(LN(2)/25)*Calculateur!AQ157*Calculateur!AS157*VLOOKUP('Données projet'!$B$10,Paramètres!$A$1:$I$89,3,0)*0.475*44/12</f>
        <v>1.3592704007679755</v>
      </c>
      <c r="AW157" s="21">
        <f>EXP(-LN(2)/2)*AW156+(1-EXP(-LN(2)/2))/(LN(2)/2)*AQ157*AT157*VLOOKUP('Données projet'!$B$10,Paramètres!$A$1:$I$89,3,0)*0.475*44/12</f>
        <v>1.1370355238771353E-20</v>
      </c>
      <c r="AX157" s="21">
        <f t="shared" si="166"/>
        <v>31.367420284537026</v>
      </c>
      <c r="AY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465.00000000000006</v>
      </c>
      <c r="BE157" s="13">
        <f>BD157*VLOOKUP('Données projet'!$B$11,Paramètres!$A$1:$I$89,3,0)*VLOOKUP('Données projet'!$B$11,Paramètres!$A$1:$I$89,5,0)</f>
        <v>265.98</v>
      </c>
      <c r="BF157" s="13">
        <f t="shared" si="167"/>
        <v>63.995380422211589</v>
      </c>
      <c r="BG157" s="20">
        <f t="shared" si="168"/>
        <v>574.70712090201857</v>
      </c>
      <c r="BH157" s="59">
        <f t="shared" si="116"/>
        <v>868.04045423535194</v>
      </c>
      <c r="BI157" s="59">
        <f ca="1">AVERAGE(OFFSET($BH$3,0,0,'Données projet'!$E$11+1,1))-AVERAGE(OFFSET($H$3,0,0,'Données projet'!$E$11+1,1))</f>
        <v>250.90038883668348</v>
      </c>
      <c r="BJ157" s="59">
        <f t="shared" si="146"/>
        <v>141.96132114475608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22.982789199450242</v>
      </c>
      <c r="BQ157" s="21">
        <f>EXP(-LN(2)/25)*BQ156+(1-EXP(-LN(2)/25))/(LN(2)/25)*Calculateur!BL157*Calculateur!BN157*VLOOKUP('Données projet'!$B$11,Paramètres!$A$1:$I$89,3,0)*0.475*44/12</f>
        <v>0.38245716963019821</v>
      </c>
      <c r="BR157" s="21">
        <f>EXP(-LN(2)/2)*BR156+(1-EXP(-LN(2)/2))/(LN(2)/2)*BL157*BO157*VLOOKUP('Données projet'!$B$11,Paramètres!$A$1:$I$89,3,0)*0.475*44/12</f>
        <v>8.1923931836131752E-19</v>
      </c>
      <c r="BS157" s="22">
        <f t="shared" si="169"/>
        <v>23.365246369080438</v>
      </c>
      <c r="BT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319</v>
      </c>
      <c r="BZ157" s="13">
        <f>BY157*VLOOKUP('Données projet'!$B$12,Paramètres!$A$1:$I$89,3,0)*VLOOKUP('Données projet'!$B$12,Paramètres!$A$1:$I$89,5,0)</f>
        <v>253.79640000000001</v>
      </c>
      <c r="CA157" s="13">
        <f t="shared" si="170"/>
        <v>61.39816832228076</v>
      </c>
      <c r="CB157" s="20">
        <f t="shared" si="171"/>
        <v>548.96387316130563</v>
      </c>
      <c r="CC157" s="59">
        <f t="shared" si="119"/>
        <v>842.29720649463889</v>
      </c>
      <c r="CD157" s="59">
        <f ca="1">AVERAGE(OFFSET($CC$3,0,0,'Données projet'!$E$12+1,1))-AVERAGE(OFFSET($H$3,0,0,'Données projet'!$E$12+1,1))</f>
        <v>279.49721661620544</v>
      </c>
      <c r="CE157" s="59">
        <f t="shared" si="148"/>
        <v>275.18739333988754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12.279730786353522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12.279730786353522</v>
      </c>
      <c r="CO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789</v>
      </c>
      <c r="CU157" s="17">
        <f>CT157*VLOOKUP('Données projet'!$B$13,Paramètres!$A$1:$I$89,3,0)*VLOOKUP('Données projet'!$B$13,Paramètres!$A$1:$I$89,5,0)</f>
        <v>389.76600000000002</v>
      </c>
      <c r="CV157" s="13">
        <f t="shared" si="173"/>
        <v>89.698759503620408</v>
      </c>
      <c r="CW157" s="20">
        <f t="shared" si="174"/>
        <v>835.06778946880547</v>
      </c>
      <c r="CX157" s="59">
        <f t="shared" si="122"/>
        <v>1128.4011228021388</v>
      </c>
      <c r="CY157" s="59">
        <f ca="1">AVERAGE(OFFSET($CX$3,0,0,'Données projet'!$E$13+1,1))-AVERAGE(OFFSET($H$3,0,0,'Données projet'!$E$13+1,1))</f>
        <v>396.27049617044378</v>
      </c>
      <c r="CZ157" s="59">
        <f t="shared" si="150"/>
        <v>335.2680289568774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33.287923212526856</v>
      </c>
      <c r="DG157" s="21">
        <f>EXP(-LN(2)/25)*DG156+(1-EXP(-LN(2)/25))/(LN(2)/25)*Calculateur!DB157*Calculateur!DD157*VLOOKUP('Données projet'!$B$13,Paramètres!$A$1:$I$89,3,0)*0.475*44/12</f>
        <v>1.5103004452977524</v>
      </c>
      <c r="DH157" s="21">
        <f>EXP(-LN(2)/2)*DH156+(1-EXP(-LN(2)/2))/(LN(2)/2)*DB157*DE157*VLOOKUP('Données projet'!$B$13,Paramètres!$A$1:$I$89,3,0)*0.475*44/12</f>
        <v>8.3382605084323309E-20</v>
      </c>
      <c r="DI157" s="22">
        <f t="shared" si="175"/>
        <v>34.798223657824607</v>
      </c>
      <c r="DJ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541.99999999999989</v>
      </c>
      <c r="DP157" s="17">
        <f>DO157*VLOOKUP('Données projet'!$B$14,Paramètres!$A$1:$I$89,3,0)*VLOOKUP('Données projet'!$B$14,Paramètres!$A$1:$I$89,5,0)</f>
        <v>310.02399999999994</v>
      </c>
      <c r="DQ157" s="13">
        <f t="shared" si="176"/>
        <v>73.27384230442388</v>
      </c>
      <c r="DR157" s="20">
        <f t="shared" si="177"/>
        <v>667.57707534687154</v>
      </c>
      <c r="DS157" s="59">
        <f t="shared" si="125"/>
        <v>960.91040868020491</v>
      </c>
      <c r="DT157" s="59">
        <f ca="1">AVERAGE(OFFSET($DS$3,0,0,'Données projet'!$E$14+1,1))-AVERAGE(OFFSET($H$3,0,0,'Données projet'!$E$14+1,1))</f>
        <v>307.43900954374504</v>
      </c>
      <c r="DU157" s="59">
        <f t="shared" si="152"/>
        <v>185.25270859048999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26.468691992533518</v>
      </c>
      <c r="EB157" s="21">
        <f>EXP(-LN(2)/25)*EB156+(1-EXP(-LN(2)/25))/(LN(2)/25)*Calculateur!DW157*Calculateur!DY157*VLOOKUP('Données projet'!$B$14,Paramètres!$A$1:$I$89,3,0)*0.475*44/12</f>
        <v>0.85848656890609032</v>
      </c>
      <c r="EC157" s="21">
        <f>EXP(-LN(2)/2)*EC156+(1-EXP(-LN(2)/2))/(LN(2)/2)*DW157*DZ157*VLOOKUP('Données projet'!$B$14,Paramètres!$A$1:$I$89,3,0)*0.475*44/12</f>
        <v>7.8994046921990468E-20</v>
      </c>
      <c r="ED157" s="22">
        <f t="shared" si="178"/>
        <v>27.327178561439609</v>
      </c>
      <c r="EE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401</v>
      </c>
      <c r="EK157" s="17">
        <f>EJ157*VLOOKUP('Données projet'!$B$15,Paramètres!$A$1:$I$89,3,0)*VLOOKUP('Données projet'!$B$15,Paramètres!$A$1:$I$89,5,0)</f>
        <v>250.22399999999999</v>
      </c>
      <c r="EL157" s="13">
        <f t="shared" si="179"/>
        <v>60.633904580527918</v>
      </c>
      <c r="EM157" s="20">
        <f t="shared" si="180"/>
        <v>541.41085047775289</v>
      </c>
      <c r="EN157" s="59">
        <f t="shared" si="128"/>
        <v>834.74418381108626</v>
      </c>
      <c r="EO157" s="59">
        <f ca="1">AVERAGE(OFFSET($EN$3,0,0,'Données projet'!$E$15+1,1))-AVERAGE(OFFSET($H$3,0,0,'Données projet'!$E$15+1,1))</f>
        <v>269.77739619445515</v>
      </c>
      <c r="EP157" s="59">
        <f t="shared" si="154"/>
        <v>347.56964743629885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11.902150983253325</v>
      </c>
      <c r="EW157" s="21">
        <f>EXP(-LN(2)/25)*EW156+(1-EXP(-LN(2)/25))/(LN(2)/25)*Calculateur!ER157*Calculateur!ET157*VLOOKUP('Données projet'!$B$15,Paramètres!$A$1:$I$89,3,0)*0.475*44/12</f>
        <v>2.9475442513495307</v>
      </c>
      <c r="EX157" s="21">
        <f>EXP(-LN(2)/2)*EX156+(1-EXP(-LN(2)/2))/(LN(2)/2)*ER157*EU157*VLOOKUP('Données projet'!$B$15,Paramètres!$A$1:$I$89,3,0)*0.475*44/12</f>
        <v>5.3859577446811691E-21</v>
      </c>
      <c r="EY157" s="22">
        <f t="shared" si="181"/>
        <v>14.849695234602855</v>
      </c>
      <c r="EZ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367.99999999999972</v>
      </c>
      <c r="FF157" s="17">
        <f>FE157*VLOOKUP('Données projet'!$B$16,Paramètres!$A$1:$I$89,3,0)*VLOOKUP('Données projet'!$B$16,Paramètres!$A$1:$I$89,5,0)</f>
        <v>292.78079999999977</v>
      </c>
      <c r="FG157" s="13">
        <f t="shared" si="182"/>
        <v>69.660903052386217</v>
      </c>
      <c r="FH157" s="20">
        <f t="shared" si="183"/>
        <v>631.25263281623893</v>
      </c>
      <c r="FI157" s="59">
        <f t="shared" si="131"/>
        <v>924.58596614957219</v>
      </c>
      <c r="FJ157" s="59">
        <f ca="1">AVERAGE(OFFSET($FI$3,0,0,'Données projet'!$E$16+1,1))-AVERAGE(OFFSET($H$3,0,0,'Données projet'!$E$16+1,1))</f>
        <v>331.52724290297675</v>
      </c>
      <c r="FK157" s="59">
        <f t="shared" si="156"/>
        <v>322.79102610158054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14.234679649208861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14.234679649208861</v>
      </c>
      <c r="FU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852.00000000000011</v>
      </c>
      <c r="GA157" s="17">
        <f>FZ157*VLOOKUP('Données projet'!$B$17,Paramètres!$A$1:$I$89,3,0)*VLOOKUP('Données projet'!$B$17,Paramètres!$A$1:$I$89,5,0)</f>
        <v>420.88800000000009</v>
      </c>
      <c r="GB157" s="13">
        <f t="shared" si="185"/>
        <v>95.998759891259041</v>
      </c>
      <c r="GC157" s="20">
        <f t="shared" si="186"/>
        <v>900.24444014394294</v>
      </c>
      <c r="GD157" s="59">
        <f t="shared" si="134"/>
        <v>1193.5777734772762</v>
      </c>
      <c r="GE157" s="59">
        <f ca="1">AVERAGE(OFFSET($GD$3,0,0,'Données projet'!$E$17+1,1))-AVERAGE(OFFSET($H$3,0,0,'Données projet'!$E$17+1,1))</f>
        <v>434.08297999735811</v>
      </c>
      <c r="GF157" s="59">
        <f t="shared" si="158"/>
        <v>371.04090283546122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36.726337199195484</v>
      </c>
      <c r="GM157" s="21">
        <f>EXP(-LN(2)/25)*GM156+(1-EXP(-LN(2)/25))/(LN(2)/25)*Calculateur!GH157*Calculateur!GJ157*VLOOKUP('Données projet'!$B$17,Paramètres!$A$1:$I$89,3,0)*0.475*44/12</f>
        <v>1.6613304898275285</v>
      </c>
      <c r="GN157" s="21">
        <f>EXP(-LN(2)/2)*GN156+(1-EXP(-LN(2)/2))/(LN(2)/2)*GH157*GK157*VLOOKUP('Données projet'!$B$17,Paramètres!$A$1:$I$89,3,0)*0.475*44/12</f>
        <v>1.6297509175572275E-19</v>
      </c>
      <c r="GO157" s="21">
        <f t="shared" si="187"/>
        <v>38.387667689023012</v>
      </c>
      <c r="GP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614.99999999999989</v>
      </c>
      <c r="GV157" s="17">
        <f>GU157*VLOOKUP('Données projet'!$B$18,Paramètres!$A$1:$I$89,3,0)*VLOOKUP('Données projet'!$B$18,Paramètres!$A$1:$I$89,5,0)</f>
        <v>351.78</v>
      </c>
      <c r="GW157" s="13">
        <f t="shared" si="188"/>
        <v>81.92892344316067</v>
      </c>
      <c r="GX157" s="20">
        <f t="shared" si="189"/>
        <v>755.37637499683808</v>
      </c>
      <c r="GY157" s="59">
        <f t="shared" si="137"/>
        <v>1048.7097083301715</v>
      </c>
      <c r="GZ157" s="59">
        <f ca="1">AVERAGE(OFFSET($GY$3,0,0,'Données projet'!$E$18+1,1))-AVERAGE(OFFSET($H$3,0,0,'Données projet'!$E$18+1,1))</f>
        <v>362.57172983134313</v>
      </c>
      <c r="HA157" s="59">
        <f t="shared" si="160"/>
        <v>232.03250917542471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29.848609526366285</v>
      </c>
      <c r="HH157" s="21">
        <f>EXP(-LN(2)/25)*HH156+(1-EXP(-LN(2)/25))/(LN(2)/25)*Calculateur!HC157*Calculateur!HE157*VLOOKUP('Données projet'!$B$18,Paramètres!$A$1:$I$89,3,0)*0.475*44/12</f>
        <v>1.0015676637237736</v>
      </c>
      <c r="HI157" s="21">
        <f>EXP(-LN(2)/2)*HI156+(1-EXP(-LN(2)/2))/(LN(2)/2)*HC157*HF157*VLOOKUP('Données projet'!$B$18,Paramètres!$A$1:$I$89,3,0)*0.475*44/12</f>
        <v>1.6237665200631369E-19</v>
      </c>
      <c r="HJ157" s="22">
        <f t="shared" si="190"/>
        <v>30.850177190090058</v>
      </c>
    </row>
    <row r="158" spans="1:218" x14ac:dyDescent="0.3">
      <c r="A158" s="10">
        <f t="shared" si="161"/>
        <v>155</v>
      </c>
      <c r="B158" s="71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5">
        <f t="shared" si="110"/>
        <v>459.41072641779198</v>
      </c>
      <c r="I158" s="6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266.99999999999983</v>
      </c>
      <c r="O158" s="13">
        <f>N158*VLOOKUP('Données projet'!$B$9,Paramètres!$A$1:$I$89,3,0)*VLOOKUP('Données projet'!$B$9,Paramètres!$A$1:$I$89,5,0)</f>
        <v>212.42519999999985</v>
      </c>
      <c r="P158" s="13">
        <f t="shared" si="141"/>
        <v>52.465198231787184</v>
      </c>
      <c r="Q158" s="20">
        <f t="shared" si="162"/>
        <v>461.35077692036231</v>
      </c>
      <c r="R158" s="59">
        <f t="shared" si="109"/>
        <v>754.68411025369562</v>
      </c>
      <c r="S158" s="59">
        <f ca="1">AVERAGE(OFFSET($R$3,0,0,'Données projet'!$E$9+1,1))-AVERAGE(OFFSET($H$3,0,0,'Données projet'!$E$9+1,1))</f>
        <v>225.2323446080772</v>
      </c>
      <c r="T158" s="59">
        <f t="shared" si="142"/>
        <v>222.29030402759292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9.8241076390447688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9.8241076390447688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732.99999999999966</v>
      </c>
      <c r="AJ158" s="13">
        <f>AI158*VLOOKUP('Données projet'!$B$10,Paramètres!$A$1:$I$89,3,0)*VLOOKUP('Données projet'!$B$10,Paramètres!$A$1:$I$89,5,0)</f>
        <v>362.1019999999998</v>
      </c>
      <c r="AK158" s="13">
        <f t="shared" si="164"/>
        <v>84.049487364732272</v>
      </c>
      <c r="AL158" s="20">
        <f t="shared" si="165"/>
        <v>777.04717382690842</v>
      </c>
      <c r="AM158" s="59">
        <f t="shared" si="113"/>
        <v>1070.3805071602417</v>
      </c>
      <c r="AN158" s="59">
        <f ca="1">AVERAGE(OFFSET($AM$3,0,0,'Données projet'!$E$10+1,1))-AVERAGE(OFFSET($H$3,0,0,'Données projet'!$E$10+1,1))</f>
        <v>360.05819346986135</v>
      </c>
      <c r="AO158" s="59">
        <f t="shared" si="144"/>
        <v>300.47468388351081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29.419708367712481</v>
      </c>
      <c r="AV158" s="21">
        <f>EXP(-LN(2)/25)*AV157+(1-EXP(-LN(2)/25))/(LN(2)/25)*Calculateur!AQ158*Calculateur!AS158*VLOOKUP('Données projet'!$B$10,Paramètres!$A$1:$I$89,3,0)*0.475*44/12</f>
        <v>1.3221010801780515</v>
      </c>
      <c r="AW158" s="21">
        <f>EXP(-LN(2)/2)*AW157+(1-EXP(-LN(2)/2))/(LN(2)/2)*AQ158*AT158*VLOOKUP('Données projet'!$B$10,Paramètres!$A$1:$I$89,3,0)*0.475*44/12</f>
        <v>8.0400552938352092E-21</v>
      </c>
      <c r="AX158" s="21">
        <f t="shared" si="166"/>
        <v>30.741809447890532</v>
      </c>
      <c r="AY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465.00000000000006</v>
      </c>
      <c r="BE158" s="13">
        <f>BD158*VLOOKUP('Données projet'!$B$11,Paramètres!$A$1:$I$89,3,0)*VLOOKUP('Données projet'!$B$11,Paramètres!$A$1:$I$89,5,0)</f>
        <v>265.98</v>
      </c>
      <c r="BF158" s="13">
        <f t="shared" si="167"/>
        <v>63.995380422211589</v>
      </c>
      <c r="BG158" s="20">
        <f t="shared" si="168"/>
        <v>574.70712090201857</v>
      </c>
      <c r="BH158" s="59">
        <f t="shared" si="116"/>
        <v>868.04045423535194</v>
      </c>
      <c r="BI158" s="59">
        <f ca="1">AVERAGE(OFFSET($BH$3,0,0,'Données projet'!$E$11+1,1))-AVERAGE(OFFSET($H$3,0,0,'Données projet'!$E$11+1,1))</f>
        <v>250.90038883668348</v>
      </c>
      <c r="BJ158" s="59">
        <f t="shared" si="146"/>
        <v>141.96132114475608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22.532110721366259</v>
      </c>
      <c r="BQ158" s="21">
        <f>EXP(-LN(2)/25)*BQ157+(1-EXP(-LN(2)/25))/(LN(2)/25)*Calculateur!BL158*Calculateur!BN158*VLOOKUP('Données projet'!$B$11,Paramètres!$A$1:$I$89,3,0)*0.475*44/12</f>
        <v>0.37199885821411199</v>
      </c>
      <c r="BR158" s="21">
        <f>EXP(-LN(2)/2)*BR157+(1-EXP(-LN(2)/2))/(LN(2)/2)*BL158*BO158*VLOOKUP('Données projet'!$B$11,Paramètres!$A$1:$I$89,3,0)*0.475*44/12</f>
        <v>5.7928967742793249E-19</v>
      </c>
      <c r="BS158" s="22">
        <f t="shared" si="169"/>
        <v>22.904109579580371</v>
      </c>
      <c r="BT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319</v>
      </c>
      <c r="BZ158" s="13">
        <f>BY158*VLOOKUP('Données projet'!$B$12,Paramètres!$A$1:$I$89,3,0)*VLOOKUP('Données projet'!$B$12,Paramètres!$A$1:$I$89,5,0)</f>
        <v>253.79640000000001</v>
      </c>
      <c r="CA158" s="13">
        <f t="shared" si="170"/>
        <v>61.39816832228076</v>
      </c>
      <c r="CB158" s="20">
        <f t="shared" si="171"/>
        <v>548.96387316130563</v>
      </c>
      <c r="CC158" s="59">
        <f t="shared" si="119"/>
        <v>842.29720649463889</v>
      </c>
      <c r="CD158" s="59">
        <f ca="1">AVERAGE(OFFSET($CC$3,0,0,'Données projet'!$E$12+1,1))-AVERAGE(OFFSET($H$3,0,0,'Données projet'!$E$12+1,1))</f>
        <v>279.49721661620544</v>
      </c>
      <c r="CE158" s="59">
        <f t="shared" si="148"/>
        <v>275.18739333988754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12.038932755529343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12.038932755529343</v>
      </c>
      <c r="CO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789</v>
      </c>
      <c r="CU158" s="17">
        <f>CT158*VLOOKUP('Données projet'!$B$13,Paramètres!$A$1:$I$89,3,0)*VLOOKUP('Données projet'!$B$13,Paramètres!$A$1:$I$89,5,0)</f>
        <v>389.76600000000002</v>
      </c>
      <c r="CV158" s="13">
        <f t="shared" si="173"/>
        <v>89.698759503620408</v>
      </c>
      <c r="CW158" s="20">
        <f t="shared" si="174"/>
        <v>835.06778946880547</v>
      </c>
      <c r="CX158" s="59">
        <f t="shared" si="122"/>
        <v>1128.4011228021388</v>
      </c>
      <c r="CY158" s="59">
        <f ca="1">AVERAGE(OFFSET($CX$3,0,0,'Données projet'!$E$13+1,1))-AVERAGE(OFFSET($H$3,0,0,'Données projet'!$E$13+1,1))</f>
        <v>396.27049617044378</v>
      </c>
      <c r="CZ158" s="59">
        <f t="shared" si="150"/>
        <v>335.2680289568774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32.635167341957548</v>
      </c>
      <c r="DG158" s="21">
        <f>EXP(-LN(2)/25)*DG157+(1-EXP(-LN(2)/25))/(LN(2)/25)*Calculateur!DB158*Calculateur!DD158*VLOOKUP('Données projet'!$B$13,Paramètres!$A$1:$I$89,3,0)*0.475*44/12</f>
        <v>1.4690012001978368</v>
      </c>
      <c r="DH158" s="21">
        <f>EXP(-LN(2)/2)*DH157+(1-EXP(-LN(2)/2))/(LN(2)/2)*DB158*DE158*VLOOKUP('Données projet'!$B$13,Paramètres!$A$1:$I$89,3,0)*0.475*44/12</f>
        <v>5.8960405488124907E-20</v>
      </c>
      <c r="DI158" s="22">
        <f t="shared" si="175"/>
        <v>34.104168542155385</v>
      </c>
      <c r="DJ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541.99999999999989</v>
      </c>
      <c r="DP158" s="17">
        <f>DO158*VLOOKUP('Données projet'!$B$14,Paramètres!$A$1:$I$89,3,0)*VLOOKUP('Données projet'!$B$14,Paramètres!$A$1:$I$89,5,0)</f>
        <v>310.02399999999994</v>
      </c>
      <c r="DQ158" s="13">
        <f t="shared" si="176"/>
        <v>73.27384230442388</v>
      </c>
      <c r="DR158" s="20">
        <f t="shared" si="177"/>
        <v>667.57707534687154</v>
      </c>
      <c r="DS158" s="59">
        <f t="shared" si="125"/>
        <v>960.91040868020491</v>
      </c>
      <c r="DT158" s="59">
        <f ca="1">AVERAGE(OFFSET($DS$3,0,0,'Données projet'!$E$14+1,1))-AVERAGE(OFFSET($H$3,0,0,'Données projet'!$E$14+1,1))</f>
        <v>307.43900954374504</v>
      </c>
      <c r="DU158" s="59">
        <f t="shared" si="152"/>
        <v>185.25270859048999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25.949657086867933</v>
      </c>
      <c r="EB158" s="21">
        <f>EXP(-LN(2)/25)*EB157+(1-EXP(-LN(2)/25))/(LN(2)/25)*Calculateur!DW158*Calculateur!DY158*VLOOKUP('Données projet'!$B$14,Paramètres!$A$1:$I$89,3,0)*0.475*44/12</f>
        <v>0.83501120853350674</v>
      </c>
      <c r="EC158" s="21">
        <f>EXP(-LN(2)/2)*EC157+(1-EXP(-LN(2)/2))/(LN(2)/2)*DW158*DZ158*VLOOKUP('Données projet'!$B$14,Paramètres!$A$1:$I$89,3,0)*0.475*44/12</f>
        <v>5.5857226251907781E-20</v>
      </c>
      <c r="ED158" s="22">
        <f t="shared" si="178"/>
        <v>26.784668295401442</v>
      </c>
      <c r="EE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401</v>
      </c>
      <c r="EK158" s="17">
        <f>EJ158*VLOOKUP('Données projet'!$B$15,Paramètres!$A$1:$I$89,3,0)*VLOOKUP('Données projet'!$B$15,Paramètres!$A$1:$I$89,5,0)</f>
        <v>250.22399999999999</v>
      </c>
      <c r="EL158" s="13">
        <f t="shared" si="179"/>
        <v>60.633904580527918</v>
      </c>
      <c r="EM158" s="20">
        <f t="shared" si="180"/>
        <v>541.41085047775289</v>
      </c>
      <c r="EN158" s="59">
        <f t="shared" si="128"/>
        <v>834.74418381108626</v>
      </c>
      <c r="EO158" s="59">
        <f ca="1">AVERAGE(OFFSET($EN$3,0,0,'Données projet'!$E$15+1,1))-AVERAGE(OFFSET($H$3,0,0,'Données projet'!$E$15+1,1))</f>
        <v>269.77739619445515</v>
      </c>
      <c r="EP158" s="59">
        <f t="shared" si="154"/>
        <v>347.56964743629885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11.668757062067002</v>
      </c>
      <c r="EW158" s="21">
        <f>EXP(-LN(2)/25)*EW157+(1-EXP(-LN(2)/25))/(LN(2)/25)*Calculateur!ER158*Calculateur!ET158*VLOOKUP('Données projet'!$B$15,Paramètres!$A$1:$I$89,3,0)*0.475*44/12</f>
        <v>2.8669434987917621</v>
      </c>
      <c r="EX158" s="21">
        <f>EXP(-LN(2)/2)*EX157+(1-EXP(-LN(2)/2))/(LN(2)/2)*ER158*EU158*VLOOKUP('Données projet'!$B$15,Paramètres!$A$1:$I$89,3,0)*0.475*44/12</f>
        <v>3.8084472444482583E-21</v>
      </c>
      <c r="EY158" s="22">
        <f t="shared" si="181"/>
        <v>14.535700560858764</v>
      </c>
      <c r="EZ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367.99999999999972</v>
      </c>
      <c r="FF158" s="17">
        <f>FE158*VLOOKUP('Données projet'!$B$16,Paramètres!$A$1:$I$89,3,0)*VLOOKUP('Données projet'!$B$16,Paramètres!$A$1:$I$89,5,0)</f>
        <v>292.78079999999977</v>
      </c>
      <c r="FG158" s="13">
        <f t="shared" si="182"/>
        <v>69.660903052386217</v>
      </c>
      <c r="FH158" s="20">
        <f t="shared" si="183"/>
        <v>631.25263281623893</v>
      </c>
      <c r="FI158" s="59">
        <f t="shared" si="131"/>
        <v>924.58596614957219</v>
      </c>
      <c r="FJ158" s="59">
        <f ca="1">AVERAGE(OFFSET($FI$3,0,0,'Données projet'!$E$16+1,1))-AVERAGE(OFFSET($H$3,0,0,'Données projet'!$E$16+1,1))</f>
        <v>331.52724290297675</v>
      </c>
      <c r="FK158" s="59">
        <f t="shared" si="156"/>
        <v>322.79102610158054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13.955546263585155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13.955546263585155</v>
      </c>
      <c r="FU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852.00000000000011</v>
      </c>
      <c r="GA158" s="17">
        <f>FZ158*VLOOKUP('Données projet'!$B$17,Paramètres!$A$1:$I$89,3,0)*VLOOKUP('Données projet'!$B$17,Paramètres!$A$1:$I$89,5,0)</f>
        <v>420.88800000000009</v>
      </c>
      <c r="GB158" s="13">
        <f t="shared" si="185"/>
        <v>95.998759891259041</v>
      </c>
      <c r="GC158" s="20">
        <f t="shared" si="186"/>
        <v>900.24444014394294</v>
      </c>
      <c r="GD158" s="59">
        <f t="shared" si="134"/>
        <v>1193.5777734772762</v>
      </c>
      <c r="GE158" s="59">
        <f ca="1">AVERAGE(OFFSET($GD$3,0,0,'Données projet'!$E$17+1,1))-AVERAGE(OFFSET($H$3,0,0,'Données projet'!$E$17+1,1))</f>
        <v>434.08297999735811</v>
      </c>
      <c r="GF158" s="59">
        <f t="shared" si="158"/>
        <v>371.04090283546122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36.00615612757305</v>
      </c>
      <c r="GM158" s="21">
        <f>EXP(-LN(2)/25)*GM157+(1-EXP(-LN(2)/25))/(LN(2)/25)*Calculateur!GH158*Calculateur!GJ158*VLOOKUP('Données projet'!$B$17,Paramètres!$A$1:$I$89,3,0)*0.475*44/12</f>
        <v>1.6159013202176213</v>
      </c>
      <c r="GN158" s="21">
        <f>EXP(-LN(2)/2)*GN157+(1-EXP(-LN(2)/2))/(LN(2)/2)*GH158*GK158*VLOOKUP('Données projet'!$B$17,Paramètres!$A$1:$I$89,3,0)*0.475*44/12</f>
        <v>1.1524079254497135E-19</v>
      </c>
      <c r="GO158" s="21">
        <f t="shared" si="187"/>
        <v>37.622057447790674</v>
      </c>
      <c r="GP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614.99999999999989</v>
      </c>
      <c r="GV158" s="17">
        <f>GU158*VLOOKUP('Données projet'!$B$18,Paramètres!$A$1:$I$89,3,0)*VLOOKUP('Données projet'!$B$18,Paramètres!$A$1:$I$89,5,0)</f>
        <v>351.78</v>
      </c>
      <c r="GW158" s="13">
        <f t="shared" si="188"/>
        <v>81.92892344316067</v>
      </c>
      <c r="GX158" s="20">
        <f t="shared" si="189"/>
        <v>755.37637499683808</v>
      </c>
      <c r="GY158" s="59">
        <f t="shared" si="137"/>
        <v>1048.7097083301715</v>
      </c>
      <c r="GZ158" s="59">
        <f ca="1">AVERAGE(OFFSET($GY$3,0,0,'Données projet'!$E$18+1,1))-AVERAGE(OFFSET($H$3,0,0,'Données projet'!$E$18+1,1))</f>
        <v>362.57172983134313</v>
      </c>
      <c r="HA158" s="59">
        <f t="shared" si="160"/>
        <v>232.03250917542471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29.263296499408376</v>
      </c>
      <c r="HH158" s="21">
        <f>EXP(-LN(2)/25)*HH157+(1-EXP(-LN(2)/25))/(LN(2)/25)*Calculateur!HC158*Calculateur!HE158*VLOOKUP('Données projet'!$B$18,Paramètres!$A$1:$I$89,3,0)*0.475*44/12</f>
        <v>0.97417974328909274</v>
      </c>
      <c r="HI158" s="21">
        <f>EXP(-LN(2)/2)*HI157+(1-EXP(-LN(2)/2))/(LN(2)/2)*HC158*HF158*VLOOKUP('Données projet'!$B$18,Paramètres!$A$1:$I$89,3,0)*0.475*44/12</f>
        <v>1.1481763174003263E-19</v>
      </c>
      <c r="HJ158" s="22">
        <f t="shared" si="190"/>
        <v>30.237476242697468</v>
      </c>
    </row>
    <row r="159" spans="1:218" x14ac:dyDescent="0.3">
      <c r="A159" s="10">
        <f t="shared" si="161"/>
        <v>156</v>
      </c>
      <c r="B159" s="71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5">
        <f t="shared" si="110"/>
        <v>460.45491047578457</v>
      </c>
      <c r="I159" s="6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266.99999999999983</v>
      </c>
      <c r="O159" s="13">
        <f>N159*VLOOKUP('Données projet'!$B$9,Paramètres!$A$1:$I$89,3,0)*VLOOKUP('Données projet'!$B$9,Paramètres!$A$1:$I$89,5,0)</f>
        <v>212.42519999999985</v>
      </c>
      <c r="P159" s="13">
        <f t="shared" si="141"/>
        <v>52.465198231787184</v>
      </c>
      <c r="Q159" s="20">
        <f t="shared" si="162"/>
        <v>461.35077692036231</v>
      </c>
      <c r="R159" s="59">
        <f t="shared" si="109"/>
        <v>754.68411025369562</v>
      </c>
      <c r="S159" s="59">
        <f ca="1">AVERAGE(OFFSET($R$3,0,0,'Données projet'!$E$9+1,1))-AVERAGE(OFFSET($H$3,0,0,'Données projet'!$E$9+1,1))</f>
        <v>225.2323446080772</v>
      </c>
      <c r="T159" s="59">
        <f t="shared" si="142"/>
        <v>222.29030402759292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9.6314628803570894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9.6314628803570894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732.99999999999966</v>
      </c>
      <c r="AJ159" s="13">
        <f>AI159*VLOOKUP('Données projet'!$B$10,Paramètres!$A$1:$I$89,3,0)*VLOOKUP('Données projet'!$B$10,Paramètres!$A$1:$I$89,5,0)</f>
        <v>362.1019999999998</v>
      </c>
      <c r="AK159" s="13">
        <f t="shared" si="164"/>
        <v>84.049487364732272</v>
      </c>
      <c r="AL159" s="20">
        <f t="shared" si="165"/>
        <v>777.04717382690842</v>
      </c>
      <c r="AM159" s="59">
        <f t="shared" si="113"/>
        <v>1070.3805071602417</v>
      </c>
      <c r="AN159" s="59">
        <f ca="1">AVERAGE(OFFSET($AM$3,0,0,'Données projet'!$E$10+1,1))-AVERAGE(OFFSET($H$3,0,0,'Données projet'!$E$10+1,1))</f>
        <v>360.05819346986135</v>
      </c>
      <c r="AO159" s="59">
        <f t="shared" si="144"/>
        <v>300.47468388351081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28.842805830871896</v>
      </c>
      <c r="AV159" s="21">
        <f>EXP(-LN(2)/25)*AV158+(1-EXP(-LN(2)/25))/(LN(2)/25)*Calculateur!AQ159*Calculateur!AS159*VLOOKUP('Données projet'!$B$10,Paramètres!$A$1:$I$89,3,0)*0.475*44/12</f>
        <v>1.2859481566143085</v>
      </c>
      <c r="AW159" s="21">
        <f>EXP(-LN(2)/2)*AW158+(1-EXP(-LN(2)/2))/(LN(2)/2)*AQ159*AT159*VLOOKUP('Données projet'!$B$10,Paramètres!$A$1:$I$89,3,0)*0.475*44/12</f>
        <v>5.6851776193856765E-21</v>
      </c>
      <c r="AX159" s="21">
        <f t="shared" si="166"/>
        <v>30.128753987486206</v>
      </c>
      <c r="AY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465.00000000000006</v>
      </c>
      <c r="BE159" s="13">
        <f>BD159*VLOOKUP('Données projet'!$B$11,Paramètres!$A$1:$I$89,3,0)*VLOOKUP('Données projet'!$B$11,Paramètres!$A$1:$I$89,5,0)</f>
        <v>265.98</v>
      </c>
      <c r="BF159" s="13">
        <f t="shared" si="167"/>
        <v>63.995380422211589</v>
      </c>
      <c r="BG159" s="20">
        <f t="shared" si="168"/>
        <v>574.70712090201857</v>
      </c>
      <c r="BH159" s="59">
        <f t="shared" si="116"/>
        <v>868.04045423535194</v>
      </c>
      <c r="BI159" s="59">
        <f ca="1">AVERAGE(OFFSET($BH$3,0,0,'Données projet'!$E$11+1,1))-AVERAGE(OFFSET($H$3,0,0,'Données projet'!$E$11+1,1))</f>
        <v>250.90038883668348</v>
      </c>
      <c r="BJ159" s="59">
        <f t="shared" si="146"/>
        <v>141.96132114475608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22.090269773350776</v>
      </c>
      <c r="BQ159" s="21">
        <f>EXP(-LN(2)/25)*BQ158+(1-EXP(-LN(2)/25))/(LN(2)/25)*Calculateur!BL159*Calculateur!BN159*VLOOKUP('Données projet'!$B$11,Paramètres!$A$1:$I$89,3,0)*0.475*44/12</f>
        <v>0.36182652987367736</v>
      </c>
      <c r="BR159" s="21">
        <f>EXP(-LN(2)/2)*BR158+(1-EXP(-LN(2)/2))/(LN(2)/2)*BL159*BO159*VLOOKUP('Données projet'!$B$11,Paramètres!$A$1:$I$89,3,0)*0.475*44/12</f>
        <v>4.0961965918065876E-19</v>
      </c>
      <c r="BS159" s="22">
        <f t="shared" si="169"/>
        <v>22.452096303224454</v>
      </c>
      <c r="BT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319</v>
      </c>
      <c r="BZ159" s="13">
        <f>BY159*VLOOKUP('Données projet'!$B$12,Paramètres!$A$1:$I$89,3,0)*VLOOKUP('Données projet'!$B$12,Paramètres!$A$1:$I$89,5,0)</f>
        <v>253.79640000000001</v>
      </c>
      <c r="CA159" s="13">
        <f t="shared" si="170"/>
        <v>61.39816832228076</v>
      </c>
      <c r="CB159" s="20">
        <f t="shared" si="171"/>
        <v>548.96387316130563</v>
      </c>
      <c r="CC159" s="59">
        <f t="shared" si="119"/>
        <v>842.29720649463889</v>
      </c>
      <c r="CD159" s="59">
        <f ca="1">AVERAGE(OFFSET($CC$3,0,0,'Données projet'!$E$12+1,1))-AVERAGE(OFFSET($H$3,0,0,'Données projet'!$E$12+1,1))</f>
        <v>279.49721661620544</v>
      </c>
      <c r="CE159" s="59">
        <f t="shared" si="148"/>
        <v>275.18739333988754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11.802856627217331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11.802856627217331</v>
      </c>
      <c r="CO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789</v>
      </c>
      <c r="CU159" s="17">
        <f>CT159*VLOOKUP('Données projet'!$B$13,Paramètres!$A$1:$I$89,3,0)*VLOOKUP('Données projet'!$B$13,Paramètres!$A$1:$I$89,5,0)</f>
        <v>389.76600000000002</v>
      </c>
      <c r="CV159" s="13">
        <f t="shared" si="173"/>
        <v>89.698759503620408</v>
      </c>
      <c r="CW159" s="20">
        <f t="shared" si="174"/>
        <v>835.06778946880547</v>
      </c>
      <c r="CX159" s="59">
        <f t="shared" si="122"/>
        <v>1128.4011228021388</v>
      </c>
      <c r="CY159" s="59">
        <f ca="1">AVERAGE(OFFSET($CX$3,0,0,'Données projet'!$E$13+1,1))-AVERAGE(OFFSET($H$3,0,0,'Données projet'!$E$13+1,1))</f>
        <v>396.27049617044378</v>
      </c>
      <c r="CZ159" s="59">
        <f t="shared" si="150"/>
        <v>335.2680289568774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31.995211615868335</v>
      </c>
      <c r="DG159" s="21">
        <f>EXP(-LN(2)/25)*DG158+(1-EXP(-LN(2)/25))/(LN(2)/25)*Calculateur!DB159*Calculateur!DD159*VLOOKUP('Données projet'!$B$13,Paramètres!$A$1:$I$89,3,0)*0.475*44/12</f>
        <v>1.4288312851270113</v>
      </c>
      <c r="DH159" s="21">
        <f>EXP(-LN(2)/2)*DH158+(1-EXP(-LN(2)/2))/(LN(2)/2)*DB159*DE159*VLOOKUP('Données projet'!$B$13,Paramètres!$A$1:$I$89,3,0)*0.475*44/12</f>
        <v>4.1691302542161654E-20</v>
      </c>
      <c r="DI159" s="22">
        <f t="shared" si="175"/>
        <v>33.424042900995346</v>
      </c>
      <c r="DJ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541.99999999999989</v>
      </c>
      <c r="DP159" s="17">
        <f>DO159*VLOOKUP('Données projet'!$B$14,Paramètres!$A$1:$I$89,3,0)*VLOOKUP('Données projet'!$B$14,Paramètres!$A$1:$I$89,5,0)</f>
        <v>310.02399999999994</v>
      </c>
      <c r="DQ159" s="13">
        <f t="shared" si="176"/>
        <v>73.27384230442388</v>
      </c>
      <c r="DR159" s="20">
        <f t="shared" si="177"/>
        <v>667.57707534687154</v>
      </c>
      <c r="DS159" s="59">
        <f t="shared" si="125"/>
        <v>960.91040868020491</v>
      </c>
      <c r="DT159" s="59">
        <f ca="1">AVERAGE(OFFSET($DS$3,0,0,'Données projet'!$E$14+1,1))-AVERAGE(OFFSET($H$3,0,0,'Données projet'!$E$14+1,1))</f>
        <v>307.43900954374504</v>
      </c>
      <c r="DU159" s="59">
        <f t="shared" si="152"/>
        <v>185.25270859048999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25.44080013912242</v>
      </c>
      <c r="EB159" s="21">
        <f>EXP(-LN(2)/25)*EB158+(1-EXP(-LN(2)/25))/(LN(2)/25)*Calculateur!DW159*Calculateur!DY159*VLOOKUP('Données projet'!$B$14,Paramètres!$A$1:$I$89,3,0)*0.475*44/12</f>
        <v>0.81217778312482702</v>
      </c>
      <c r="EC159" s="21">
        <f>EXP(-LN(2)/2)*EC158+(1-EXP(-LN(2)/2))/(LN(2)/2)*DW159*DZ159*VLOOKUP('Données projet'!$B$14,Paramètres!$A$1:$I$89,3,0)*0.475*44/12</f>
        <v>3.9497023460995234E-20</v>
      </c>
      <c r="ED159" s="22">
        <f t="shared" si="178"/>
        <v>26.252977922247247</v>
      </c>
      <c r="EE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401</v>
      </c>
      <c r="EK159" s="17">
        <f>EJ159*VLOOKUP('Données projet'!$B$15,Paramètres!$A$1:$I$89,3,0)*VLOOKUP('Données projet'!$B$15,Paramètres!$A$1:$I$89,5,0)</f>
        <v>250.22399999999999</v>
      </c>
      <c r="EL159" s="13">
        <f t="shared" si="179"/>
        <v>60.633904580527918</v>
      </c>
      <c r="EM159" s="20">
        <f t="shared" si="180"/>
        <v>541.41085047775289</v>
      </c>
      <c r="EN159" s="59">
        <f t="shared" si="128"/>
        <v>834.74418381108626</v>
      </c>
      <c r="EO159" s="59">
        <f ca="1">AVERAGE(OFFSET($EN$3,0,0,'Données projet'!$E$15+1,1))-AVERAGE(OFFSET($H$3,0,0,'Données projet'!$E$15+1,1))</f>
        <v>269.77739619445515</v>
      </c>
      <c r="EP159" s="59">
        <f t="shared" si="154"/>
        <v>347.56964743629885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11.439939853318906</v>
      </c>
      <c r="EW159" s="21">
        <f>EXP(-LN(2)/25)*EW158+(1-EXP(-LN(2)/25))/(LN(2)/25)*Calculateur!ER159*Calculateur!ET159*VLOOKUP('Données projet'!$B$15,Paramètres!$A$1:$I$89,3,0)*0.475*44/12</f>
        <v>2.7885467780512951</v>
      </c>
      <c r="EX159" s="21">
        <f>EXP(-LN(2)/2)*EX158+(1-EXP(-LN(2)/2))/(LN(2)/2)*ER159*EU159*VLOOKUP('Données projet'!$B$15,Paramètres!$A$1:$I$89,3,0)*0.475*44/12</f>
        <v>2.6929788723405845E-21</v>
      </c>
      <c r="EY159" s="22">
        <f t="shared" si="181"/>
        <v>14.228486631370201</v>
      </c>
      <c r="EZ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367.99999999999972</v>
      </c>
      <c r="FF159" s="17">
        <f>FE159*VLOOKUP('Données projet'!$B$16,Paramètres!$A$1:$I$89,3,0)*VLOOKUP('Données projet'!$B$16,Paramètres!$A$1:$I$89,5,0)</f>
        <v>292.78079999999977</v>
      </c>
      <c r="FG159" s="13">
        <f t="shared" si="182"/>
        <v>69.660903052386217</v>
      </c>
      <c r="FH159" s="20">
        <f t="shared" si="183"/>
        <v>631.25263281623893</v>
      </c>
      <c r="FI159" s="59">
        <f t="shared" si="131"/>
        <v>924.58596614957219</v>
      </c>
      <c r="FJ159" s="59">
        <f ca="1">AVERAGE(OFFSET($FI$3,0,0,'Données projet'!$E$16+1,1))-AVERAGE(OFFSET($H$3,0,0,'Données projet'!$E$16+1,1))</f>
        <v>331.52724290297675</v>
      </c>
      <c r="FK159" s="59">
        <f t="shared" si="156"/>
        <v>322.79102610158054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13.681886513398977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13.681886513398977</v>
      </c>
      <c r="FU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852.00000000000011</v>
      </c>
      <c r="GA159" s="17">
        <f>FZ159*VLOOKUP('Données projet'!$B$17,Paramètres!$A$1:$I$89,3,0)*VLOOKUP('Données projet'!$B$17,Paramètres!$A$1:$I$89,5,0)</f>
        <v>420.88800000000009</v>
      </c>
      <c r="GB159" s="13">
        <f t="shared" si="185"/>
        <v>95.998759891259041</v>
      </c>
      <c r="GC159" s="20">
        <f t="shared" si="186"/>
        <v>900.24444014394294</v>
      </c>
      <c r="GD159" s="59">
        <f t="shared" si="134"/>
        <v>1193.5777734772762</v>
      </c>
      <c r="GE159" s="59">
        <f ca="1">AVERAGE(OFFSET($GD$3,0,0,'Données projet'!$E$17+1,1))-AVERAGE(OFFSET($H$3,0,0,'Données projet'!$E$17+1,1))</f>
        <v>434.08297999735811</v>
      </c>
      <c r="GF159" s="59">
        <f t="shared" si="158"/>
        <v>371.04090283546122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35.300097367498054</v>
      </c>
      <c r="GM159" s="21">
        <f>EXP(-LN(2)/25)*GM158+(1-EXP(-LN(2)/25))/(LN(2)/25)*Calculateur!GH159*Calculateur!GJ159*VLOOKUP('Données projet'!$B$17,Paramètres!$A$1:$I$89,3,0)*0.475*44/12</f>
        <v>1.5717144136397132</v>
      </c>
      <c r="GN159" s="21">
        <f>EXP(-LN(2)/2)*GN158+(1-EXP(-LN(2)/2))/(LN(2)/2)*GH159*GK159*VLOOKUP('Données projet'!$B$17,Paramètres!$A$1:$I$89,3,0)*0.475*44/12</f>
        <v>8.1487545877861373E-20</v>
      </c>
      <c r="GO159" s="21">
        <f t="shared" si="187"/>
        <v>36.871811781137765</v>
      </c>
      <c r="GP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614.99999999999989</v>
      </c>
      <c r="GV159" s="17">
        <f>GU159*VLOOKUP('Données projet'!$B$18,Paramètres!$A$1:$I$89,3,0)*VLOOKUP('Données projet'!$B$18,Paramètres!$A$1:$I$89,5,0)</f>
        <v>351.78</v>
      </c>
      <c r="GW159" s="13">
        <f t="shared" si="188"/>
        <v>81.92892344316067</v>
      </c>
      <c r="GX159" s="20">
        <f t="shared" si="189"/>
        <v>755.37637499683808</v>
      </c>
      <c r="GY159" s="59">
        <f t="shared" si="137"/>
        <v>1048.7097083301715</v>
      </c>
      <c r="GZ159" s="59">
        <f ca="1">AVERAGE(OFFSET($GY$3,0,0,'Données projet'!$E$18+1,1))-AVERAGE(OFFSET($H$3,0,0,'Données projet'!$E$18+1,1))</f>
        <v>362.57172983134313</v>
      </c>
      <c r="HA159" s="59">
        <f t="shared" si="160"/>
        <v>232.03250917542471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28.689461103903415</v>
      </c>
      <c r="HH159" s="21">
        <f>EXP(-LN(2)/25)*HH158+(1-EXP(-LN(2)/25))/(LN(2)/25)*Calculateur!HC159*Calculateur!HE159*VLOOKUP('Données projet'!$B$18,Paramètres!$A$1:$I$89,3,0)*0.475*44/12</f>
        <v>0.94754074697896629</v>
      </c>
      <c r="HI159" s="21">
        <f>EXP(-LN(2)/2)*HI158+(1-EXP(-LN(2)/2))/(LN(2)/2)*HC159*HF159*VLOOKUP('Données projet'!$B$18,Paramètres!$A$1:$I$89,3,0)*0.475*44/12</f>
        <v>8.1188326003156846E-20</v>
      </c>
      <c r="HJ159" s="22">
        <f t="shared" si="190"/>
        <v>29.637001850882381</v>
      </c>
    </row>
    <row r="160" spans="1:218" x14ac:dyDescent="0.3">
      <c r="A160" s="10">
        <f t="shared" si="161"/>
        <v>157</v>
      </c>
      <c r="B160" s="71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5">
        <f t="shared" si="110"/>
        <v>461.49894055233096</v>
      </c>
      <c r="I160" s="6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266.99999999999983</v>
      </c>
      <c r="O160" s="13">
        <f>N160*VLOOKUP('Données projet'!$B$9,Paramètres!$A$1:$I$89,3,0)*VLOOKUP('Données projet'!$B$9,Paramètres!$A$1:$I$89,5,0)</f>
        <v>212.42519999999985</v>
      </c>
      <c r="P160" s="13">
        <f t="shared" si="141"/>
        <v>52.465198231787184</v>
      </c>
      <c r="Q160" s="20">
        <f t="shared" si="162"/>
        <v>461.35077692036231</v>
      </c>
      <c r="R160" s="59">
        <f t="shared" si="109"/>
        <v>754.68411025369562</v>
      </c>
      <c r="S160" s="59">
        <f ca="1">AVERAGE(OFFSET($R$3,0,0,'Données projet'!$E$9+1,1))-AVERAGE(OFFSET($H$3,0,0,'Données projet'!$E$9+1,1))</f>
        <v>225.2323446080772</v>
      </c>
      <c r="T160" s="59">
        <f t="shared" si="142"/>
        <v>222.29030402759292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9.4425957678855745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9.4425957678855745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732.99999999999966</v>
      </c>
      <c r="AJ160" s="13">
        <f>AI160*VLOOKUP('Données projet'!$B$10,Paramètres!$A$1:$I$89,3,0)*VLOOKUP('Données projet'!$B$10,Paramètres!$A$1:$I$89,5,0)</f>
        <v>362.1019999999998</v>
      </c>
      <c r="AK160" s="13">
        <f t="shared" si="164"/>
        <v>84.049487364732272</v>
      </c>
      <c r="AL160" s="20">
        <f t="shared" si="165"/>
        <v>777.04717382690842</v>
      </c>
      <c r="AM160" s="59">
        <f t="shared" si="113"/>
        <v>1070.3805071602417</v>
      </c>
      <c r="AN160" s="59">
        <f ca="1">AVERAGE(OFFSET($AM$3,0,0,'Données projet'!$E$10+1,1))-AVERAGE(OFFSET($H$3,0,0,'Données projet'!$E$10+1,1))</f>
        <v>360.05819346986135</v>
      </c>
      <c r="AO160" s="59">
        <f t="shared" si="144"/>
        <v>300.47468388351081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28.277216000902953</v>
      </c>
      <c r="AV160" s="21">
        <f>EXP(-LN(2)/25)*AV159+(1-EXP(-LN(2)/25))/(LN(2)/25)*Calculateur!AQ160*Calculateur!AS160*VLOOKUP('Données projet'!$B$10,Paramètres!$A$1:$I$89,3,0)*0.475*44/12</f>
        <v>1.2507838366466157</v>
      </c>
      <c r="AW160" s="21">
        <f>EXP(-LN(2)/2)*AW159+(1-EXP(-LN(2)/2))/(LN(2)/2)*AQ160*AT160*VLOOKUP('Données projet'!$B$10,Paramètres!$A$1:$I$89,3,0)*0.475*44/12</f>
        <v>4.0200276469176046E-21</v>
      </c>
      <c r="AX160" s="21">
        <f t="shared" si="166"/>
        <v>29.527999837549569</v>
      </c>
      <c r="AY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465.00000000000006</v>
      </c>
      <c r="BE160" s="13">
        <f>BD160*VLOOKUP('Données projet'!$B$11,Paramètres!$A$1:$I$89,3,0)*VLOOKUP('Données projet'!$B$11,Paramètres!$A$1:$I$89,5,0)</f>
        <v>265.98</v>
      </c>
      <c r="BF160" s="13">
        <f t="shared" si="167"/>
        <v>63.995380422211589</v>
      </c>
      <c r="BG160" s="20">
        <f t="shared" si="168"/>
        <v>574.70712090201857</v>
      </c>
      <c r="BH160" s="59">
        <f t="shared" si="116"/>
        <v>868.04045423535194</v>
      </c>
      <c r="BI160" s="59">
        <f ca="1">AVERAGE(OFFSET($BH$3,0,0,'Données projet'!$E$11+1,1))-AVERAGE(OFFSET($H$3,0,0,'Données projet'!$E$11+1,1))</f>
        <v>250.90038883668348</v>
      </c>
      <c r="BJ160" s="59">
        <f t="shared" si="146"/>
        <v>141.96132114475608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21.65709305682951</v>
      </c>
      <c r="BQ160" s="21">
        <f>EXP(-LN(2)/25)*BQ159+(1-EXP(-LN(2)/25))/(LN(2)/25)*Calculateur!BL160*Calculateur!BN160*VLOOKUP('Données projet'!$B$11,Paramètres!$A$1:$I$89,3,0)*0.475*44/12</f>
        <v>0.35193236438665143</v>
      </c>
      <c r="BR160" s="21">
        <f>EXP(-LN(2)/2)*BR159+(1-EXP(-LN(2)/2))/(LN(2)/2)*BL160*BO160*VLOOKUP('Données projet'!$B$11,Paramètres!$A$1:$I$89,3,0)*0.475*44/12</f>
        <v>2.8964483871396624E-19</v>
      </c>
      <c r="BS160" s="22">
        <f t="shared" si="169"/>
        <v>22.009025421216162</v>
      </c>
      <c r="BT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319</v>
      </c>
      <c r="BZ160" s="13">
        <f>BY160*VLOOKUP('Données projet'!$B$12,Paramètres!$A$1:$I$89,3,0)*VLOOKUP('Données projet'!$B$12,Paramètres!$A$1:$I$89,5,0)</f>
        <v>253.79640000000001</v>
      </c>
      <c r="CA160" s="13">
        <f t="shared" si="170"/>
        <v>61.39816832228076</v>
      </c>
      <c r="CB160" s="20">
        <f t="shared" si="171"/>
        <v>548.96387316130563</v>
      </c>
      <c r="CC160" s="59">
        <f t="shared" si="119"/>
        <v>842.29720649463889</v>
      </c>
      <c r="CD160" s="59">
        <f ca="1">AVERAGE(OFFSET($CC$3,0,0,'Données projet'!$E$12+1,1))-AVERAGE(OFFSET($H$3,0,0,'Données projet'!$E$12+1,1))</f>
        <v>279.49721661620544</v>
      </c>
      <c r="CE160" s="59">
        <f t="shared" si="148"/>
        <v>275.18739333988754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11.571409807789296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11.571409807789296</v>
      </c>
      <c r="CO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789</v>
      </c>
      <c r="CU160" s="17">
        <f>CT160*VLOOKUP('Données projet'!$B$13,Paramètres!$A$1:$I$89,3,0)*VLOOKUP('Données projet'!$B$13,Paramètres!$A$1:$I$89,5,0)</f>
        <v>389.76600000000002</v>
      </c>
      <c r="CV160" s="13">
        <f t="shared" si="173"/>
        <v>89.698759503620408</v>
      </c>
      <c r="CW160" s="20">
        <f t="shared" si="174"/>
        <v>835.06778946880547</v>
      </c>
      <c r="CX160" s="59">
        <f t="shared" si="122"/>
        <v>1128.4011228021388</v>
      </c>
      <c r="CY160" s="59">
        <f ca="1">AVERAGE(OFFSET($CX$3,0,0,'Données projet'!$E$13+1,1))-AVERAGE(OFFSET($H$3,0,0,'Données projet'!$E$13+1,1))</f>
        <v>396.27049617044378</v>
      </c>
      <c r="CZ160" s="59">
        <f t="shared" si="150"/>
        <v>335.2680289568774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31.367805031233281</v>
      </c>
      <c r="DG160" s="21">
        <f>EXP(-LN(2)/25)*DG159+(1-EXP(-LN(2)/25))/(LN(2)/25)*Calculateur!DB160*Calculateur!DD160*VLOOKUP('Données projet'!$B$13,Paramètres!$A$1:$I$89,3,0)*0.475*44/12</f>
        <v>1.3897598184962414</v>
      </c>
      <c r="DH160" s="21">
        <f>EXP(-LN(2)/2)*DH159+(1-EXP(-LN(2)/2))/(LN(2)/2)*DB160*DE160*VLOOKUP('Données projet'!$B$13,Paramètres!$A$1:$I$89,3,0)*0.475*44/12</f>
        <v>2.9480202744062453E-20</v>
      </c>
      <c r="DI160" s="22">
        <f t="shared" si="175"/>
        <v>32.757564849729526</v>
      </c>
      <c r="DJ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541.99999999999989</v>
      </c>
      <c r="DP160" s="17">
        <f>DO160*VLOOKUP('Données projet'!$B$14,Paramètres!$A$1:$I$89,3,0)*VLOOKUP('Données projet'!$B$14,Paramètres!$A$1:$I$89,5,0)</f>
        <v>310.02399999999994</v>
      </c>
      <c r="DQ160" s="13">
        <f t="shared" si="176"/>
        <v>73.27384230442388</v>
      </c>
      <c r="DR160" s="20">
        <f t="shared" si="177"/>
        <v>667.57707534687154</v>
      </c>
      <c r="DS160" s="59">
        <f t="shared" si="125"/>
        <v>960.91040868020491</v>
      </c>
      <c r="DT160" s="59">
        <f ca="1">AVERAGE(OFFSET($DS$3,0,0,'Données projet'!$E$14+1,1))-AVERAGE(OFFSET($H$3,0,0,'Données projet'!$E$14+1,1))</f>
        <v>307.43900954374504</v>
      </c>
      <c r="DU160" s="59">
        <f t="shared" si="152"/>
        <v>185.25270859048999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24.941921565750103</v>
      </c>
      <c r="EB160" s="21">
        <f>EXP(-LN(2)/25)*EB159+(1-EXP(-LN(2)/25))/(LN(2)/25)*Calculateur!DW160*Calculateur!DY160*VLOOKUP('Données projet'!$B$14,Paramètres!$A$1:$I$89,3,0)*0.475*44/12</f>
        <v>0.78996873893470532</v>
      </c>
      <c r="EC160" s="21">
        <f>EXP(-LN(2)/2)*EC159+(1-EXP(-LN(2)/2))/(LN(2)/2)*DW160*DZ160*VLOOKUP('Données projet'!$B$14,Paramètres!$A$1:$I$89,3,0)*0.475*44/12</f>
        <v>2.792861312595389E-20</v>
      </c>
      <c r="ED160" s="22">
        <f t="shared" si="178"/>
        <v>25.731890304684807</v>
      </c>
      <c r="EE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401</v>
      </c>
      <c r="EK160" s="17">
        <f>EJ160*VLOOKUP('Données projet'!$B$15,Paramètres!$A$1:$I$89,3,0)*VLOOKUP('Données projet'!$B$15,Paramètres!$A$1:$I$89,5,0)</f>
        <v>250.22399999999999</v>
      </c>
      <c r="EL160" s="13">
        <f t="shared" si="179"/>
        <v>60.633904580527918</v>
      </c>
      <c r="EM160" s="20">
        <f t="shared" si="180"/>
        <v>541.41085047775289</v>
      </c>
      <c r="EN160" s="59">
        <f t="shared" si="128"/>
        <v>834.74418381108626</v>
      </c>
      <c r="EO160" s="59">
        <f ca="1">AVERAGE(OFFSET($EN$3,0,0,'Données projet'!$E$15+1,1))-AVERAGE(OFFSET($H$3,0,0,'Données projet'!$E$15+1,1))</f>
        <v>269.77739619445515</v>
      </c>
      <c r="EP160" s="59">
        <f t="shared" si="154"/>
        <v>347.56964743629885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11.215609610469645</v>
      </c>
      <c r="EW160" s="21">
        <f>EXP(-LN(2)/25)*EW159+(1-EXP(-LN(2)/25))/(LN(2)/25)*Calculateur!ER160*Calculateur!ET160*VLOOKUP('Données projet'!$B$15,Paramètres!$A$1:$I$89,3,0)*0.475*44/12</f>
        <v>2.7122938197621806</v>
      </c>
      <c r="EX160" s="21">
        <f>EXP(-LN(2)/2)*EX159+(1-EXP(-LN(2)/2))/(LN(2)/2)*ER160*EU160*VLOOKUP('Données projet'!$B$15,Paramètres!$A$1:$I$89,3,0)*0.475*44/12</f>
        <v>1.9042236222241292E-21</v>
      </c>
      <c r="EY160" s="22">
        <f t="shared" si="181"/>
        <v>13.927903430231826</v>
      </c>
      <c r="EZ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367.99999999999972</v>
      </c>
      <c r="FF160" s="17">
        <f>FE160*VLOOKUP('Données projet'!$B$16,Paramètres!$A$1:$I$89,3,0)*VLOOKUP('Données projet'!$B$16,Paramètres!$A$1:$I$89,5,0)</f>
        <v>292.78079999999977</v>
      </c>
      <c r="FG160" s="13">
        <f t="shared" si="182"/>
        <v>69.660903052386217</v>
      </c>
      <c r="FH160" s="20">
        <f t="shared" si="183"/>
        <v>631.25263281623893</v>
      </c>
      <c r="FI160" s="59">
        <f t="shared" si="131"/>
        <v>924.58596614957219</v>
      </c>
      <c r="FJ160" s="59">
        <f ca="1">AVERAGE(OFFSET($FI$3,0,0,'Données projet'!$E$16+1,1))-AVERAGE(OFFSET($H$3,0,0,'Données projet'!$E$16+1,1))</f>
        <v>331.52724290297675</v>
      </c>
      <c r="FK160" s="59">
        <f t="shared" si="156"/>
        <v>322.79102610158054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13.413593063997984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13.413593063997984</v>
      </c>
      <c r="FU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852.00000000000011</v>
      </c>
      <c r="GA160" s="17">
        <f>FZ160*VLOOKUP('Données projet'!$B$17,Paramètres!$A$1:$I$89,3,0)*VLOOKUP('Données projet'!$B$17,Paramètres!$A$1:$I$89,5,0)</f>
        <v>420.88800000000009</v>
      </c>
      <c r="GB160" s="13">
        <f t="shared" si="185"/>
        <v>95.998759891259041</v>
      </c>
      <c r="GC160" s="20">
        <f t="shared" si="186"/>
        <v>900.24444014394294</v>
      </c>
      <c r="GD160" s="59">
        <f t="shared" si="134"/>
        <v>1193.5777734772762</v>
      </c>
      <c r="GE160" s="59">
        <f ca="1">AVERAGE(OFFSET($GD$3,0,0,'Données projet'!$E$17+1,1))-AVERAGE(OFFSET($H$3,0,0,'Données projet'!$E$17+1,1))</f>
        <v>434.08297999735811</v>
      </c>
      <c r="GF160" s="59">
        <f t="shared" si="158"/>
        <v>371.04090283546122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34.607883989054805</v>
      </c>
      <c r="GM160" s="21">
        <f>EXP(-LN(2)/25)*GM159+(1-EXP(-LN(2)/25))/(LN(2)/25)*Calculateur!GH160*Calculateur!GJ160*VLOOKUP('Données projet'!$B$17,Paramètres!$A$1:$I$89,3,0)*0.475*44/12</f>
        <v>1.5287358003458664</v>
      </c>
      <c r="GN160" s="21">
        <f>EXP(-LN(2)/2)*GN159+(1-EXP(-LN(2)/2))/(LN(2)/2)*GH160*GK160*VLOOKUP('Données projet'!$B$17,Paramètres!$A$1:$I$89,3,0)*0.475*44/12</f>
        <v>5.7620396272485673E-20</v>
      </c>
      <c r="GO160" s="21">
        <f t="shared" si="187"/>
        <v>36.136619789400669</v>
      </c>
      <c r="GP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614.99999999999989</v>
      </c>
      <c r="GV160" s="17">
        <f>GU160*VLOOKUP('Données projet'!$B$18,Paramètres!$A$1:$I$89,3,0)*VLOOKUP('Données projet'!$B$18,Paramètres!$A$1:$I$89,5,0)</f>
        <v>351.78</v>
      </c>
      <c r="GW160" s="13">
        <f t="shared" si="188"/>
        <v>81.92892344316067</v>
      </c>
      <c r="GX160" s="20">
        <f t="shared" si="189"/>
        <v>755.37637499683808</v>
      </c>
      <c r="GY160" s="59">
        <f t="shared" si="137"/>
        <v>1048.7097083301715</v>
      </c>
      <c r="GZ160" s="59">
        <f ca="1">AVERAGE(OFFSET($GY$3,0,0,'Données projet'!$E$18+1,1))-AVERAGE(OFFSET($H$3,0,0,'Données projet'!$E$18+1,1))</f>
        <v>362.57172983134313</v>
      </c>
      <c r="HA160" s="59">
        <f t="shared" si="160"/>
        <v>232.03250917542471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28.126878270499276</v>
      </c>
      <c r="HH160" s="21">
        <f>EXP(-LN(2)/25)*HH159+(1-EXP(-LN(2)/25))/(LN(2)/25)*Calculateur!HC160*Calculateur!HE160*VLOOKUP('Données projet'!$B$18,Paramètres!$A$1:$I$89,3,0)*0.475*44/12</f>
        <v>0.92163019542382418</v>
      </c>
      <c r="HI160" s="21">
        <f>EXP(-LN(2)/2)*HI159+(1-EXP(-LN(2)/2))/(LN(2)/2)*HC160*HF160*VLOOKUP('Données projet'!$B$18,Paramètres!$A$1:$I$89,3,0)*0.475*44/12</f>
        <v>5.7408815870016314E-20</v>
      </c>
      <c r="HJ160" s="22">
        <f t="shared" si="190"/>
        <v>29.048508465923099</v>
      </c>
    </row>
    <row r="161" spans="1:218" x14ac:dyDescent="0.3">
      <c r="A161" s="10">
        <f t="shared" si="161"/>
        <v>158</v>
      </c>
      <c r="B161" s="71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5">
        <f t="shared" si="110"/>
        <v>462.5428177419758</v>
      </c>
      <c r="I161" s="6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266.99999999999983</v>
      </c>
      <c r="O161" s="13">
        <f>N161*VLOOKUP('Données projet'!$B$9,Paramètres!$A$1:$I$89,3,0)*VLOOKUP('Données projet'!$B$9,Paramètres!$A$1:$I$89,5,0)</f>
        <v>212.42519999999985</v>
      </c>
      <c r="P161" s="13">
        <f t="shared" si="141"/>
        <v>52.465198231787184</v>
      </c>
      <c r="Q161" s="20">
        <f t="shared" si="162"/>
        <v>461.35077692036231</v>
      </c>
      <c r="R161" s="59">
        <f t="shared" si="109"/>
        <v>754.68411025369562</v>
      </c>
      <c r="S161" s="59">
        <f ca="1">AVERAGE(OFFSET($R$3,0,0,'Données projet'!$E$9+1,1))-AVERAGE(OFFSET($H$3,0,0,'Données projet'!$E$9+1,1))</f>
        <v>225.2323446080772</v>
      </c>
      <c r="T161" s="59">
        <f t="shared" si="142"/>
        <v>222.29030402759292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9.2574322242920619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9.2574322242920619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732.99999999999966</v>
      </c>
      <c r="AJ161" s="13">
        <f>AI161*VLOOKUP('Données projet'!$B$10,Paramètres!$A$1:$I$89,3,0)*VLOOKUP('Données projet'!$B$10,Paramètres!$A$1:$I$89,5,0)</f>
        <v>362.1019999999998</v>
      </c>
      <c r="AK161" s="13">
        <f t="shared" si="164"/>
        <v>84.049487364732272</v>
      </c>
      <c r="AL161" s="20">
        <f t="shared" si="165"/>
        <v>777.04717382690842</v>
      </c>
      <c r="AM161" s="59">
        <f t="shared" si="113"/>
        <v>1070.3805071602417</v>
      </c>
      <c r="AN161" s="59">
        <f ca="1">AVERAGE(OFFSET($AM$3,0,0,'Données projet'!$E$10+1,1))-AVERAGE(OFFSET($H$3,0,0,'Données projet'!$E$10+1,1))</f>
        <v>360.05819346986135</v>
      </c>
      <c r="AO161" s="59">
        <f t="shared" si="144"/>
        <v>300.47468388351081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27.722717042523968</v>
      </c>
      <c r="AV161" s="21">
        <f>EXP(-LN(2)/25)*AV160+(1-EXP(-LN(2)/25))/(LN(2)/25)*Calculateur!AQ161*Calculateur!AS161*VLOOKUP('Données projet'!$B$10,Paramètres!$A$1:$I$89,3,0)*0.475*44/12</f>
        <v>1.2165810868576508</v>
      </c>
      <c r="AW161" s="21">
        <f>EXP(-LN(2)/2)*AW160+(1-EXP(-LN(2)/2))/(LN(2)/2)*AQ161*AT161*VLOOKUP('Données projet'!$B$10,Paramètres!$A$1:$I$89,3,0)*0.475*44/12</f>
        <v>2.8425888096928382E-21</v>
      </c>
      <c r="AX161" s="21">
        <f t="shared" si="166"/>
        <v>28.939298129381619</v>
      </c>
      <c r="AY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465.00000000000006</v>
      </c>
      <c r="BE161" s="13">
        <f>BD161*VLOOKUP('Données projet'!$B$11,Paramètres!$A$1:$I$89,3,0)*VLOOKUP('Données projet'!$B$11,Paramètres!$A$1:$I$89,5,0)</f>
        <v>265.98</v>
      </c>
      <c r="BF161" s="13">
        <f t="shared" si="167"/>
        <v>63.995380422211589</v>
      </c>
      <c r="BG161" s="20">
        <f t="shared" si="168"/>
        <v>574.70712090201857</v>
      </c>
      <c r="BH161" s="59">
        <f t="shared" si="116"/>
        <v>868.04045423535194</v>
      </c>
      <c r="BI161" s="59">
        <f ca="1">AVERAGE(OFFSET($BH$3,0,0,'Données projet'!$E$11+1,1))-AVERAGE(OFFSET($H$3,0,0,'Données projet'!$E$11+1,1))</f>
        <v>250.90038883668348</v>
      </c>
      <c r="BJ161" s="59">
        <f t="shared" si="146"/>
        <v>141.96132114475608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21.232410671507516</v>
      </c>
      <c r="BQ161" s="21">
        <f>EXP(-LN(2)/25)*BQ160+(1-EXP(-LN(2)/25))/(LN(2)/25)*Calculateur!BL161*Calculateur!BN161*VLOOKUP('Données projet'!$B$11,Paramètres!$A$1:$I$89,3,0)*0.475*44/12</f>
        <v>0.34230875537517974</v>
      </c>
      <c r="BR161" s="21">
        <f>EXP(-LN(2)/2)*BR160+(1-EXP(-LN(2)/2))/(LN(2)/2)*BL161*BO161*VLOOKUP('Données projet'!$B$11,Paramètres!$A$1:$I$89,3,0)*0.475*44/12</f>
        <v>2.0480982959032938E-19</v>
      </c>
      <c r="BS161" s="22">
        <f t="shared" si="169"/>
        <v>21.574719426882695</v>
      </c>
      <c r="BT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319</v>
      </c>
      <c r="BZ161" s="13">
        <f>BY161*VLOOKUP('Données projet'!$B$12,Paramètres!$A$1:$I$89,3,0)*VLOOKUP('Données projet'!$B$12,Paramètres!$A$1:$I$89,5,0)</f>
        <v>253.79640000000001</v>
      </c>
      <c r="CA161" s="13">
        <f t="shared" si="170"/>
        <v>61.39816832228076</v>
      </c>
      <c r="CB161" s="20">
        <f t="shared" si="171"/>
        <v>548.96387316130563</v>
      </c>
      <c r="CC161" s="59">
        <f t="shared" si="119"/>
        <v>842.29720649463889</v>
      </c>
      <c r="CD161" s="59">
        <f ca="1">AVERAGE(OFFSET($CC$3,0,0,'Données projet'!$E$12+1,1))-AVERAGE(OFFSET($H$3,0,0,'Données projet'!$E$12+1,1))</f>
        <v>279.49721661620544</v>
      </c>
      <c r="CE161" s="59">
        <f t="shared" si="148"/>
        <v>275.18739333988754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11.344501519321625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11.344501519321625</v>
      </c>
      <c r="CO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789</v>
      </c>
      <c r="CU161" s="17">
        <f>CT161*VLOOKUP('Données projet'!$B$13,Paramètres!$A$1:$I$89,3,0)*VLOOKUP('Données projet'!$B$13,Paramètres!$A$1:$I$89,5,0)</f>
        <v>389.76600000000002</v>
      </c>
      <c r="CV161" s="13">
        <f t="shared" si="173"/>
        <v>89.698759503620408</v>
      </c>
      <c r="CW161" s="20">
        <f t="shared" si="174"/>
        <v>835.06778946880547</v>
      </c>
      <c r="CX161" s="59">
        <f t="shared" si="122"/>
        <v>1128.4011228021388</v>
      </c>
      <c r="CY161" s="59">
        <f ca="1">AVERAGE(OFFSET($CX$3,0,0,'Données projet'!$E$13+1,1))-AVERAGE(OFFSET($H$3,0,0,'Données projet'!$E$13+1,1))</f>
        <v>396.27049617044378</v>
      </c>
      <c r="CZ161" s="59">
        <f t="shared" si="150"/>
        <v>335.2680289568774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30.752701507042691</v>
      </c>
      <c r="DG161" s="21">
        <f>EXP(-LN(2)/25)*DG160+(1-EXP(-LN(2)/25))/(LN(2)/25)*Calculateur!DB161*Calculateur!DD161*VLOOKUP('Données projet'!$B$13,Paramètres!$A$1:$I$89,3,0)*0.475*44/12</f>
        <v>1.3517567631751692</v>
      </c>
      <c r="DH161" s="21">
        <f>EXP(-LN(2)/2)*DH160+(1-EXP(-LN(2)/2))/(LN(2)/2)*DB161*DE161*VLOOKUP('Données projet'!$B$13,Paramètres!$A$1:$I$89,3,0)*0.475*44/12</f>
        <v>2.0845651271080827E-20</v>
      </c>
      <c r="DI161" s="22">
        <f t="shared" si="175"/>
        <v>32.104458270217862</v>
      </c>
      <c r="DJ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541.99999999999989</v>
      </c>
      <c r="DP161" s="17">
        <f>DO161*VLOOKUP('Données projet'!$B$14,Paramètres!$A$1:$I$89,3,0)*VLOOKUP('Données projet'!$B$14,Paramètres!$A$1:$I$89,5,0)</f>
        <v>310.02399999999994</v>
      </c>
      <c r="DQ161" s="13">
        <f t="shared" si="176"/>
        <v>73.27384230442388</v>
      </c>
      <c r="DR161" s="20">
        <f t="shared" si="177"/>
        <v>667.57707534687154</v>
      </c>
      <c r="DS161" s="59">
        <f t="shared" si="125"/>
        <v>960.91040868020491</v>
      </c>
      <c r="DT161" s="59">
        <f ca="1">AVERAGE(OFFSET($DS$3,0,0,'Données projet'!$E$14+1,1))-AVERAGE(OFFSET($H$3,0,0,'Données projet'!$E$14+1,1))</f>
        <v>307.43900954374504</v>
      </c>
      <c r="DU161" s="59">
        <f t="shared" si="152"/>
        <v>185.25270859048999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24.452825696915735</v>
      </c>
      <c r="EB161" s="21">
        <f>EXP(-LN(2)/25)*EB160+(1-EXP(-LN(2)/25))/(LN(2)/25)*Calculateur!DW161*Calculateur!DY161*VLOOKUP('Données projet'!$B$14,Paramètres!$A$1:$I$89,3,0)*0.475*44/12</f>
        <v>0.76836700222588528</v>
      </c>
      <c r="EC161" s="21">
        <f>EXP(-LN(2)/2)*EC160+(1-EXP(-LN(2)/2))/(LN(2)/2)*DW161*DZ161*VLOOKUP('Données projet'!$B$14,Paramètres!$A$1:$I$89,3,0)*0.475*44/12</f>
        <v>1.9748511730497617E-20</v>
      </c>
      <c r="ED161" s="22">
        <f t="shared" si="178"/>
        <v>25.221192699141621</v>
      </c>
      <c r="EE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401</v>
      </c>
      <c r="EK161" s="17">
        <f>EJ161*VLOOKUP('Données projet'!$B$15,Paramètres!$A$1:$I$89,3,0)*VLOOKUP('Données projet'!$B$15,Paramètres!$A$1:$I$89,5,0)</f>
        <v>250.22399999999999</v>
      </c>
      <c r="EL161" s="13">
        <f t="shared" si="179"/>
        <v>60.633904580527918</v>
      </c>
      <c r="EM161" s="20">
        <f t="shared" si="180"/>
        <v>541.41085047775289</v>
      </c>
      <c r="EN161" s="59">
        <f t="shared" si="128"/>
        <v>834.74418381108626</v>
      </c>
      <c r="EO161" s="59">
        <f ca="1">AVERAGE(OFFSET($EN$3,0,0,'Données projet'!$E$15+1,1))-AVERAGE(OFFSET($H$3,0,0,'Données projet'!$E$15+1,1))</f>
        <v>269.77739619445515</v>
      </c>
      <c r="EP161" s="59">
        <f t="shared" si="154"/>
        <v>347.56964743629885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10.995678346854721</v>
      </c>
      <c r="EW161" s="21">
        <f>EXP(-LN(2)/25)*EW160+(1-EXP(-LN(2)/25))/(LN(2)/25)*Calculateur!ER161*Calculateur!ET161*VLOOKUP('Données projet'!$B$15,Paramètres!$A$1:$I$89,3,0)*0.475*44/12</f>
        <v>2.6381260026274509</v>
      </c>
      <c r="EX161" s="21">
        <f>EXP(-LN(2)/2)*EX160+(1-EXP(-LN(2)/2))/(LN(2)/2)*ER161*EU161*VLOOKUP('Données projet'!$B$15,Paramètres!$A$1:$I$89,3,0)*0.475*44/12</f>
        <v>1.3464894361702923E-21</v>
      </c>
      <c r="EY161" s="22">
        <f t="shared" si="181"/>
        <v>13.633804349482173</v>
      </c>
      <c r="EZ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367.99999999999972</v>
      </c>
      <c r="FF161" s="17">
        <f>FE161*VLOOKUP('Données projet'!$B$16,Paramètres!$A$1:$I$89,3,0)*VLOOKUP('Données projet'!$B$16,Paramètres!$A$1:$I$89,5,0)</f>
        <v>292.78079999999977</v>
      </c>
      <c r="FG161" s="13">
        <f t="shared" si="182"/>
        <v>69.660903052386217</v>
      </c>
      <c r="FH161" s="20">
        <f t="shared" si="183"/>
        <v>631.25263281623893</v>
      </c>
      <c r="FI161" s="59">
        <f t="shared" si="131"/>
        <v>924.58596614957219</v>
      </c>
      <c r="FJ161" s="59">
        <f ca="1">AVERAGE(OFFSET($FI$3,0,0,'Données projet'!$E$16+1,1))-AVERAGE(OFFSET($H$3,0,0,'Données projet'!$E$16+1,1))</f>
        <v>331.52724290297675</v>
      </c>
      <c r="FK161" s="59">
        <f t="shared" si="156"/>
        <v>322.79102610158054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13.150560685496899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13.150560685496899</v>
      </c>
      <c r="FU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852.00000000000011</v>
      </c>
      <c r="GA161" s="17">
        <f>FZ161*VLOOKUP('Données projet'!$B$17,Paramètres!$A$1:$I$89,3,0)*VLOOKUP('Données projet'!$B$17,Paramètres!$A$1:$I$89,5,0)</f>
        <v>420.88800000000009</v>
      </c>
      <c r="GB161" s="13">
        <f t="shared" si="185"/>
        <v>95.998759891259041</v>
      </c>
      <c r="GC161" s="20">
        <f t="shared" si="186"/>
        <v>900.24444014394294</v>
      </c>
      <c r="GD161" s="59">
        <f t="shared" si="134"/>
        <v>1193.5777734772762</v>
      </c>
      <c r="GE161" s="59">
        <f ca="1">AVERAGE(OFFSET($GD$3,0,0,'Données projet'!$E$17+1,1))-AVERAGE(OFFSET($H$3,0,0,'Données projet'!$E$17+1,1))</f>
        <v>434.08297999735811</v>
      </c>
      <c r="GF161" s="59">
        <f t="shared" si="158"/>
        <v>371.04090283546122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33.929244492754357</v>
      </c>
      <c r="GM161" s="21">
        <f>EXP(-LN(2)/25)*GM160+(1-EXP(-LN(2)/25))/(LN(2)/25)*Calculateur!GH161*Calculateur!GJ161*VLOOKUP('Données projet'!$B$17,Paramètres!$A$1:$I$89,3,0)*0.475*44/12</f>
        <v>1.4869324394926868</v>
      </c>
      <c r="GN161" s="21">
        <f>EXP(-LN(2)/2)*GN160+(1-EXP(-LN(2)/2))/(LN(2)/2)*GH161*GK161*VLOOKUP('Données projet'!$B$17,Paramètres!$A$1:$I$89,3,0)*0.475*44/12</f>
        <v>4.0743772938930687E-20</v>
      </c>
      <c r="GO161" s="21">
        <f t="shared" si="187"/>
        <v>35.416176932247041</v>
      </c>
      <c r="GP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614.99999999999989</v>
      </c>
      <c r="GV161" s="17">
        <f>GU161*VLOOKUP('Données projet'!$B$18,Paramètres!$A$1:$I$89,3,0)*VLOOKUP('Données projet'!$B$18,Paramètres!$A$1:$I$89,5,0)</f>
        <v>351.78</v>
      </c>
      <c r="GW161" s="13">
        <f t="shared" si="188"/>
        <v>81.92892344316067</v>
      </c>
      <c r="GX161" s="20">
        <f t="shared" si="189"/>
        <v>755.37637499683808</v>
      </c>
      <c r="GY161" s="59">
        <f t="shared" si="137"/>
        <v>1048.7097083301715</v>
      </c>
      <c r="GZ161" s="59">
        <f ca="1">AVERAGE(OFFSET($GY$3,0,0,'Données projet'!$E$18+1,1))-AVERAGE(OFFSET($H$3,0,0,'Données projet'!$E$18+1,1))</f>
        <v>362.57172983134313</v>
      </c>
      <c r="HA161" s="59">
        <f t="shared" si="160"/>
        <v>232.03250917542471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27.575327343316545</v>
      </c>
      <c r="HH161" s="21">
        <f>EXP(-LN(2)/25)*HH160+(1-EXP(-LN(2)/25))/(LN(2)/25)*Calculateur!HC161*Calculateur!HE161*VLOOKUP('Données projet'!$B$18,Paramètres!$A$1:$I$89,3,0)*0.475*44/12</f>
        <v>0.89642816926353419</v>
      </c>
      <c r="HI161" s="21">
        <f>EXP(-LN(2)/2)*HI160+(1-EXP(-LN(2)/2))/(LN(2)/2)*HC161*HF161*VLOOKUP('Données projet'!$B$18,Paramètres!$A$1:$I$89,3,0)*0.475*44/12</f>
        <v>4.0594163001578423E-20</v>
      </c>
      <c r="HJ161" s="22">
        <f t="shared" si="190"/>
        <v>28.471755512580078</v>
      </c>
    </row>
    <row r="162" spans="1:218" x14ac:dyDescent="0.3">
      <c r="A162" s="10">
        <f t="shared" si="161"/>
        <v>159</v>
      </c>
      <c r="B162" s="71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5">
        <f t="shared" si="110"/>
        <v>463.58654312460754</v>
      </c>
      <c r="I162" s="6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266.99999999999983</v>
      </c>
      <c r="O162" s="13">
        <f>N162*VLOOKUP('Données projet'!$B$9,Paramètres!$A$1:$I$89,3,0)*VLOOKUP('Données projet'!$B$9,Paramètres!$A$1:$I$89,5,0)</f>
        <v>212.42519999999985</v>
      </c>
      <c r="P162" s="13">
        <f t="shared" si="141"/>
        <v>52.465198231787184</v>
      </c>
      <c r="Q162" s="20">
        <f t="shared" si="162"/>
        <v>461.35077692036231</v>
      </c>
      <c r="R162" s="59">
        <f t="shared" si="109"/>
        <v>754.68411025369562</v>
      </c>
      <c r="S162" s="59">
        <f ca="1">AVERAGE(OFFSET($R$3,0,0,'Données projet'!$E$9+1,1))-AVERAGE(OFFSET($H$3,0,0,'Données projet'!$E$9+1,1))</f>
        <v>225.2323446080772</v>
      </c>
      <c r="T162" s="59">
        <f t="shared" si="142"/>
        <v>222.29030402759292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9.0758996248498089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9.0758996248498089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732.99999999999966</v>
      </c>
      <c r="AJ162" s="13">
        <f>AI162*VLOOKUP('Données projet'!$B$10,Paramètres!$A$1:$I$89,3,0)*VLOOKUP('Données projet'!$B$10,Paramètres!$A$1:$I$89,5,0)</f>
        <v>362.1019999999998</v>
      </c>
      <c r="AK162" s="13">
        <f t="shared" si="164"/>
        <v>84.049487364732272</v>
      </c>
      <c r="AL162" s="20">
        <f t="shared" si="165"/>
        <v>777.04717382690842</v>
      </c>
      <c r="AM162" s="59">
        <f t="shared" si="113"/>
        <v>1070.3805071602417</v>
      </c>
      <c r="AN162" s="59">
        <f ca="1">AVERAGE(OFFSET($AM$3,0,0,'Données projet'!$E$10+1,1))-AVERAGE(OFFSET($H$3,0,0,'Données projet'!$E$10+1,1))</f>
        <v>360.05819346986135</v>
      </c>
      <c r="AO162" s="59">
        <f t="shared" si="144"/>
        <v>300.47468388351081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27.179091470507824</v>
      </c>
      <c r="AV162" s="21">
        <f>EXP(-LN(2)/25)*AV161+(1-EXP(-LN(2)/25))/(LN(2)/25)*Calculateur!AQ162*Calculateur!AS162*VLOOKUP('Données projet'!$B$10,Paramètres!$A$1:$I$89,3,0)*0.475*44/12</f>
        <v>1.1833136130603095</v>
      </c>
      <c r="AW162" s="21">
        <f>EXP(-LN(2)/2)*AW161+(1-EXP(-LN(2)/2))/(LN(2)/2)*AQ162*AT162*VLOOKUP('Données projet'!$B$10,Paramètres!$A$1:$I$89,3,0)*0.475*44/12</f>
        <v>2.0100138234588023E-21</v>
      </c>
      <c r="AX162" s="21">
        <f t="shared" si="166"/>
        <v>28.362405083568135</v>
      </c>
      <c r="AY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465.00000000000006</v>
      </c>
      <c r="BE162" s="13">
        <f>BD162*VLOOKUP('Données projet'!$B$11,Paramètres!$A$1:$I$89,3,0)*VLOOKUP('Données projet'!$B$11,Paramètres!$A$1:$I$89,5,0)</f>
        <v>265.98</v>
      </c>
      <c r="BF162" s="13">
        <f t="shared" si="167"/>
        <v>63.995380422211589</v>
      </c>
      <c r="BG162" s="20">
        <f t="shared" si="168"/>
        <v>574.70712090201857</v>
      </c>
      <c r="BH162" s="59">
        <f t="shared" si="116"/>
        <v>868.04045423535194</v>
      </c>
      <c r="BI162" s="59">
        <f ca="1">AVERAGE(OFFSET($BH$3,0,0,'Données projet'!$E$11+1,1))-AVERAGE(OFFSET($H$3,0,0,'Données projet'!$E$11+1,1))</f>
        <v>250.90038883668348</v>
      </c>
      <c r="BJ162" s="59">
        <f t="shared" si="146"/>
        <v>141.96132114475608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20.81605604873101</v>
      </c>
      <c r="BQ162" s="21">
        <f>EXP(-LN(2)/25)*BQ161+(1-EXP(-LN(2)/25))/(LN(2)/25)*Calculateur!BL162*Calculateur!BN162*VLOOKUP('Données projet'!$B$11,Paramètres!$A$1:$I$89,3,0)*0.475*44/12</f>
        <v>0.33294830445821039</v>
      </c>
      <c r="BR162" s="21">
        <f>EXP(-LN(2)/2)*BR161+(1-EXP(-LN(2)/2))/(LN(2)/2)*BL162*BO162*VLOOKUP('Données projet'!$B$11,Paramètres!$A$1:$I$89,3,0)*0.475*44/12</f>
        <v>1.4482241935698312E-19</v>
      </c>
      <c r="BS162" s="22">
        <f t="shared" si="169"/>
        <v>21.14900435318922</v>
      </c>
      <c r="BT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319</v>
      </c>
      <c r="BZ162" s="13">
        <f>BY162*VLOOKUP('Données projet'!$B$12,Paramètres!$A$1:$I$89,3,0)*VLOOKUP('Données projet'!$B$12,Paramètres!$A$1:$I$89,5,0)</f>
        <v>253.79640000000001</v>
      </c>
      <c r="CA162" s="13">
        <f t="shared" si="170"/>
        <v>61.39816832228076</v>
      </c>
      <c r="CB162" s="20">
        <f t="shared" si="171"/>
        <v>548.96387316130563</v>
      </c>
      <c r="CC162" s="59">
        <f t="shared" si="119"/>
        <v>842.29720649463889</v>
      </c>
      <c r="CD162" s="59">
        <f ca="1">AVERAGE(OFFSET($CC$3,0,0,'Données projet'!$E$12+1,1))-AVERAGE(OFFSET($H$3,0,0,'Données projet'!$E$12+1,1))</f>
        <v>279.49721661620544</v>
      </c>
      <c r="CE162" s="59">
        <f t="shared" si="148"/>
        <v>275.18739333988754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11.122042763990414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11.122042763990414</v>
      </c>
      <c r="CO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789</v>
      </c>
      <c r="CU162" s="17">
        <f>CT162*VLOOKUP('Données projet'!$B$13,Paramètres!$A$1:$I$89,3,0)*VLOOKUP('Données projet'!$B$13,Paramètres!$A$1:$I$89,5,0)</f>
        <v>389.76600000000002</v>
      </c>
      <c r="CV162" s="13">
        <f t="shared" si="173"/>
        <v>89.698759503620408</v>
      </c>
      <c r="CW162" s="20">
        <f t="shared" si="174"/>
        <v>835.06778946880547</v>
      </c>
      <c r="CX162" s="59">
        <f t="shared" si="122"/>
        <v>1128.4011228021388</v>
      </c>
      <c r="CY162" s="59">
        <f ca="1">AVERAGE(OFFSET($CX$3,0,0,'Données projet'!$E$13+1,1))-AVERAGE(OFFSET($H$3,0,0,'Données projet'!$E$13+1,1))</f>
        <v>396.27049617044378</v>
      </c>
      <c r="CZ162" s="59">
        <f t="shared" si="150"/>
        <v>335.2680289568774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30.149659787785374</v>
      </c>
      <c r="DG162" s="21">
        <f>EXP(-LN(2)/25)*DG161+(1-EXP(-LN(2)/25))/(LN(2)/25)*Calculateur!DB162*Calculateur!DD162*VLOOKUP('Données projet'!$B$13,Paramètres!$A$1:$I$89,3,0)*0.475*44/12</f>
        <v>1.3147929034003456</v>
      </c>
      <c r="DH162" s="21">
        <f>EXP(-LN(2)/2)*DH161+(1-EXP(-LN(2)/2))/(LN(2)/2)*DB162*DE162*VLOOKUP('Données projet'!$B$13,Paramètres!$A$1:$I$89,3,0)*0.475*44/12</f>
        <v>1.4740101372031227E-20</v>
      </c>
      <c r="DI162" s="22">
        <f t="shared" si="175"/>
        <v>31.46445269118572</v>
      </c>
      <c r="DJ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541.99999999999989</v>
      </c>
      <c r="DP162" s="17">
        <f>DO162*VLOOKUP('Données projet'!$B$14,Paramètres!$A$1:$I$89,3,0)*VLOOKUP('Données projet'!$B$14,Paramètres!$A$1:$I$89,5,0)</f>
        <v>310.02399999999994</v>
      </c>
      <c r="DQ162" s="13">
        <f t="shared" si="176"/>
        <v>73.27384230442388</v>
      </c>
      <c r="DR162" s="20">
        <f t="shared" si="177"/>
        <v>667.57707534687154</v>
      </c>
      <c r="DS162" s="59">
        <f t="shared" si="125"/>
        <v>960.91040868020491</v>
      </c>
      <c r="DT162" s="59">
        <f ca="1">AVERAGE(OFFSET($DS$3,0,0,'Données projet'!$E$14+1,1))-AVERAGE(OFFSET($H$3,0,0,'Données projet'!$E$14+1,1))</f>
        <v>307.43900954374504</v>
      </c>
      <c r="DU162" s="59">
        <f t="shared" si="152"/>
        <v>185.25270859048999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23.973320699750182</v>
      </c>
      <c r="EB162" s="21">
        <f>EXP(-LN(2)/25)*EB161+(1-EXP(-LN(2)/25))/(LN(2)/25)*Calculateur!DW162*Calculateur!DY162*VLOOKUP('Données projet'!$B$14,Paramètres!$A$1:$I$89,3,0)*0.475*44/12</f>
        <v>0.74735596614335398</v>
      </c>
      <c r="EC162" s="21">
        <f>EXP(-LN(2)/2)*EC161+(1-EXP(-LN(2)/2))/(LN(2)/2)*DW162*DZ162*VLOOKUP('Données projet'!$B$14,Paramètres!$A$1:$I$89,3,0)*0.475*44/12</f>
        <v>1.3964306562976945E-20</v>
      </c>
      <c r="ED162" s="22">
        <f t="shared" si="178"/>
        <v>24.720676665893535</v>
      </c>
      <c r="EE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401</v>
      </c>
      <c r="EK162" s="17">
        <f>EJ162*VLOOKUP('Données projet'!$B$15,Paramètres!$A$1:$I$89,3,0)*VLOOKUP('Données projet'!$B$15,Paramètres!$A$1:$I$89,5,0)</f>
        <v>250.22399999999999</v>
      </c>
      <c r="EL162" s="13">
        <f t="shared" si="179"/>
        <v>60.633904580527918</v>
      </c>
      <c r="EM162" s="20">
        <f t="shared" si="180"/>
        <v>541.41085047775289</v>
      </c>
      <c r="EN162" s="59">
        <f t="shared" si="128"/>
        <v>834.74418381108626</v>
      </c>
      <c r="EO162" s="59">
        <f ca="1">AVERAGE(OFFSET($EN$3,0,0,'Données projet'!$E$15+1,1))-AVERAGE(OFFSET($H$3,0,0,'Données projet'!$E$15+1,1))</f>
        <v>269.77739619445515</v>
      </c>
      <c r="EP162" s="59">
        <f t="shared" si="154"/>
        <v>347.56964743629885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10.78005980117446</v>
      </c>
      <c r="EW162" s="21">
        <f>EXP(-LN(2)/25)*EW161+(1-EXP(-LN(2)/25))/(LN(2)/25)*Calculateur!ER162*Calculateur!ET162*VLOOKUP('Données projet'!$B$15,Paramètres!$A$1:$I$89,3,0)*0.475*44/12</f>
        <v>2.5659863083525862</v>
      </c>
      <c r="EX162" s="21">
        <f>EXP(-LN(2)/2)*EX161+(1-EXP(-LN(2)/2))/(LN(2)/2)*ER162*EU162*VLOOKUP('Données projet'!$B$15,Paramètres!$A$1:$I$89,3,0)*0.475*44/12</f>
        <v>9.5211181111206458E-22</v>
      </c>
      <c r="EY162" s="22">
        <f t="shared" si="181"/>
        <v>13.346046109527046</v>
      </c>
      <c r="EZ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367.99999999999972</v>
      </c>
      <c r="FF162" s="17">
        <f>FE162*VLOOKUP('Données projet'!$B$16,Paramètres!$A$1:$I$89,3,0)*VLOOKUP('Données projet'!$B$16,Paramètres!$A$1:$I$89,5,0)</f>
        <v>292.78079999999977</v>
      </c>
      <c r="FG162" s="13">
        <f t="shared" si="182"/>
        <v>69.660903052386217</v>
      </c>
      <c r="FH162" s="20">
        <f t="shared" si="183"/>
        <v>631.25263281623893</v>
      </c>
      <c r="FI162" s="59">
        <f t="shared" si="131"/>
        <v>924.58596614957219</v>
      </c>
      <c r="FJ162" s="59">
        <f ca="1">AVERAGE(OFFSET($FI$3,0,0,'Données projet'!$E$16+1,1))-AVERAGE(OFFSET($H$3,0,0,'Données projet'!$E$16+1,1))</f>
        <v>331.52724290297675</v>
      </c>
      <c r="FK162" s="59">
        <f t="shared" si="156"/>
        <v>322.79102610158054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12.89268621150431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12.89268621150431</v>
      </c>
      <c r="FU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852.00000000000011</v>
      </c>
      <c r="GA162" s="17">
        <f>FZ162*VLOOKUP('Données projet'!$B$17,Paramètres!$A$1:$I$89,3,0)*VLOOKUP('Données projet'!$B$17,Paramètres!$A$1:$I$89,5,0)</f>
        <v>420.88800000000009</v>
      </c>
      <c r="GB162" s="13">
        <f t="shared" si="185"/>
        <v>95.998759891259041</v>
      </c>
      <c r="GC162" s="20">
        <f t="shared" si="186"/>
        <v>900.24444014394294</v>
      </c>
      <c r="GD162" s="59">
        <f t="shared" si="134"/>
        <v>1193.5777734772762</v>
      </c>
      <c r="GE162" s="59">
        <f ca="1">AVERAGE(OFFSET($GD$3,0,0,'Données projet'!$E$17+1,1))-AVERAGE(OFFSET($H$3,0,0,'Données projet'!$E$17+1,1))</f>
        <v>434.08297999735811</v>
      </c>
      <c r="GF162" s="59">
        <f t="shared" si="158"/>
        <v>371.04090283546122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33.26391270304714</v>
      </c>
      <c r="GM162" s="21">
        <f>EXP(-LN(2)/25)*GM161+(1-EXP(-LN(2)/25))/(LN(2)/25)*Calculateur!GH162*Calculateur!GJ162*VLOOKUP('Données projet'!$B$17,Paramètres!$A$1:$I$89,3,0)*0.475*44/12</f>
        <v>1.4462721937403809</v>
      </c>
      <c r="GN162" s="21">
        <f>EXP(-LN(2)/2)*GN161+(1-EXP(-LN(2)/2))/(LN(2)/2)*GH162*GK162*VLOOKUP('Données projet'!$B$17,Paramètres!$A$1:$I$89,3,0)*0.475*44/12</f>
        <v>2.8810198136242836E-20</v>
      </c>
      <c r="GO162" s="21">
        <f t="shared" si="187"/>
        <v>34.710184896787524</v>
      </c>
      <c r="GP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614.99999999999989</v>
      </c>
      <c r="GV162" s="17">
        <f>GU162*VLOOKUP('Données projet'!$B$18,Paramètres!$A$1:$I$89,3,0)*VLOOKUP('Données projet'!$B$18,Paramètres!$A$1:$I$89,5,0)</f>
        <v>351.78</v>
      </c>
      <c r="GW162" s="13">
        <f t="shared" si="188"/>
        <v>81.92892344316067</v>
      </c>
      <c r="GX162" s="20">
        <f t="shared" si="189"/>
        <v>755.37637499683808</v>
      </c>
      <c r="GY162" s="59">
        <f t="shared" si="137"/>
        <v>1048.7097083301715</v>
      </c>
      <c r="GZ162" s="59">
        <f ca="1">AVERAGE(OFFSET($GY$3,0,0,'Données projet'!$E$18+1,1))-AVERAGE(OFFSET($H$3,0,0,'Données projet'!$E$18+1,1))</f>
        <v>362.57172983134313</v>
      </c>
      <c r="HA162" s="59">
        <f t="shared" si="160"/>
        <v>232.03250917542471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27.034591993403019</v>
      </c>
      <c r="HH162" s="21">
        <f>EXP(-LN(2)/25)*HH161+(1-EXP(-LN(2)/25))/(LN(2)/25)*Calculateur!HC162*Calculateur!HE162*VLOOKUP('Données projet'!$B$18,Paramètres!$A$1:$I$89,3,0)*0.475*44/12</f>
        <v>0.8719152938339142</v>
      </c>
      <c r="HI162" s="21">
        <f>EXP(-LN(2)/2)*HI161+(1-EXP(-LN(2)/2))/(LN(2)/2)*HC162*HF162*VLOOKUP('Données projet'!$B$18,Paramètres!$A$1:$I$89,3,0)*0.475*44/12</f>
        <v>2.8704407935008157E-20</v>
      </c>
      <c r="HJ162" s="22">
        <f t="shared" si="190"/>
        <v>27.906507287236934</v>
      </c>
    </row>
    <row r="163" spans="1:218" x14ac:dyDescent="0.3">
      <c r="A163" s="10">
        <f t="shared" si="161"/>
        <v>160</v>
      </c>
      <c r="B163" s="71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5">
        <f t="shared" si="110"/>
        <v>464.63011776574541</v>
      </c>
      <c r="I163" s="6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266.99999999999983</v>
      </c>
      <c r="O163" s="13">
        <f>N163*VLOOKUP('Données projet'!$B$9,Paramètres!$A$1:$I$89,3,0)*VLOOKUP('Données projet'!$B$9,Paramètres!$A$1:$I$89,5,0)</f>
        <v>212.42519999999985</v>
      </c>
      <c r="P163" s="13">
        <f t="shared" si="141"/>
        <v>52.465198231787184</v>
      </c>
      <c r="Q163" s="20">
        <f t="shared" si="162"/>
        <v>461.35077692036231</v>
      </c>
      <c r="R163" s="59">
        <f t="shared" si="109"/>
        <v>754.68411025369562</v>
      </c>
      <c r="S163" s="59">
        <f ca="1">AVERAGE(OFFSET($R$3,0,0,'Données projet'!$E$9+1,1))-AVERAGE(OFFSET($H$3,0,0,'Données projet'!$E$9+1,1))</f>
        <v>225.2323446080772</v>
      </c>
      <c r="T163" s="59">
        <f t="shared" si="142"/>
        <v>222.29030402759292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8.8979267689586656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8.8979267689586656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732.99999999999966</v>
      </c>
      <c r="AJ163" s="13">
        <f>AI163*VLOOKUP('Données projet'!$B$10,Paramètres!$A$1:$I$89,3,0)*VLOOKUP('Données projet'!$B$10,Paramètres!$A$1:$I$89,5,0)</f>
        <v>362.1019999999998</v>
      </c>
      <c r="AK163" s="13">
        <f t="shared" si="164"/>
        <v>84.049487364732272</v>
      </c>
      <c r="AL163" s="20">
        <f t="shared" si="165"/>
        <v>777.04717382690842</v>
      </c>
      <c r="AM163" s="59">
        <f t="shared" si="113"/>
        <v>1070.3805071602417</v>
      </c>
      <c r="AN163" s="59">
        <f ca="1">AVERAGE(OFFSET($AM$3,0,0,'Données projet'!$E$10+1,1))-AVERAGE(OFFSET($H$3,0,0,'Données projet'!$E$10+1,1))</f>
        <v>360.05819346986135</v>
      </c>
      <c r="AO163" s="59">
        <f t="shared" si="144"/>
        <v>300.47468388351081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26.646126064380059</v>
      </c>
      <c r="AV163" s="21">
        <f>EXP(-LN(2)/25)*AV162+(1-EXP(-LN(2)/25))/(LN(2)/25)*Calculateur!AQ163*Calculateur!AS163*VLOOKUP('Données projet'!$B$10,Paramètres!$A$1:$I$89,3,0)*0.475*44/12</f>
        <v>1.150955840083417</v>
      </c>
      <c r="AW163" s="21">
        <f>EXP(-LN(2)/2)*AW162+(1-EXP(-LN(2)/2))/(LN(2)/2)*AQ163*AT163*VLOOKUP('Données projet'!$B$10,Paramètres!$A$1:$I$89,3,0)*0.475*44/12</f>
        <v>1.4212944048464191E-21</v>
      </c>
      <c r="AX163" s="21">
        <f t="shared" si="166"/>
        <v>27.797081904463475</v>
      </c>
      <c r="AY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465.00000000000006</v>
      </c>
      <c r="BE163" s="13">
        <f>BD163*VLOOKUP('Données projet'!$B$11,Paramètres!$A$1:$I$89,3,0)*VLOOKUP('Données projet'!$B$11,Paramètres!$A$1:$I$89,5,0)</f>
        <v>265.98</v>
      </c>
      <c r="BF163" s="13">
        <f t="shared" si="167"/>
        <v>63.995380422211589</v>
      </c>
      <c r="BG163" s="20">
        <f t="shared" si="168"/>
        <v>574.70712090201857</v>
      </c>
      <c r="BH163" s="59">
        <f t="shared" si="116"/>
        <v>868.04045423535194</v>
      </c>
      <c r="BI163" s="59">
        <f ca="1">AVERAGE(OFFSET($BH$3,0,0,'Données projet'!$E$11+1,1))-AVERAGE(OFFSET($H$3,0,0,'Données projet'!$E$11+1,1))</f>
        <v>250.90038883668348</v>
      </c>
      <c r="BJ163" s="59">
        <f t="shared" si="146"/>
        <v>141.96132114475608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20.407865886155907</v>
      </c>
      <c r="BQ163" s="21">
        <f>EXP(-LN(2)/25)*BQ162+(1-EXP(-LN(2)/25))/(LN(2)/25)*Calculateur!BL163*Calculateur!BN163*VLOOKUP('Données projet'!$B$11,Paramètres!$A$1:$I$89,3,0)*0.475*44/12</f>
        <v>0.32384381556381026</v>
      </c>
      <c r="BR163" s="21">
        <f>EXP(-LN(2)/2)*BR162+(1-EXP(-LN(2)/2))/(LN(2)/2)*BL163*BO163*VLOOKUP('Données projet'!$B$11,Paramètres!$A$1:$I$89,3,0)*0.475*44/12</f>
        <v>1.0240491479516469E-19</v>
      </c>
      <c r="BS163" s="22">
        <f t="shared" si="169"/>
        <v>20.731709701719716</v>
      </c>
      <c r="BT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319</v>
      </c>
      <c r="BZ163" s="13">
        <f>BY163*VLOOKUP('Données projet'!$B$12,Paramètres!$A$1:$I$89,3,0)*VLOOKUP('Données projet'!$B$12,Paramètres!$A$1:$I$89,5,0)</f>
        <v>253.79640000000001</v>
      </c>
      <c r="CA163" s="13">
        <f t="shared" si="170"/>
        <v>61.39816832228076</v>
      </c>
      <c r="CB163" s="20">
        <f t="shared" si="171"/>
        <v>548.96387316130563</v>
      </c>
      <c r="CC163" s="59">
        <f t="shared" si="119"/>
        <v>842.29720649463889</v>
      </c>
      <c r="CD163" s="59">
        <f ca="1">AVERAGE(OFFSET($CC$3,0,0,'Données projet'!$E$12+1,1))-AVERAGE(OFFSET($H$3,0,0,'Données projet'!$E$12+1,1))</f>
        <v>279.49721661620544</v>
      </c>
      <c r="CE163" s="59">
        <f t="shared" si="148"/>
        <v>275.18739333988754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10.903946289164805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10.903946289164805</v>
      </c>
      <c r="CO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789</v>
      </c>
      <c r="CU163" s="17">
        <f>CT163*VLOOKUP('Données projet'!$B$13,Paramètres!$A$1:$I$89,3,0)*VLOOKUP('Données projet'!$B$13,Paramètres!$A$1:$I$89,5,0)</f>
        <v>389.76600000000002</v>
      </c>
      <c r="CV163" s="13">
        <f t="shared" si="173"/>
        <v>89.698759503620408</v>
      </c>
      <c r="CW163" s="20">
        <f t="shared" si="174"/>
        <v>835.06778946880547</v>
      </c>
      <c r="CX163" s="59">
        <f t="shared" si="122"/>
        <v>1128.4011228021388</v>
      </c>
      <c r="CY163" s="59">
        <f ca="1">AVERAGE(OFFSET($CX$3,0,0,'Données projet'!$E$13+1,1))-AVERAGE(OFFSET($H$3,0,0,'Données projet'!$E$13+1,1))</f>
        <v>396.27049617044378</v>
      </c>
      <c r="CZ163" s="59">
        <f t="shared" si="150"/>
        <v>335.2680289568774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29.558443348823563</v>
      </c>
      <c r="DG163" s="21">
        <f>EXP(-LN(2)/25)*DG162+(1-EXP(-LN(2)/25))/(LN(2)/25)*Calculateur!DB163*Calculateur!DD163*VLOOKUP('Données projet'!$B$13,Paramètres!$A$1:$I$89,3,0)*0.475*44/12</f>
        <v>1.2788398223149093</v>
      </c>
      <c r="DH163" s="21">
        <f>EXP(-LN(2)/2)*DH162+(1-EXP(-LN(2)/2))/(LN(2)/2)*DB163*DE163*VLOOKUP('Données projet'!$B$13,Paramètres!$A$1:$I$89,3,0)*0.475*44/12</f>
        <v>1.0422825635540414E-20</v>
      </c>
      <c r="DI163" s="22">
        <f t="shared" si="175"/>
        <v>30.837283171138473</v>
      </c>
      <c r="DJ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541.99999999999989</v>
      </c>
      <c r="DP163" s="17">
        <f>DO163*VLOOKUP('Données projet'!$B$14,Paramètres!$A$1:$I$89,3,0)*VLOOKUP('Données projet'!$B$14,Paramètres!$A$1:$I$89,5,0)</f>
        <v>310.02399999999994</v>
      </c>
      <c r="DQ163" s="13">
        <f t="shared" si="176"/>
        <v>73.27384230442388</v>
      </c>
      <c r="DR163" s="20">
        <f t="shared" si="177"/>
        <v>667.57707534687154</v>
      </c>
      <c r="DS163" s="59">
        <f t="shared" si="125"/>
        <v>960.91040868020491</v>
      </c>
      <c r="DT163" s="59">
        <f ca="1">AVERAGE(OFFSET($DS$3,0,0,'Données projet'!$E$14+1,1))-AVERAGE(OFFSET($H$3,0,0,'Données projet'!$E$14+1,1))</f>
        <v>307.43900954374504</v>
      </c>
      <c r="DU163" s="59">
        <f t="shared" si="152"/>
        <v>185.25270859048999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23.503218503109878</v>
      </c>
      <c r="EB163" s="21">
        <f>EXP(-LN(2)/25)*EB162+(1-EXP(-LN(2)/25))/(LN(2)/25)*Calculateur!DW163*Calculateur!DY163*VLOOKUP('Données projet'!$B$14,Paramètres!$A$1:$I$89,3,0)*0.475*44/12</f>
        <v>0.72691947794742184</v>
      </c>
      <c r="EC163" s="21">
        <f>EXP(-LN(2)/2)*EC162+(1-EXP(-LN(2)/2))/(LN(2)/2)*DW163*DZ163*VLOOKUP('Données projet'!$B$14,Paramètres!$A$1:$I$89,3,0)*0.475*44/12</f>
        <v>9.8742558652488085E-21</v>
      </c>
      <c r="ED163" s="22">
        <f t="shared" si="178"/>
        <v>24.2301379810573</v>
      </c>
      <c r="EE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401</v>
      </c>
      <c r="EK163" s="17">
        <f>EJ163*VLOOKUP('Données projet'!$B$15,Paramètres!$A$1:$I$89,3,0)*VLOOKUP('Données projet'!$B$15,Paramètres!$A$1:$I$89,5,0)</f>
        <v>250.22399999999999</v>
      </c>
      <c r="EL163" s="13">
        <f t="shared" si="179"/>
        <v>60.633904580527918</v>
      </c>
      <c r="EM163" s="20">
        <f t="shared" si="180"/>
        <v>541.41085047775289</v>
      </c>
      <c r="EN163" s="59">
        <f t="shared" si="128"/>
        <v>834.74418381108626</v>
      </c>
      <c r="EO163" s="59">
        <f ca="1">AVERAGE(OFFSET($EN$3,0,0,'Données projet'!$E$15+1,1))-AVERAGE(OFFSET($H$3,0,0,'Données projet'!$E$15+1,1))</f>
        <v>269.77739619445515</v>
      </c>
      <c r="EP163" s="59">
        <f t="shared" si="154"/>
        <v>347.56964743629885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10.568669403660662</v>
      </c>
      <c r="EW163" s="21">
        <f>EXP(-LN(2)/25)*EW162+(1-EXP(-LN(2)/25))/(LN(2)/25)*Calculateur!ER163*Calculateur!ET163*VLOOKUP('Données projet'!$B$15,Paramètres!$A$1:$I$89,3,0)*0.475*44/12</f>
        <v>2.4958192778113295</v>
      </c>
      <c r="EX163" s="21">
        <f>EXP(-LN(2)/2)*EX162+(1-EXP(-LN(2)/2))/(LN(2)/2)*ER163*EU163*VLOOKUP('Données projet'!$B$15,Paramètres!$A$1:$I$89,3,0)*0.475*44/12</f>
        <v>6.7324471808514613E-22</v>
      </c>
      <c r="EY163" s="22">
        <f t="shared" si="181"/>
        <v>13.064488681471992</v>
      </c>
      <c r="EZ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367.99999999999972</v>
      </c>
      <c r="FF163" s="17">
        <f>FE163*VLOOKUP('Données projet'!$B$16,Paramètres!$A$1:$I$89,3,0)*VLOOKUP('Données projet'!$B$16,Paramètres!$A$1:$I$89,5,0)</f>
        <v>292.78079999999977</v>
      </c>
      <c r="FG163" s="13">
        <f t="shared" si="182"/>
        <v>69.660903052386217</v>
      </c>
      <c r="FH163" s="20">
        <f t="shared" si="183"/>
        <v>631.25263281623893</v>
      </c>
      <c r="FI163" s="59">
        <f t="shared" si="131"/>
        <v>924.58596614957219</v>
      </c>
      <c r="FJ163" s="59">
        <f ca="1">AVERAGE(OFFSET($FI$3,0,0,'Données projet'!$E$16+1,1))-AVERAGE(OFFSET($H$3,0,0,'Données projet'!$E$16+1,1))</f>
        <v>331.52724290297675</v>
      </c>
      <c r="FK163" s="59">
        <f t="shared" si="156"/>
        <v>322.79102610158054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12.639868498658817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12.639868498658817</v>
      </c>
      <c r="FU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852.00000000000011</v>
      </c>
      <c r="GA163" s="17">
        <f>FZ163*VLOOKUP('Données projet'!$B$17,Paramètres!$A$1:$I$89,3,0)*VLOOKUP('Données projet'!$B$17,Paramètres!$A$1:$I$89,5,0)</f>
        <v>420.88800000000009</v>
      </c>
      <c r="GB163" s="13">
        <f t="shared" si="185"/>
        <v>95.998759891259041</v>
      </c>
      <c r="GC163" s="20">
        <f t="shared" si="186"/>
        <v>900.24444014394294</v>
      </c>
      <c r="GD163" s="59">
        <f t="shared" si="134"/>
        <v>1193.5777734772762</v>
      </c>
      <c r="GE163" s="59">
        <f ca="1">AVERAGE(OFFSET($GD$3,0,0,'Données projet'!$E$17+1,1))-AVERAGE(OFFSET($H$3,0,0,'Données projet'!$E$17+1,1))</f>
        <v>434.08297999735811</v>
      </c>
      <c r="GF163" s="59">
        <f t="shared" si="158"/>
        <v>371.04090283546122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32.611627663923763</v>
      </c>
      <c r="GM163" s="21">
        <f>EXP(-LN(2)/25)*GM162+(1-EXP(-LN(2)/25))/(LN(2)/25)*Calculateur!GH163*Calculateur!GJ163*VLOOKUP('Données projet'!$B$17,Paramètres!$A$1:$I$89,3,0)*0.475*44/12</f>
        <v>1.406723804546401</v>
      </c>
      <c r="GN163" s="21">
        <f>EXP(-LN(2)/2)*GN162+(1-EXP(-LN(2)/2))/(LN(2)/2)*GH163*GK163*VLOOKUP('Données projet'!$B$17,Paramètres!$A$1:$I$89,3,0)*0.475*44/12</f>
        <v>2.0371886469465343E-20</v>
      </c>
      <c r="GO163" s="21">
        <f t="shared" si="187"/>
        <v>34.018351468470165</v>
      </c>
      <c r="GP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614.99999999999989</v>
      </c>
      <c r="GV163" s="17">
        <f>GU163*VLOOKUP('Données projet'!$B$18,Paramètres!$A$1:$I$89,3,0)*VLOOKUP('Données projet'!$B$18,Paramètres!$A$1:$I$89,5,0)</f>
        <v>351.78</v>
      </c>
      <c r="GW163" s="13">
        <f t="shared" si="188"/>
        <v>81.92892344316067</v>
      </c>
      <c r="GX163" s="20">
        <f t="shared" si="189"/>
        <v>755.37637499683808</v>
      </c>
      <c r="GY163" s="59">
        <f t="shared" si="137"/>
        <v>1048.7097083301715</v>
      </c>
      <c r="GZ163" s="59">
        <f ca="1">AVERAGE(OFFSET($GY$3,0,0,'Données projet'!$E$18+1,1))-AVERAGE(OFFSET($H$3,0,0,'Données projet'!$E$18+1,1))</f>
        <v>362.57172983134313</v>
      </c>
      <c r="HA163" s="59">
        <f t="shared" si="160"/>
        <v>232.03250917542471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26.504460133885303</v>
      </c>
      <c r="HH163" s="21">
        <f>EXP(-LN(2)/25)*HH162+(1-EXP(-LN(2)/25))/(LN(2)/25)*Calculateur!HC163*Calculateur!HE163*VLOOKUP('Données projet'!$B$18,Paramètres!$A$1:$I$89,3,0)*0.475*44/12</f>
        <v>0.84807272427199332</v>
      </c>
      <c r="HI163" s="21">
        <f>EXP(-LN(2)/2)*HI162+(1-EXP(-LN(2)/2))/(LN(2)/2)*HC163*HF163*VLOOKUP('Données projet'!$B$18,Paramètres!$A$1:$I$89,3,0)*0.475*44/12</f>
        <v>2.0297081500789212E-20</v>
      </c>
      <c r="HJ163" s="22">
        <f t="shared" si="190"/>
        <v>27.352532858157296</v>
      </c>
    </row>
    <row r="164" spans="1:218" x14ac:dyDescent="0.3">
      <c r="A164" s="10">
        <f t="shared" si="161"/>
        <v>161</v>
      </c>
      <c r="B164" s="71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5">
        <f t="shared" si="110"/>
        <v>465.67354271681944</v>
      </c>
      <c r="I164" s="6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266.99999999999983</v>
      </c>
      <c r="O164" s="13">
        <f>N164*VLOOKUP('Données projet'!$B$9,Paramètres!$A$1:$I$89,3,0)*VLOOKUP('Données projet'!$B$9,Paramètres!$A$1:$I$89,5,0)</f>
        <v>212.42519999999985</v>
      </c>
      <c r="P164" s="13">
        <f t="shared" si="141"/>
        <v>52.465198231787184</v>
      </c>
      <c r="Q164" s="20">
        <f t="shared" si="162"/>
        <v>461.35077692036231</v>
      </c>
      <c r="R164" s="59">
        <f t="shared" si="109"/>
        <v>754.68411025369562</v>
      </c>
      <c r="S164" s="59">
        <f ca="1">AVERAGE(OFFSET($R$3,0,0,'Données projet'!$E$9+1,1))-AVERAGE(OFFSET($H$3,0,0,'Données projet'!$E$9+1,1))</f>
        <v>225.2323446080772</v>
      </c>
      <c r="T164" s="59">
        <f t="shared" si="142"/>
        <v>222.29030402759292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8.7234438522188231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8.7234438522188231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732.99999999999966</v>
      </c>
      <c r="AJ164" s="13">
        <f>AI164*VLOOKUP('Données projet'!$B$10,Paramètres!$A$1:$I$89,3,0)*VLOOKUP('Données projet'!$B$10,Paramètres!$A$1:$I$89,5,0)</f>
        <v>362.1019999999998</v>
      </c>
      <c r="AK164" s="13">
        <f t="shared" si="164"/>
        <v>84.049487364732272</v>
      </c>
      <c r="AL164" s="20">
        <f t="shared" si="165"/>
        <v>777.04717382690842</v>
      </c>
      <c r="AM164" s="59">
        <f t="shared" si="113"/>
        <v>1070.3805071602417</v>
      </c>
      <c r="AN164" s="59">
        <f ca="1">AVERAGE(OFFSET($AM$3,0,0,'Données projet'!$E$10+1,1))-AVERAGE(OFFSET($H$3,0,0,'Données projet'!$E$10+1,1))</f>
        <v>360.05819346986135</v>
      </c>
      <c r="AO164" s="59">
        <f t="shared" si="144"/>
        <v>300.47468388351081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26.123611784789663</v>
      </c>
      <c r="AV164" s="21">
        <f>EXP(-LN(2)/25)*AV163+(1-EXP(-LN(2)/25))/(LN(2)/25)*Calculateur!AQ164*Calculateur!AS164*VLOOKUP('Données projet'!$B$10,Paramètres!$A$1:$I$89,3,0)*0.475*44/12</f>
        <v>1.1194828921101989</v>
      </c>
      <c r="AW164" s="21">
        <f>EXP(-LN(2)/2)*AW163+(1-EXP(-LN(2)/2))/(LN(2)/2)*AQ164*AT164*VLOOKUP('Données projet'!$B$10,Paramètres!$A$1:$I$89,3,0)*0.475*44/12</f>
        <v>1.0050069117294011E-21</v>
      </c>
      <c r="AX164" s="21">
        <f t="shared" si="166"/>
        <v>27.243094676899862</v>
      </c>
      <c r="AY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465.00000000000006</v>
      </c>
      <c r="BE164" s="13">
        <f>BD164*VLOOKUP('Données projet'!$B$11,Paramètres!$A$1:$I$89,3,0)*VLOOKUP('Données projet'!$B$11,Paramètres!$A$1:$I$89,5,0)</f>
        <v>265.98</v>
      </c>
      <c r="BF164" s="13">
        <f t="shared" si="167"/>
        <v>63.995380422211589</v>
      </c>
      <c r="BG164" s="20">
        <f t="shared" si="168"/>
        <v>574.70712090201857</v>
      </c>
      <c r="BH164" s="59">
        <f t="shared" si="116"/>
        <v>868.04045423535194</v>
      </c>
      <c r="BI164" s="59">
        <f ca="1">AVERAGE(OFFSET($BH$3,0,0,'Données projet'!$E$11+1,1))-AVERAGE(OFFSET($H$3,0,0,'Données projet'!$E$11+1,1))</f>
        <v>250.90038883668348</v>
      </c>
      <c r="BJ164" s="59">
        <f t="shared" si="146"/>
        <v>141.96132114475608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20.007680083697483</v>
      </c>
      <c r="BQ164" s="21">
        <f>EXP(-LN(2)/25)*BQ163+(1-EXP(-LN(2)/25))/(LN(2)/25)*Calculateur!BL164*Calculateur!BN164*VLOOKUP('Données projet'!$B$11,Paramètres!$A$1:$I$89,3,0)*0.475*44/12</f>
        <v>0.31498828939701173</v>
      </c>
      <c r="BR164" s="21">
        <f>EXP(-LN(2)/2)*BR163+(1-EXP(-LN(2)/2))/(LN(2)/2)*BL164*BO164*VLOOKUP('Données projet'!$B$11,Paramètres!$A$1:$I$89,3,0)*0.475*44/12</f>
        <v>7.2411209678491561E-20</v>
      </c>
      <c r="BS164" s="22">
        <f t="shared" si="169"/>
        <v>20.322668373094494</v>
      </c>
      <c r="BT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319</v>
      </c>
      <c r="BZ164" s="13">
        <f>BY164*VLOOKUP('Données projet'!$B$12,Paramètres!$A$1:$I$89,3,0)*VLOOKUP('Données projet'!$B$12,Paramètres!$A$1:$I$89,5,0)</f>
        <v>253.79640000000001</v>
      </c>
      <c r="CA164" s="13">
        <f t="shared" si="170"/>
        <v>61.39816832228076</v>
      </c>
      <c r="CB164" s="20">
        <f t="shared" si="171"/>
        <v>548.96387316130563</v>
      </c>
      <c r="CC164" s="59">
        <f t="shared" si="119"/>
        <v>842.29720649463889</v>
      </c>
      <c r="CD164" s="59">
        <f ca="1">AVERAGE(OFFSET($CC$3,0,0,'Données projet'!$E$12+1,1))-AVERAGE(OFFSET($H$3,0,0,'Données projet'!$E$12+1,1))</f>
        <v>279.49721661620544</v>
      </c>
      <c r="CE164" s="59">
        <f t="shared" si="148"/>
        <v>275.18739333988754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10.690126553184813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10.690126553184813</v>
      </c>
      <c r="CO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789</v>
      </c>
      <c r="CU164" s="17">
        <f>CT164*VLOOKUP('Données projet'!$B$13,Paramètres!$A$1:$I$89,3,0)*VLOOKUP('Données projet'!$B$13,Paramètres!$A$1:$I$89,5,0)</f>
        <v>389.76600000000002</v>
      </c>
      <c r="CV164" s="13">
        <f t="shared" si="173"/>
        <v>89.698759503620408</v>
      </c>
      <c r="CW164" s="20">
        <f t="shared" si="174"/>
        <v>835.06778946880547</v>
      </c>
      <c r="CX164" s="59">
        <f t="shared" si="122"/>
        <v>1128.4011228021388</v>
      </c>
      <c r="CY164" s="59">
        <f ca="1">AVERAGE(OFFSET($CX$3,0,0,'Données projet'!$E$13+1,1))-AVERAGE(OFFSET($H$3,0,0,'Données projet'!$E$13+1,1))</f>
        <v>396.27049617044378</v>
      </c>
      <c r="CZ164" s="59">
        <f t="shared" si="150"/>
        <v>335.2680289568774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28.978820303623372</v>
      </c>
      <c r="DG164" s="21">
        <f>EXP(-LN(2)/25)*DG163+(1-EXP(-LN(2)/25))/(LN(2)/25)*Calculateur!DB164*Calculateur!DD164*VLOOKUP('Données projet'!$B$13,Paramètres!$A$1:$I$89,3,0)*0.475*44/12</f>
        <v>1.2438698801224448</v>
      </c>
      <c r="DH164" s="21">
        <f>EXP(-LN(2)/2)*DH163+(1-EXP(-LN(2)/2))/(LN(2)/2)*DB164*DE164*VLOOKUP('Données projet'!$B$13,Paramètres!$A$1:$I$89,3,0)*0.475*44/12</f>
        <v>7.3700506860156133E-21</v>
      </c>
      <c r="DI164" s="22">
        <f t="shared" si="175"/>
        <v>30.222690183745819</v>
      </c>
      <c r="DJ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541.99999999999989</v>
      </c>
      <c r="DP164" s="17">
        <f>DO164*VLOOKUP('Données projet'!$B$14,Paramètres!$A$1:$I$89,3,0)*VLOOKUP('Données projet'!$B$14,Paramètres!$A$1:$I$89,5,0)</f>
        <v>310.02399999999994</v>
      </c>
      <c r="DQ164" s="13">
        <f t="shared" si="176"/>
        <v>73.27384230442388</v>
      </c>
      <c r="DR164" s="20">
        <f t="shared" si="177"/>
        <v>667.57707534687154</v>
      </c>
      <c r="DS164" s="59">
        <f t="shared" si="125"/>
        <v>960.91040868020491</v>
      </c>
      <c r="DT164" s="59">
        <f ca="1">AVERAGE(OFFSET($DS$3,0,0,'Données projet'!$E$14+1,1))-AVERAGE(OFFSET($H$3,0,0,'Données projet'!$E$14+1,1))</f>
        <v>307.43900954374504</v>
      </c>
      <c r="DU164" s="59">
        <f t="shared" si="152"/>
        <v>185.25270859048999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23.042334723811663</v>
      </c>
      <c r="EB164" s="21">
        <f>EXP(-LN(2)/25)*EB163+(1-EXP(-LN(2)/25))/(LN(2)/25)*Calculateur!DW164*Calculateur!DY164*VLOOKUP('Données projet'!$B$14,Paramètres!$A$1:$I$89,3,0)*0.475*44/12</f>
        <v>0.70704182659591563</v>
      </c>
      <c r="EC164" s="21">
        <f>EXP(-LN(2)/2)*EC163+(1-EXP(-LN(2)/2))/(LN(2)/2)*DW164*DZ164*VLOOKUP('Données projet'!$B$14,Paramètres!$A$1:$I$89,3,0)*0.475*44/12</f>
        <v>6.9821532814884726E-21</v>
      </c>
      <c r="ED164" s="22">
        <f t="shared" si="178"/>
        <v>23.749376550407579</v>
      </c>
      <c r="EE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401</v>
      </c>
      <c r="EK164" s="17">
        <f>EJ164*VLOOKUP('Données projet'!$B$15,Paramètres!$A$1:$I$89,3,0)*VLOOKUP('Données projet'!$B$15,Paramètres!$A$1:$I$89,5,0)</f>
        <v>250.22399999999999</v>
      </c>
      <c r="EL164" s="13">
        <f t="shared" si="179"/>
        <v>60.633904580527918</v>
      </c>
      <c r="EM164" s="20">
        <f t="shared" si="180"/>
        <v>541.41085047775289</v>
      </c>
      <c r="EN164" s="59">
        <f t="shared" si="128"/>
        <v>834.74418381108626</v>
      </c>
      <c r="EO164" s="59">
        <f ca="1">AVERAGE(OFFSET($EN$3,0,0,'Données projet'!$E$15+1,1))-AVERAGE(OFFSET($H$3,0,0,'Données projet'!$E$15+1,1))</f>
        <v>269.77739619445515</v>
      </c>
      <c r="EP164" s="59">
        <f t="shared" si="154"/>
        <v>347.56964743629885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10.361424242906699</v>
      </c>
      <c r="EW164" s="21">
        <f>EXP(-LN(2)/25)*EW163+(1-EXP(-LN(2)/25))/(LN(2)/25)*Calculateur!ER164*Calculateur!ET164*VLOOKUP('Données projet'!$B$15,Paramètres!$A$1:$I$89,3,0)*0.475*44/12</f>
        <v>2.427570968410147</v>
      </c>
      <c r="EX164" s="21">
        <f>EXP(-LN(2)/2)*EX163+(1-EXP(-LN(2)/2))/(LN(2)/2)*ER164*EU164*VLOOKUP('Données projet'!$B$15,Paramètres!$A$1:$I$89,3,0)*0.475*44/12</f>
        <v>4.7605590555603229E-22</v>
      </c>
      <c r="EY164" s="22">
        <f t="shared" si="181"/>
        <v>12.788995211316845</v>
      </c>
      <c r="EZ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367.99999999999972</v>
      </c>
      <c r="FF164" s="17">
        <f>FE164*VLOOKUP('Données projet'!$B$16,Paramètres!$A$1:$I$89,3,0)*VLOOKUP('Données projet'!$B$16,Paramètres!$A$1:$I$89,5,0)</f>
        <v>292.78079999999977</v>
      </c>
      <c r="FG164" s="13">
        <f t="shared" si="182"/>
        <v>69.660903052386217</v>
      </c>
      <c r="FH164" s="20">
        <f t="shared" si="183"/>
        <v>631.25263281623893</v>
      </c>
      <c r="FI164" s="59">
        <f t="shared" si="131"/>
        <v>924.58596614957219</v>
      </c>
      <c r="FJ164" s="59">
        <f ca="1">AVERAGE(OFFSET($FI$3,0,0,'Données projet'!$E$16+1,1))-AVERAGE(OFFSET($H$3,0,0,'Données projet'!$E$16+1,1))</f>
        <v>331.52724290297675</v>
      </c>
      <c r="FK164" s="59">
        <f t="shared" si="156"/>
        <v>322.79102610158054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12.392008386958647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12.392008386958647</v>
      </c>
      <c r="FU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852.00000000000011</v>
      </c>
      <c r="GA164" s="17">
        <f>FZ164*VLOOKUP('Données projet'!$B$17,Paramètres!$A$1:$I$89,3,0)*VLOOKUP('Données projet'!$B$17,Paramètres!$A$1:$I$89,5,0)</f>
        <v>420.88800000000009</v>
      </c>
      <c r="GB164" s="13">
        <f t="shared" si="185"/>
        <v>95.998759891259041</v>
      </c>
      <c r="GC164" s="20">
        <f t="shared" si="186"/>
        <v>900.24444014394294</v>
      </c>
      <c r="GD164" s="59">
        <f t="shared" si="134"/>
        <v>1193.5777734772762</v>
      </c>
      <c r="GE164" s="59">
        <f ca="1">AVERAGE(OFFSET($GD$3,0,0,'Données projet'!$E$17+1,1))-AVERAGE(OFFSET($H$3,0,0,'Données projet'!$E$17+1,1))</f>
        <v>434.08297999735811</v>
      </c>
      <c r="GF164" s="59">
        <f t="shared" si="158"/>
        <v>371.04090283546122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31.972133536563007</v>
      </c>
      <c r="GM164" s="21">
        <f>EXP(-LN(2)/25)*GM163+(1-EXP(-LN(2)/25))/(LN(2)/25)*Calculateur!GH164*Calculateur!GJ164*VLOOKUP('Données projet'!$B$17,Paramètres!$A$1:$I$89,3,0)*0.475*44/12</f>
        <v>1.3682568681346898</v>
      </c>
      <c r="GN164" s="21">
        <f>EXP(-LN(2)/2)*GN163+(1-EXP(-LN(2)/2))/(LN(2)/2)*GH164*GK164*VLOOKUP('Données projet'!$B$17,Paramètres!$A$1:$I$89,3,0)*0.475*44/12</f>
        <v>1.4405099068121418E-20</v>
      </c>
      <c r="GO164" s="21">
        <f t="shared" si="187"/>
        <v>33.340390404697693</v>
      </c>
      <c r="GP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614.99999999999989</v>
      </c>
      <c r="GV164" s="17">
        <f>GU164*VLOOKUP('Données projet'!$B$18,Paramètres!$A$1:$I$89,3,0)*VLOOKUP('Données projet'!$B$18,Paramètres!$A$1:$I$89,5,0)</f>
        <v>351.78</v>
      </c>
      <c r="GW164" s="13">
        <f t="shared" si="188"/>
        <v>81.92892344316067</v>
      </c>
      <c r="GX164" s="20">
        <f t="shared" si="189"/>
        <v>755.37637499683808</v>
      </c>
      <c r="GY164" s="59">
        <f t="shared" si="137"/>
        <v>1048.7097083301715</v>
      </c>
      <c r="GZ164" s="59">
        <f ca="1">AVERAGE(OFFSET($GY$3,0,0,'Données projet'!$E$18+1,1))-AVERAGE(OFFSET($H$3,0,0,'Données projet'!$E$18+1,1))</f>
        <v>362.57172983134313</v>
      </c>
      <c r="HA164" s="59">
        <f t="shared" si="160"/>
        <v>232.03250917542471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25.984723836784223</v>
      </c>
      <c r="HH164" s="21">
        <f>EXP(-LN(2)/25)*HH163+(1-EXP(-LN(2)/25))/(LN(2)/25)*Calculateur!HC164*Calculateur!HE164*VLOOKUP('Données projet'!$B$18,Paramètres!$A$1:$I$89,3,0)*0.475*44/12</f>
        <v>0.82488213102856933</v>
      </c>
      <c r="HI164" s="21">
        <f>EXP(-LN(2)/2)*HI163+(1-EXP(-LN(2)/2))/(LN(2)/2)*HC164*HF164*VLOOKUP('Données projet'!$B$18,Paramètres!$A$1:$I$89,3,0)*0.475*44/12</f>
        <v>1.4352203967504078E-20</v>
      </c>
      <c r="HJ164" s="22">
        <f t="shared" si="190"/>
        <v>26.809605967812793</v>
      </c>
    </row>
    <row r="165" spans="1:218" x14ac:dyDescent="0.3">
      <c r="A165" s="10">
        <f t="shared" si="161"/>
        <v>162</v>
      </c>
      <c r="B165" s="71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5">
        <f t="shared" si="110"/>
        <v>466.71681901544298</v>
      </c>
      <c r="I165" s="6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266.99999999999983</v>
      </c>
      <c r="O165" s="13">
        <f>N165*VLOOKUP('Données projet'!$B$9,Paramètres!$A$1:$I$89,3,0)*VLOOKUP('Données projet'!$B$9,Paramètres!$A$1:$I$89,5,0)</f>
        <v>212.42519999999985</v>
      </c>
      <c r="P165" s="13">
        <f t="shared" si="141"/>
        <v>52.465198231787184</v>
      </c>
      <c r="Q165" s="20">
        <f t="shared" si="162"/>
        <v>461.35077692036231</v>
      </c>
      <c r="R165" s="59">
        <f t="shared" si="109"/>
        <v>754.68411025369562</v>
      </c>
      <c r="S165" s="59">
        <f ca="1">AVERAGE(OFFSET($R$3,0,0,'Données projet'!$E$9+1,1))-AVERAGE(OFFSET($H$3,0,0,'Données projet'!$E$9+1,1))</f>
        <v>225.2323446080772</v>
      </c>
      <c r="T165" s="59">
        <f t="shared" si="142"/>
        <v>222.29030402759292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8.5523824390521792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8.5523824390521792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732.99999999999966</v>
      </c>
      <c r="AJ165" s="13">
        <f>AI165*VLOOKUP('Données projet'!$B$10,Paramètres!$A$1:$I$89,3,0)*VLOOKUP('Données projet'!$B$10,Paramètres!$A$1:$I$89,5,0)</f>
        <v>362.1019999999998</v>
      </c>
      <c r="AK165" s="13">
        <f t="shared" si="164"/>
        <v>84.049487364732272</v>
      </c>
      <c r="AL165" s="20">
        <f t="shared" si="165"/>
        <v>777.04717382690842</v>
      </c>
      <c r="AM165" s="59">
        <f t="shared" si="113"/>
        <v>1070.3805071602417</v>
      </c>
      <c r="AN165" s="59">
        <f ca="1">AVERAGE(OFFSET($AM$3,0,0,'Données projet'!$E$10+1,1))-AVERAGE(OFFSET($H$3,0,0,'Données projet'!$E$10+1,1))</f>
        <v>360.05819346986135</v>
      </c>
      <c r="AO165" s="59">
        <f t="shared" si="144"/>
        <v>300.47468388351081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25.611343691519792</v>
      </c>
      <c r="AV165" s="21">
        <f>EXP(-LN(2)/25)*AV164+(1-EXP(-LN(2)/25))/(LN(2)/25)*Calculateur!AQ165*Calculateur!AS165*VLOOKUP('Données projet'!$B$10,Paramètres!$A$1:$I$89,3,0)*0.475*44/12</f>
        <v>1.0888705735543989</v>
      </c>
      <c r="AW165" s="21">
        <f>EXP(-LN(2)/2)*AW164+(1-EXP(-LN(2)/2))/(LN(2)/2)*AQ165*AT165*VLOOKUP('Données projet'!$B$10,Paramètres!$A$1:$I$89,3,0)*0.475*44/12</f>
        <v>7.1064720242320956E-22</v>
      </c>
      <c r="AX165" s="21">
        <f t="shared" si="166"/>
        <v>26.700214265074191</v>
      </c>
      <c r="AY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465.00000000000006</v>
      </c>
      <c r="BE165" s="13">
        <f>BD165*VLOOKUP('Données projet'!$B$11,Paramètres!$A$1:$I$89,3,0)*VLOOKUP('Données projet'!$B$11,Paramètres!$A$1:$I$89,5,0)</f>
        <v>265.98</v>
      </c>
      <c r="BF165" s="13">
        <f t="shared" si="167"/>
        <v>63.995380422211589</v>
      </c>
      <c r="BG165" s="20">
        <f t="shared" si="168"/>
        <v>574.70712090201857</v>
      </c>
      <c r="BH165" s="59">
        <f t="shared" si="116"/>
        <v>868.04045423535194</v>
      </c>
      <c r="BI165" s="59">
        <f ca="1">AVERAGE(OFFSET($BH$3,0,0,'Données projet'!$E$11+1,1))-AVERAGE(OFFSET($H$3,0,0,'Données projet'!$E$11+1,1))</f>
        <v>250.90038883668348</v>
      </c>
      <c r="BJ165" s="59">
        <f t="shared" si="146"/>
        <v>141.96132114475608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19.615341680736034</v>
      </c>
      <c r="BQ165" s="21">
        <f>EXP(-LN(2)/25)*BQ164+(1-EXP(-LN(2)/25))/(LN(2)/25)*Calculateur!BL165*Calculateur!BN165*VLOOKUP('Données projet'!$B$11,Paramètres!$A$1:$I$89,3,0)*0.475*44/12</f>
        <v>0.30637491805893624</v>
      </c>
      <c r="BR165" s="21">
        <f>EXP(-LN(2)/2)*BR164+(1-EXP(-LN(2)/2))/(LN(2)/2)*BL165*BO165*VLOOKUP('Données projet'!$B$11,Paramètres!$A$1:$I$89,3,0)*0.475*44/12</f>
        <v>5.1202457397582345E-20</v>
      </c>
      <c r="BS165" s="22">
        <f t="shared" si="169"/>
        <v>19.921716598794969</v>
      </c>
      <c r="BT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319</v>
      </c>
      <c r="BZ165" s="13">
        <f>BY165*VLOOKUP('Données projet'!$B$12,Paramètres!$A$1:$I$89,3,0)*VLOOKUP('Données projet'!$B$12,Paramètres!$A$1:$I$89,5,0)</f>
        <v>253.79640000000001</v>
      </c>
      <c r="CA165" s="13">
        <f t="shared" si="170"/>
        <v>61.39816832228076</v>
      </c>
      <c r="CB165" s="20">
        <f t="shared" si="171"/>
        <v>548.96387316130563</v>
      </c>
      <c r="CC165" s="59">
        <f t="shared" si="119"/>
        <v>842.29720649463889</v>
      </c>
      <c r="CD165" s="59">
        <f ca="1">AVERAGE(OFFSET($CC$3,0,0,'Données projet'!$E$12+1,1))-AVERAGE(OFFSET($H$3,0,0,'Données projet'!$E$12+1,1))</f>
        <v>279.49721661620544</v>
      </c>
      <c r="CE165" s="59">
        <f t="shared" si="148"/>
        <v>275.18739333988754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10.480499691810227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10.480499691810227</v>
      </c>
      <c r="CO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789</v>
      </c>
      <c r="CU165" s="17">
        <f>CT165*VLOOKUP('Données projet'!$B$13,Paramètres!$A$1:$I$89,3,0)*VLOOKUP('Données projet'!$B$13,Paramètres!$A$1:$I$89,5,0)</f>
        <v>389.76600000000002</v>
      </c>
      <c r="CV165" s="13">
        <f t="shared" si="173"/>
        <v>89.698759503620408</v>
      </c>
      <c r="CW165" s="20">
        <f t="shared" si="174"/>
        <v>835.06778946880547</v>
      </c>
      <c r="CX165" s="59">
        <f t="shared" si="122"/>
        <v>1128.4011228021388</v>
      </c>
      <c r="CY165" s="59">
        <f ca="1">AVERAGE(OFFSET($CX$3,0,0,'Données projet'!$E$13+1,1))-AVERAGE(OFFSET($H$3,0,0,'Données projet'!$E$13+1,1))</f>
        <v>396.27049617044378</v>
      </c>
      <c r="CZ165" s="59">
        <f t="shared" si="150"/>
        <v>335.2680289568774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28.41056331280441</v>
      </c>
      <c r="DG165" s="21">
        <f>EXP(-LN(2)/25)*DG164+(1-EXP(-LN(2)/25))/(LN(2)/25)*Calculateur!DB165*Calculateur!DD165*VLOOKUP('Données projet'!$B$13,Paramètres!$A$1:$I$89,3,0)*0.475*44/12</f>
        <v>1.2098561928382225</v>
      </c>
      <c r="DH165" s="21">
        <f>EXP(-LN(2)/2)*DH164+(1-EXP(-LN(2)/2))/(LN(2)/2)*DB165*DE165*VLOOKUP('Données projet'!$B$13,Paramètres!$A$1:$I$89,3,0)*0.475*44/12</f>
        <v>5.2114128177702068E-21</v>
      </c>
      <c r="DI165" s="22">
        <f t="shared" si="175"/>
        <v>29.620419505642634</v>
      </c>
      <c r="DJ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541.99999999999989</v>
      </c>
      <c r="DP165" s="17">
        <f>DO165*VLOOKUP('Données projet'!$B$14,Paramètres!$A$1:$I$89,3,0)*VLOOKUP('Données projet'!$B$14,Paramètres!$A$1:$I$89,5,0)</f>
        <v>310.02399999999994</v>
      </c>
      <c r="DQ165" s="13">
        <f t="shared" si="176"/>
        <v>73.27384230442388</v>
      </c>
      <c r="DR165" s="20">
        <f t="shared" si="177"/>
        <v>667.57707534687154</v>
      </c>
      <c r="DS165" s="59">
        <f t="shared" si="125"/>
        <v>960.91040868020491</v>
      </c>
      <c r="DT165" s="59">
        <f ca="1">AVERAGE(OFFSET($DS$3,0,0,'Données projet'!$E$14+1,1))-AVERAGE(OFFSET($H$3,0,0,'Données projet'!$E$14+1,1))</f>
        <v>307.43900954374504</v>
      </c>
      <c r="DU165" s="59">
        <f t="shared" si="152"/>
        <v>185.25270859048999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22.590488594314138</v>
      </c>
      <c r="EB165" s="21">
        <f>EXP(-LN(2)/25)*EB164+(1-EXP(-LN(2)/25))/(LN(2)/25)*Calculateur!DW165*Calculateur!DY165*VLOOKUP('Données projet'!$B$14,Paramètres!$A$1:$I$89,3,0)*0.475*44/12</f>
        <v>0.6877077306659366</v>
      </c>
      <c r="EC165" s="21">
        <f>EXP(-LN(2)/2)*EC164+(1-EXP(-LN(2)/2))/(LN(2)/2)*DW165*DZ165*VLOOKUP('Données projet'!$B$14,Paramètres!$A$1:$I$89,3,0)*0.475*44/12</f>
        <v>4.9371279326244042E-21</v>
      </c>
      <c r="ED165" s="22">
        <f t="shared" si="178"/>
        <v>23.278196324980076</v>
      </c>
      <c r="EE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401</v>
      </c>
      <c r="EK165" s="17">
        <f>EJ165*VLOOKUP('Données projet'!$B$15,Paramètres!$A$1:$I$89,3,0)*VLOOKUP('Données projet'!$B$15,Paramètres!$A$1:$I$89,5,0)</f>
        <v>250.22399999999999</v>
      </c>
      <c r="EL165" s="13">
        <f t="shared" si="179"/>
        <v>60.633904580527918</v>
      </c>
      <c r="EM165" s="20">
        <f t="shared" si="180"/>
        <v>541.41085047775289</v>
      </c>
      <c r="EN165" s="59">
        <f t="shared" si="128"/>
        <v>834.74418381108626</v>
      </c>
      <c r="EO165" s="59">
        <f ca="1">AVERAGE(OFFSET($EN$3,0,0,'Données projet'!$E$15+1,1))-AVERAGE(OFFSET($H$3,0,0,'Données projet'!$E$15+1,1))</f>
        <v>269.77739619445515</v>
      </c>
      <c r="EP165" s="59">
        <f t="shared" si="154"/>
        <v>347.56964743629885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10.158243033348054</v>
      </c>
      <c r="EW165" s="21">
        <f>EXP(-LN(2)/25)*EW164+(1-EXP(-LN(2)/25))/(LN(2)/25)*Calculateur!ER165*Calculateur!ET165*VLOOKUP('Données projet'!$B$15,Paramètres!$A$1:$I$89,3,0)*0.475*44/12</f>
        <v>2.3611889126185623</v>
      </c>
      <c r="EX165" s="21">
        <f>EXP(-LN(2)/2)*EX164+(1-EXP(-LN(2)/2))/(LN(2)/2)*ER165*EU165*VLOOKUP('Données projet'!$B$15,Paramètres!$A$1:$I$89,3,0)*0.475*44/12</f>
        <v>3.3662235904257307E-22</v>
      </c>
      <c r="EY165" s="22">
        <f t="shared" si="181"/>
        <v>12.519431945966616</v>
      </c>
      <c r="EZ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367.99999999999972</v>
      </c>
      <c r="FF165" s="17">
        <f>FE165*VLOOKUP('Données projet'!$B$16,Paramètres!$A$1:$I$89,3,0)*VLOOKUP('Données projet'!$B$16,Paramètres!$A$1:$I$89,5,0)</f>
        <v>292.78079999999977</v>
      </c>
      <c r="FG165" s="13">
        <f t="shared" si="182"/>
        <v>69.660903052386217</v>
      </c>
      <c r="FH165" s="20">
        <f t="shared" si="183"/>
        <v>631.25263281623893</v>
      </c>
      <c r="FI165" s="59">
        <f t="shared" si="131"/>
        <v>924.58596614957219</v>
      </c>
      <c r="FJ165" s="59">
        <f ca="1">AVERAGE(OFFSET($FI$3,0,0,'Données projet'!$E$16+1,1))-AVERAGE(OFFSET($H$3,0,0,'Données projet'!$E$16+1,1))</f>
        <v>331.52724290297675</v>
      </c>
      <c r="FK165" s="59">
        <f t="shared" si="156"/>
        <v>322.79102610158054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12.149008660869177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12.149008660869177</v>
      </c>
      <c r="FU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852.00000000000011</v>
      </c>
      <c r="GA165" s="17">
        <f>FZ165*VLOOKUP('Données projet'!$B$17,Paramètres!$A$1:$I$89,3,0)*VLOOKUP('Données projet'!$B$17,Paramètres!$A$1:$I$89,5,0)</f>
        <v>420.88800000000009</v>
      </c>
      <c r="GB165" s="13">
        <f t="shared" si="185"/>
        <v>95.998759891259041</v>
      </c>
      <c r="GC165" s="20">
        <f t="shared" si="186"/>
        <v>900.24444014394294</v>
      </c>
      <c r="GD165" s="59">
        <f t="shared" si="134"/>
        <v>1193.5777734772762</v>
      </c>
      <c r="GE165" s="59">
        <f ca="1">AVERAGE(OFFSET($GD$3,0,0,'Données projet'!$E$17+1,1))-AVERAGE(OFFSET($H$3,0,0,'Données projet'!$E$17+1,1))</f>
        <v>434.08297999735811</v>
      </c>
      <c r="GF165" s="59">
        <f t="shared" si="158"/>
        <v>371.04090283546122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31.345179498986891</v>
      </c>
      <c r="GM165" s="21">
        <f>EXP(-LN(2)/25)*GM164+(1-EXP(-LN(2)/25))/(LN(2)/25)*Calculateur!GH165*Calculateur!GJ165*VLOOKUP('Données projet'!$B$17,Paramètres!$A$1:$I$89,3,0)*0.475*44/12</f>
        <v>1.3308418121220453</v>
      </c>
      <c r="GN165" s="21">
        <f>EXP(-LN(2)/2)*GN164+(1-EXP(-LN(2)/2))/(LN(2)/2)*GH165*GK165*VLOOKUP('Données projet'!$B$17,Paramètres!$A$1:$I$89,3,0)*0.475*44/12</f>
        <v>1.0185943234732672E-20</v>
      </c>
      <c r="GO165" s="21">
        <f t="shared" si="187"/>
        <v>32.676021311108933</v>
      </c>
      <c r="GP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614.99999999999989</v>
      </c>
      <c r="GV165" s="17">
        <f>GU165*VLOOKUP('Données projet'!$B$18,Paramètres!$A$1:$I$89,3,0)*VLOOKUP('Données projet'!$B$18,Paramètres!$A$1:$I$89,5,0)</f>
        <v>351.78</v>
      </c>
      <c r="GW165" s="13">
        <f t="shared" si="188"/>
        <v>81.92892344316067</v>
      </c>
      <c r="GX165" s="20">
        <f t="shared" si="189"/>
        <v>755.37637499683808</v>
      </c>
      <c r="GY165" s="59">
        <f t="shared" si="137"/>
        <v>1048.7097083301715</v>
      </c>
      <c r="GZ165" s="59">
        <f ca="1">AVERAGE(OFFSET($GY$3,0,0,'Données projet'!$E$18+1,1))-AVERAGE(OFFSET($H$3,0,0,'Données projet'!$E$18+1,1))</f>
        <v>362.57172983134313</v>
      </c>
      <c r="HA165" s="59">
        <f t="shared" si="160"/>
        <v>232.03250917542471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25.475179251461455</v>
      </c>
      <c r="HH165" s="21">
        <f>EXP(-LN(2)/25)*HH164+(1-EXP(-LN(2)/25))/(LN(2)/25)*Calculateur!HC165*Calculateur!HE165*VLOOKUP('Données projet'!$B$18,Paramètres!$A$1:$I$89,3,0)*0.475*44/12</f>
        <v>0.80232568577692709</v>
      </c>
      <c r="HI165" s="21">
        <f>EXP(-LN(2)/2)*HI164+(1-EXP(-LN(2)/2))/(LN(2)/2)*HC165*HF165*VLOOKUP('Données projet'!$B$18,Paramètres!$A$1:$I$89,3,0)*0.475*44/12</f>
        <v>1.0148540750394606E-20</v>
      </c>
      <c r="HJ165" s="22">
        <f t="shared" si="190"/>
        <v>26.277504937238383</v>
      </c>
    </row>
    <row r="166" spans="1:218" x14ac:dyDescent="0.3">
      <c r="A166" s="10">
        <f t="shared" si="161"/>
        <v>163</v>
      </c>
      <c r="B166" s="71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5">
        <f t="shared" si="110"/>
        <v>467.75994768567836</v>
      </c>
      <c r="I166" s="6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266.99999999999983</v>
      </c>
      <c r="O166" s="13">
        <f>N166*VLOOKUP('Données projet'!$B$9,Paramètres!$A$1:$I$89,3,0)*VLOOKUP('Données projet'!$B$9,Paramètres!$A$1:$I$89,5,0)</f>
        <v>212.42519999999985</v>
      </c>
      <c r="P166" s="13">
        <f t="shared" si="141"/>
        <v>52.465198231787184</v>
      </c>
      <c r="Q166" s="20">
        <f t="shared" si="162"/>
        <v>461.35077692036231</v>
      </c>
      <c r="R166" s="59">
        <f t="shared" si="109"/>
        <v>754.68411025369562</v>
      </c>
      <c r="S166" s="59">
        <f ca="1">AVERAGE(OFFSET($R$3,0,0,'Données projet'!$E$9+1,1))-AVERAGE(OFFSET($H$3,0,0,'Données projet'!$E$9+1,1))</f>
        <v>225.2323446080772</v>
      </c>
      <c r="T166" s="59">
        <f t="shared" si="142"/>
        <v>222.29030402759292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8.384675435860574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8.384675435860574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732.99999999999966</v>
      </c>
      <c r="AJ166" s="13">
        <f>AI166*VLOOKUP('Données projet'!$B$10,Paramètres!$A$1:$I$89,3,0)*VLOOKUP('Données projet'!$B$10,Paramètres!$A$1:$I$89,5,0)</f>
        <v>362.1019999999998</v>
      </c>
      <c r="AK166" s="13">
        <f t="shared" si="164"/>
        <v>84.049487364732272</v>
      </c>
      <c r="AL166" s="20">
        <f t="shared" si="165"/>
        <v>777.04717382690842</v>
      </c>
      <c r="AM166" s="59">
        <f t="shared" si="113"/>
        <v>1070.3805071602417</v>
      </c>
      <c r="AN166" s="59">
        <f ca="1">AVERAGE(OFFSET($AM$3,0,0,'Données projet'!$E$10+1,1))-AVERAGE(OFFSET($H$3,0,0,'Données projet'!$E$10+1,1))</f>
        <v>360.05819346986135</v>
      </c>
      <c r="AO166" s="59">
        <f t="shared" si="144"/>
        <v>300.47468388351081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25.109120863106259</v>
      </c>
      <c r="AV166" s="21">
        <f>EXP(-LN(2)/25)*AV165+(1-EXP(-LN(2)/25))/(LN(2)/25)*Calculateur!AQ166*Calculateur!AS166*VLOOKUP('Données projet'!$B$10,Paramètres!$A$1:$I$89,3,0)*0.475*44/12</f>
        <v>1.059095350459339</v>
      </c>
      <c r="AW166" s="21">
        <f>EXP(-LN(2)/2)*AW165+(1-EXP(-LN(2)/2))/(LN(2)/2)*AQ166*AT166*VLOOKUP('Données projet'!$B$10,Paramètres!$A$1:$I$89,3,0)*0.475*44/12</f>
        <v>5.0250345586470057E-22</v>
      </c>
      <c r="AX166" s="21">
        <f t="shared" si="166"/>
        <v>26.1682162135656</v>
      </c>
      <c r="AY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465.00000000000006</v>
      </c>
      <c r="BE166" s="13">
        <f>BD166*VLOOKUP('Données projet'!$B$11,Paramètres!$A$1:$I$89,3,0)*VLOOKUP('Données projet'!$B$11,Paramètres!$A$1:$I$89,5,0)</f>
        <v>265.98</v>
      </c>
      <c r="BF166" s="13">
        <f t="shared" si="167"/>
        <v>63.995380422211589</v>
      </c>
      <c r="BG166" s="20">
        <f t="shared" si="168"/>
        <v>574.70712090201857</v>
      </c>
      <c r="BH166" s="59">
        <f t="shared" si="116"/>
        <v>868.04045423535194</v>
      </c>
      <c r="BI166" s="59">
        <f ca="1">AVERAGE(OFFSET($BH$3,0,0,'Données projet'!$E$11+1,1))-AVERAGE(OFFSET($H$3,0,0,'Données projet'!$E$11+1,1))</f>
        <v>250.90038883668348</v>
      </c>
      <c r="BJ166" s="59">
        <f t="shared" si="146"/>
        <v>141.96132114475608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19.230696794553861</v>
      </c>
      <c r="BQ166" s="21">
        <f>EXP(-LN(2)/25)*BQ165+(1-EXP(-LN(2)/25))/(LN(2)/25)*Calculateur!BL166*Calculateur!BN166*VLOOKUP('Données projet'!$B$11,Paramètres!$A$1:$I$89,3,0)*0.475*44/12</f>
        <v>0.2979970798130579</v>
      </c>
      <c r="BR166" s="21">
        <f>EXP(-LN(2)/2)*BR165+(1-EXP(-LN(2)/2))/(LN(2)/2)*BL166*BO166*VLOOKUP('Données projet'!$B$11,Paramètres!$A$1:$I$89,3,0)*0.475*44/12</f>
        <v>3.620560483924578E-20</v>
      </c>
      <c r="BS166" s="22">
        <f t="shared" si="169"/>
        <v>19.528693874366919</v>
      </c>
      <c r="BT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319</v>
      </c>
      <c r="BZ166" s="13">
        <f>BY166*VLOOKUP('Données projet'!$B$12,Paramètres!$A$1:$I$89,3,0)*VLOOKUP('Données projet'!$B$12,Paramètres!$A$1:$I$89,5,0)</f>
        <v>253.79640000000001</v>
      </c>
      <c r="CA166" s="13">
        <f t="shared" si="170"/>
        <v>61.39816832228076</v>
      </c>
      <c r="CB166" s="20">
        <f t="shared" si="171"/>
        <v>548.96387316130563</v>
      </c>
      <c r="CC166" s="59">
        <f t="shared" si="119"/>
        <v>842.29720649463889</v>
      </c>
      <c r="CD166" s="59">
        <f ca="1">AVERAGE(OFFSET($CC$3,0,0,'Données projet'!$E$12+1,1))-AVERAGE(OFFSET($H$3,0,0,'Données projet'!$E$12+1,1))</f>
        <v>279.49721661620544</v>
      </c>
      <c r="CE166" s="59">
        <f t="shared" si="148"/>
        <v>275.18739333988754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10.274983485327436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10.274983485327436</v>
      </c>
      <c r="CO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789</v>
      </c>
      <c r="CU166" s="17">
        <f>CT166*VLOOKUP('Données projet'!$B$13,Paramètres!$A$1:$I$89,3,0)*VLOOKUP('Données projet'!$B$13,Paramètres!$A$1:$I$89,5,0)</f>
        <v>389.76600000000002</v>
      </c>
      <c r="CV166" s="13">
        <f t="shared" si="173"/>
        <v>89.698759503620408</v>
      </c>
      <c r="CW166" s="20">
        <f t="shared" si="174"/>
        <v>835.06778946880547</v>
      </c>
      <c r="CX166" s="59">
        <f t="shared" si="122"/>
        <v>1128.4011228021388</v>
      </c>
      <c r="CY166" s="59">
        <f ca="1">AVERAGE(OFFSET($CX$3,0,0,'Données projet'!$E$13+1,1))-AVERAGE(OFFSET($H$3,0,0,'Données projet'!$E$13+1,1))</f>
        <v>396.27049617044378</v>
      </c>
      <c r="CZ166" s="59">
        <f t="shared" si="150"/>
        <v>335.2680289568774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27.853449494972867</v>
      </c>
      <c r="DG166" s="21">
        <f>EXP(-LN(2)/25)*DG165+(1-EXP(-LN(2)/25))/(LN(2)/25)*Calculateur!DB166*Calculateur!DD166*VLOOKUP('Données projet'!$B$13,Paramètres!$A$1:$I$89,3,0)*0.475*44/12</f>
        <v>1.1767726116214894</v>
      </c>
      <c r="DH166" s="21">
        <f>EXP(-LN(2)/2)*DH165+(1-EXP(-LN(2)/2))/(LN(2)/2)*DB166*DE166*VLOOKUP('Données projet'!$B$13,Paramètres!$A$1:$I$89,3,0)*0.475*44/12</f>
        <v>3.6850253430078067E-21</v>
      </c>
      <c r="DI166" s="22">
        <f t="shared" si="175"/>
        <v>29.030222106594358</v>
      </c>
      <c r="DJ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541.99999999999989</v>
      </c>
      <c r="DP166" s="17">
        <f>DO166*VLOOKUP('Données projet'!$B$14,Paramètres!$A$1:$I$89,3,0)*VLOOKUP('Données projet'!$B$14,Paramètres!$A$1:$I$89,5,0)</f>
        <v>310.02399999999994</v>
      </c>
      <c r="DQ166" s="13">
        <f t="shared" si="176"/>
        <v>73.27384230442388</v>
      </c>
      <c r="DR166" s="20">
        <f t="shared" si="177"/>
        <v>667.57707534687154</v>
      </c>
      <c r="DS166" s="59">
        <f t="shared" si="125"/>
        <v>960.91040868020491</v>
      </c>
      <c r="DT166" s="59">
        <f ca="1">AVERAGE(OFFSET($DS$3,0,0,'Données projet'!$E$14+1,1))-AVERAGE(OFFSET($H$3,0,0,'Données projet'!$E$14+1,1))</f>
        <v>307.43900954374504</v>
      </c>
      <c r="DU166" s="59">
        <f t="shared" si="152"/>
        <v>185.25270859048999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22.147502891817133</v>
      </c>
      <c r="EB166" s="21">
        <f>EXP(-LN(2)/25)*EB165+(1-EXP(-LN(2)/25))/(LN(2)/25)*Calculateur!DW166*Calculateur!DY166*VLOOKUP('Données projet'!$B$14,Paramètres!$A$1:$I$89,3,0)*0.475*44/12</f>
        <v>0.66890232660589877</v>
      </c>
      <c r="EC166" s="21">
        <f>EXP(-LN(2)/2)*EC165+(1-EXP(-LN(2)/2))/(LN(2)/2)*DW166*DZ166*VLOOKUP('Données projet'!$B$14,Paramètres!$A$1:$I$89,3,0)*0.475*44/12</f>
        <v>3.4910766407442363E-21</v>
      </c>
      <c r="ED166" s="22">
        <f t="shared" si="178"/>
        <v>22.816405218423032</v>
      </c>
      <c r="EE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401</v>
      </c>
      <c r="EK166" s="17">
        <f>EJ166*VLOOKUP('Données projet'!$B$15,Paramètres!$A$1:$I$89,3,0)*VLOOKUP('Données projet'!$B$15,Paramètres!$A$1:$I$89,5,0)</f>
        <v>250.22399999999999</v>
      </c>
      <c r="EL166" s="13">
        <f t="shared" si="179"/>
        <v>60.633904580527918</v>
      </c>
      <c r="EM166" s="20">
        <f t="shared" si="180"/>
        <v>541.41085047775289</v>
      </c>
      <c r="EN166" s="59">
        <f t="shared" si="128"/>
        <v>834.74418381108626</v>
      </c>
      <c r="EO166" s="59">
        <f ca="1">AVERAGE(OFFSET($EN$3,0,0,'Données projet'!$E$15+1,1))-AVERAGE(OFFSET($H$3,0,0,'Données projet'!$E$15+1,1))</f>
        <v>269.77739619445515</v>
      </c>
      <c r="EP166" s="59">
        <f t="shared" si="154"/>
        <v>347.56964743629885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9.959046083380553</v>
      </c>
      <c r="EW166" s="21">
        <f>EXP(-LN(2)/25)*EW165+(1-EXP(-LN(2)/25))/(LN(2)/25)*Calculateur!ER166*Calculateur!ET166*VLOOKUP('Données projet'!$B$15,Paramètres!$A$1:$I$89,3,0)*0.475*44/12</f>
        <v>2.2966220776334794</v>
      </c>
      <c r="EX166" s="21">
        <f>EXP(-LN(2)/2)*EX165+(1-EXP(-LN(2)/2))/(LN(2)/2)*ER166*EU166*VLOOKUP('Données projet'!$B$15,Paramètres!$A$1:$I$89,3,0)*0.475*44/12</f>
        <v>2.3802795277801615E-22</v>
      </c>
      <c r="EY166" s="22">
        <f t="shared" si="181"/>
        <v>12.255668161014032</v>
      </c>
      <c r="EZ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367.99999999999972</v>
      </c>
      <c r="FF166" s="17">
        <f>FE166*VLOOKUP('Données projet'!$B$16,Paramètres!$A$1:$I$89,3,0)*VLOOKUP('Données projet'!$B$16,Paramètres!$A$1:$I$89,5,0)</f>
        <v>292.78079999999977</v>
      </c>
      <c r="FG166" s="13">
        <f t="shared" si="182"/>
        <v>69.660903052386217</v>
      </c>
      <c r="FH166" s="20">
        <f t="shared" si="183"/>
        <v>631.25263281623893</v>
      </c>
      <c r="FI166" s="59">
        <f t="shared" si="131"/>
        <v>924.58596614957219</v>
      </c>
      <c r="FJ166" s="59">
        <f ca="1">AVERAGE(OFFSET($FI$3,0,0,'Données projet'!$E$16+1,1))-AVERAGE(OFFSET($H$3,0,0,'Données projet'!$E$16+1,1))</f>
        <v>331.52724290297675</v>
      </c>
      <c r="FK166" s="59">
        <f t="shared" si="156"/>
        <v>322.79102610158054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11.910774011193123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11.910774011193123</v>
      </c>
      <c r="FU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852.00000000000011</v>
      </c>
      <c r="GA166" s="17">
        <f>FZ166*VLOOKUP('Données projet'!$B$17,Paramètres!$A$1:$I$89,3,0)*VLOOKUP('Données projet'!$B$17,Paramètres!$A$1:$I$89,5,0)</f>
        <v>420.88800000000009</v>
      </c>
      <c r="GB166" s="13">
        <f t="shared" si="185"/>
        <v>95.998759891259041</v>
      </c>
      <c r="GC166" s="20">
        <f t="shared" si="186"/>
        <v>900.24444014394294</v>
      </c>
      <c r="GD166" s="59">
        <f t="shared" si="134"/>
        <v>1193.5777734772762</v>
      </c>
      <c r="GE166" s="59">
        <f ca="1">AVERAGE(OFFSET($GD$3,0,0,'Données projet'!$E$17+1,1))-AVERAGE(OFFSET($H$3,0,0,'Données projet'!$E$17+1,1))</f>
        <v>434.08297999735811</v>
      </c>
      <c r="GF166" s="59">
        <f t="shared" si="158"/>
        <v>371.04090283546122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30.73051964768344</v>
      </c>
      <c r="GM166" s="21">
        <f>EXP(-LN(2)/25)*GM165+(1-EXP(-LN(2)/25))/(LN(2)/25)*Calculateur!GH166*Calculateur!GJ166*VLOOKUP('Données projet'!$B$17,Paramètres!$A$1:$I$89,3,0)*0.475*44/12</f>
        <v>1.2944498727836389</v>
      </c>
      <c r="GN166" s="21">
        <f>EXP(-LN(2)/2)*GN165+(1-EXP(-LN(2)/2))/(LN(2)/2)*GH166*GK166*VLOOKUP('Données projet'!$B$17,Paramètres!$A$1:$I$89,3,0)*0.475*44/12</f>
        <v>7.2025495340607091E-21</v>
      </c>
      <c r="GO166" s="21">
        <f t="shared" si="187"/>
        <v>32.024969520467081</v>
      </c>
      <c r="GP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614.99999999999989</v>
      </c>
      <c r="GV166" s="17">
        <f>GU166*VLOOKUP('Données projet'!$B$18,Paramètres!$A$1:$I$89,3,0)*VLOOKUP('Données projet'!$B$18,Paramètres!$A$1:$I$89,5,0)</f>
        <v>351.78</v>
      </c>
      <c r="GW166" s="13">
        <f t="shared" si="188"/>
        <v>81.92892344316067</v>
      </c>
      <c r="GX166" s="20">
        <f t="shared" si="189"/>
        <v>755.37637499683808</v>
      </c>
      <c r="GY166" s="59">
        <f t="shared" si="137"/>
        <v>1048.7097083301715</v>
      </c>
      <c r="GZ166" s="59">
        <f ca="1">AVERAGE(OFFSET($GY$3,0,0,'Données projet'!$E$18+1,1))-AVERAGE(OFFSET($H$3,0,0,'Données projet'!$E$18+1,1))</f>
        <v>362.57172983134313</v>
      </c>
      <c r="HA166" s="59">
        <f t="shared" si="160"/>
        <v>232.03250917542471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24.975626524665358</v>
      </c>
      <c r="HH166" s="21">
        <f>EXP(-LN(2)/25)*HH165+(1-EXP(-LN(2)/25))/(LN(2)/25)*Calculateur!HC166*Calculateur!HE166*VLOOKUP('Données projet'!$B$18,Paramètres!$A$1:$I$89,3,0)*0.475*44/12</f>
        <v>0.78038604770688291</v>
      </c>
      <c r="HI166" s="21">
        <f>EXP(-LN(2)/2)*HI165+(1-EXP(-LN(2)/2))/(LN(2)/2)*HC166*HF166*VLOOKUP('Données projet'!$B$18,Paramètres!$A$1:$I$89,3,0)*0.475*44/12</f>
        <v>7.1761019837520392E-21</v>
      </c>
      <c r="HJ166" s="22">
        <f t="shared" si="190"/>
        <v>25.756012572372242</v>
      </c>
    </row>
    <row r="167" spans="1:218" x14ac:dyDescent="0.3">
      <c r="A167" s="10">
        <f t="shared" si="161"/>
        <v>164</v>
      </c>
      <c r="B167" s="71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5">
        <f t="shared" si="110"/>
        <v>468.80292973829592</v>
      </c>
      <c r="I167" s="6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266.99999999999983</v>
      </c>
      <c r="O167" s="13">
        <f>N167*VLOOKUP('Données projet'!$B$9,Paramètres!$A$1:$I$89,3,0)*VLOOKUP('Données projet'!$B$9,Paramètres!$A$1:$I$89,5,0)</f>
        <v>212.42519999999985</v>
      </c>
      <c r="P167" s="13">
        <f t="shared" si="141"/>
        <v>52.465198231787184</v>
      </c>
      <c r="Q167" s="20">
        <f t="shared" si="162"/>
        <v>461.35077692036231</v>
      </c>
      <c r="R167" s="59">
        <f t="shared" si="109"/>
        <v>754.68411025369562</v>
      </c>
      <c r="S167" s="59">
        <f ca="1">AVERAGE(OFFSET($R$3,0,0,'Données projet'!$E$9+1,1))-AVERAGE(OFFSET($H$3,0,0,'Données projet'!$E$9+1,1))</f>
        <v>225.2323446080772</v>
      </c>
      <c r="T167" s="59">
        <f t="shared" si="142"/>
        <v>222.29030402759292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8.2202570647103848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8.2202570647103848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732.99999999999966</v>
      </c>
      <c r="AJ167" s="13">
        <f>AI167*VLOOKUP('Données projet'!$B$10,Paramètres!$A$1:$I$89,3,0)*VLOOKUP('Données projet'!$B$10,Paramètres!$A$1:$I$89,5,0)</f>
        <v>362.1019999999998</v>
      </c>
      <c r="AK167" s="13">
        <f t="shared" si="164"/>
        <v>84.049487364732272</v>
      </c>
      <c r="AL167" s="20">
        <f t="shared" si="165"/>
        <v>777.04717382690842</v>
      </c>
      <c r="AM167" s="59">
        <f t="shared" si="113"/>
        <v>1070.3805071602417</v>
      </c>
      <c r="AN167" s="59">
        <f ca="1">AVERAGE(OFFSET($AM$3,0,0,'Données projet'!$E$10+1,1))-AVERAGE(OFFSET($H$3,0,0,'Données projet'!$E$10+1,1))</f>
        <v>360.05819346986135</v>
      </c>
      <c r="AO167" s="59">
        <f t="shared" si="144"/>
        <v>300.47468388351081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24.616746318032238</v>
      </c>
      <c r="AV167" s="21">
        <f>EXP(-LN(2)/25)*AV166+(1-EXP(-LN(2)/25))/(LN(2)/25)*Calculateur!AQ167*Calculateur!AS167*VLOOKUP('Données projet'!$B$10,Paramètres!$A$1:$I$89,3,0)*0.475*44/12</f>
        <v>1.0301343324056245</v>
      </c>
      <c r="AW167" s="21">
        <f>EXP(-LN(2)/2)*AW166+(1-EXP(-LN(2)/2))/(LN(2)/2)*AQ167*AT167*VLOOKUP('Données projet'!$B$10,Paramètres!$A$1:$I$89,3,0)*0.475*44/12</f>
        <v>3.5532360121160478E-22</v>
      </c>
      <c r="AX167" s="21">
        <f t="shared" si="166"/>
        <v>25.646880650437861</v>
      </c>
      <c r="AY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465.00000000000006</v>
      </c>
      <c r="BE167" s="13">
        <f>BD167*VLOOKUP('Données projet'!$B$11,Paramètres!$A$1:$I$89,3,0)*VLOOKUP('Données projet'!$B$11,Paramètres!$A$1:$I$89,5,0)</f>
        <v>265.98</v>
      </c>
      <c r="BF167" s="13">
        <f t="shared" si="167"/>
        <v>63.995380422211589</v>
      </c>
      <c r="BG167" s="20">
        <f t="shared" si="168"/>
        <v>574.70712090201857</v>
      </c>
      <c r="BH167" s="59">
        <f t="shared" si="116"/>
        <v>868.04045423535194</v>
      </c>
      <c r="BI167" s="59">
        <f ca="1">AVERAGE(OFFSET($BH$3,0,0,'Données projet'!$E$11+1,1))-AVERAGE(OFFSET($H$3,0,0,'Données projet'!$E$11+1,1))</f>
        <v>250.90038883668348</v>
      </c>
      <c r="BJ167" s="59">
        <f t="shared" si="146"/>
        <v>141.96132114475608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18.853594559979506</v>
      </c>
      <c r="BQ167" s="21">
        <f>EXP(-LN(2)/25)*BQ166+(1-EXP(-LN(2)/25))/(LN(2)/25)*Calculateur!BL167*Calculateur!BN167*VLOOKUP('Données projet'!$B$11,Paramètres!$A$1:$I$89,3,0)*0.475*44/12</f>
        <v>0.28984833399458448</v>
      </c>
      <c r="BR167" s="21">
        <f>EXP(-LN(2)/2)*BR166+(1-EXP(-LN(2)/2))/(LN(2)/2)*BL167*BO167*VLOOKUP('Données projet'!$B$11,Paramètres!$A$1:$I$89,3,0)*0.475*44/12</f>
        <v>2.5601228698791173E-20</v>
      </c>
      <c r="BS167" s="22">
        <f t="shared" si="169"/>
        <v>19.14344289397409</v>
      </c>
      <c r="BT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319</v>
      </c>
      <c r="BZ167" s="13">
        <f>BY167*VLOOKUP('Données projet'!$B$12,Paramètres!$A$1:$I$89,3,0)*VLOOKUP('Données projet'!$B$12,Paramètres!$A$1:$I$89,5,0)</f>
        <v>253.79640000000001</v>
      </c>
      <c r="CA167" s="13">
        <f t="shared" si="170"/>
        <v>61.39816832228076</v>
      </c>
      <c r="CB167" s="20">
        <f t="shared" si="171"/>
        <v>548.96387316130563</v>
      </c>
      <c r="CC167" s="59">
        <f t="shared" si="119"/>
        <v>842.29720649463889</v>
      </c>
      <c r="CD167" s="59">
        <f ca="1">AVERAGE(OFFSET($CC$3,0,0,'Données projet'!$E$12+1,1))-AVERAGE(OFFSET($H$3,0,0,'Données projet'!$E$12+1,1))</f>
        <v>279.49721661620544</v>
      </c>
      <c r="CE167" s="59">
        <f t="shared" si="148"/>
        <v>275.18739333988754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10.073497326301265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10.073497326301265</v>
      </c>
      <c r="CO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789</v>
      </c>
      <c r="CU167" s="17">
        <f>CT167*VLOOKUP('Données projet'!$B$13,Paramètres!$A$1:$I$89,3,0)*VLOOKUP('Données projet'!$B$13,Paramètres!$A$1:$I$89,5,0)</f>
        <v>389.76600000000002</v>
      </c>
      <c r="CV167" s="13">
        <f t="shared" si="173"/>
        <v>89.698759503620408</v>
      </c>
      <c r="CW167" s="20">
        <f t="shared" si="174"/>
        <v>835.06778946880547</v>
      </c>
      <c r="CX167" s="59">
        <f t="shared" si="122"/>
        <v>1128.4011228021388</v>
      </c>
      <c r="CY167" s="59">
        <f ca="1">AVERAGE(OFFSET($CX$3,0,0,'Données projet'!$E$13+1,1))-AVERAGE(OFFSET($H$3,0,0,'Données projet'!$E$13+1,1))</f>
        <v>396.27049617044378</v>
      </c>
      <c r="CZ167" s="59">
        <f t="shared" si="150"/>
        <v>335.2680289568774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27.307260339303124</v>
      </c>
      <c r="DG167" s="21">
        <f>EXP(-LN(2)/25)*DG166+(1-EXP(-LN(2)/25))/(LN(2)/25)*Calculateur!DB167*Calculateur!DD167*VLOOKUP('Données projet'!$B$13,Paramètres!$A$1:$I$89,3,0)*0.475*44/12</f>
        <v>1.1445937026729176</v>
      </c>
      <c r="DH167" s="21">
        <f>EXP(-LN(2)/2)*DH166+(1-EXP(-LN(2)/2))/(LN(2)/2)*DB167*DE167*VLOOKUP('Données projet'!$B$13,Paramètres!$A$1:$I$89,3,0)*0.475*44/12</f>
        <v>2.6057064088851034E-21</v>
      </c>
      <c r="DI167" s="22">
        <f t="shared" si="175"/>
        <v>28.451854041976041</v>
      </c>
      <c r="DJ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541.99999999999989</v>
      </c>
      <c r="DP167" s="17">
        <f>DO167*VLOOKUP('Données projet'!$B$14,Paramètres!$A$1:$I$89,3,0)*VLOOKUP('Données projet'!$B$14,Paramètres!$A$1:$I$89,5,0)</f>
        <v>310.02399999999994</v>
      </c>
      <c r="DQ167" s="13">
        <f t="shared" si="176"/>
        <v>73.27384230442388</v>
      </c>
      <c r="DR167" s="20">
        <f t="shared" si="177"/>
        <v>667.57707534687154</v>
      </c>
      <c r="DS167" s="59">
        <f t="shared" si="125"/>
        <v>960.91040868020491</v>
      </c>
      <c r="DT167" s="59">
        <f ca="1">AVERAGE(OFFSET($DS$3,0,0,'Données projet'!$E$14+1,1))-AVERAGE(OFFSET($H$3,0,0,'Données projet'!$E$14+1,1))</f>
        <v>307.43900954374504</v>
      </c>
      <c r="DU167" s="59">
        <f t="shared" si="152"/>
        <v>185.25270859048999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21.713203868751496</v>
      </c>
      <c r="EB167" s="21">
        <f>EXP(-LN(2)/25)*EB166+(1-EXP(-LN(2)/25))/(LN(2)/25)*Calculateur!DW167*Calculateur!DY167*VLOOKUP('Données projet'!$B$14,Paramètres!$A$1:$I$89,3,0)*0.475*44/12</f>
        <v>0.65061115730881591</v>
      </c>
      <c r="EC167" s="21">
        <f>EXP(-LN(2)/2)*EC166+(1-EXP(-LN(2)/2))/(LN(2)/2)*DW167*DZ167*VLOOKUP('Données projet'!$B$14,Paramètres!$A$1:$I$89,3,0)*0.475*44/12</f>
        <v>2.4685639663122021E-21</v>
      </c>
      <c r="ED167" s="22">
        <f t="shared" si="178"/>
        <v>22.363815026060312</v>
      </c>
      <c r="EE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401</v>
      </c>
      <c r="EK167" s="17">
        <f>EJ167*VLOOKUP('Données projet'!$B$15,Paramètres!$A$1:$I$89,3,0)*VLOOKUP('Données projet'!$B$15,Paramètres!$A$1:$I$89,5,0)</f>
        <v>250.22399999999999</v>
      </c>
      <c r="EL167" s="13">
        <f t="shared" si="179"/>
        <v>60.633904580527918</v>
      </c>
      <c r="EM167" s="20">
        <f t="shared" si="180"/>
        <v>541.41085047775289</v>
      </c>
      <c r="EN167" s="59">
        <f t="shared" si="128"/>
        <v>834.74418381108626</v>
      </c>
      <c r="EO167" s="59">
        <f ca="1">AVERAGE(OFFSET($EN$3,0,0,'Données projet'!$E$15+1,1))-AVERAGE(OFFSET($H$3,0,0,'Données projet'!$E$15+1,1))</f>
        <v>269.77739619445515</v>
      </c>
      <c r="EP167" s="59">
        <f t="shared" si="154"/>
        <v>347.56964743629885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9.7637552641037715</v>
      </c>
      <c r="EW167" s="21">
        <f>EXP(-LN(2)/25)*EW166+(1-EXP(-LN(2)/25))/(LN(2)/25)*Calculateur!ER167*Calculateur!ET167*VLOOKUP('Données projet'!$B$15,Paramètres!$A$1:$I$89,3,0)*0.475*44/12</f>
        <v>2.233820826146486</v>
      </c>
      <c r="EX167" s="21">
        <f>EXP(-LN(2)/2)*EX166+(1-EXP(-LN(2)/2))/(LN(2)/2)*ER167*EU167*VLOOKUP('Données projet'!$B$15,Paramètres!$A$1:$I$89,3,0)*0.475*44/12</f>
        <v>1.6831117952128653E-22</v>
      </c>
      <c r="EY167" s="22">
        <f t="shared" si="181"/>
        <v>11.997576090250258</v>
      </c>
      <c r="EZ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367.99999999999972</v>
      </c>
      <c r="FF167" s="17">
        <f>FE167*VLOOKUP('Données projet'!$B$16,Paramètres!$A$1:$I$89,3,0)*VLOOKUP('Données projet'!$B$16,Paramètres!$A$1:$I$89,5,0)</f>
        <v>292.78079999999977</v>
      </c>
      <c r="FG167" s="13">
        <f t="shared" si="182"/>
        <v>69.660903052386217</v>
      </c>
      <c r="FH167" s="20">
        <f t="shared" si="183"/>
        <v>631.25263281623893</v>
      </c>
      <c r="FI167" s="59">
        <f t="shared" si="131"/>
        <v>924.58596614957219</v>
      </c>
      <c r="FJ167" s="59">
        <f ca="1">AVERAGE(OFFSET($FI$3,0,0,'Données projet'!$E$16+1,1))-AVERAGE(OFFSET($H$3,0,0,'Données projet'!$E$16+1,1))</f>
        <v>331.52724290297675</v>
      </c>
      <c r="FK167" s="59">
        <f t="shared" si="156"/>
        <v>322.79102610158054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11.677210997688428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11.677210997688428</v>
      </c>
      <c r="FU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852.00000000000011</v>
      </c>
      <c r="GA167" s="17">
        <f>FZ167*VLOOKUP('Données projet'!$B$17,Paramètres!$A$1:$I$89,3,0)*VLOOKUP('Données projet'!$B$17,Paramètres!$A$1:$I$89,5,0)</f>
        <v>420.88800000000009</v>
      </c>
      <c r="GB167" s="13">
        <f t="shared" si="185"/>
        <v>95.998759891259041</v>
      </c>
      <c r="GC167" s="20">
        <f t="shared" si="186"/>
        <v>900.24444014394294</v>
      </c>
      <c r="GD167" s="59">
        <f t="shared" si="134"/>
        <v>1193.5777734772762</v>
      </c>
      <c r="GE167" s="59">
        <f ca="1">AVERAGE(OFFSET($GD$3,0,0,'Données projet'!$E$17+1,1))-AVERAGE(OFFSET($H$3,0,0,'Données projet'!$E$17+1,1))</f>
        <v>434.08297999735811</v>
      </c>
      <c r="GF167" s="59">
        <f t="shared" si="158"/>
        <v>371.04090283546122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30.12791290115856</v>
      </c>
      <c r="GM167" s="21">
        <f>EXP(-LN(2)/25)*GM166+(1-EXP(-LN(2)/25))/(LN(2)/25)*Calculateur!GH167*Calculateur!GJ167*VLOOKUP('Données projet'!$B$17,Paramètres!$A$1:$I$89,3,0)*0.475*44/12</f>
        <v>1.2590530729402101</v>
      </c>
      <c r="GN167" s="21">
        <f>EXP(-LN(2)/2)*GN166+(1-EXP(-LN(2)/2))/(LN(2)/2)*GH167*GK167*VLOOKUP('Données projet'!$B$17,Paramètres!$A$1:$I$89,3,0)*0.475*44/12</f>
        <v>5.0929716173663358E-21</v>
      </c>
      <c r="GO167" s="21">
        <f t="shared" si="187"/>
        <v>31.386965974098771</v>
      </c>
      <c r="GP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614.99999999999989</v>
      </c>
      <c r="GV167" s="17">
        <f>GU167*VLOOKUP('Données projet'!$B$18,Paramètres!$A$1:$I$89,3,0)*VLOOKUP('Données projet'!$B$18,Paramètres!$A$1:$I$89,5,0)</f>
        <v>351.78</v>
      </c>
      <c r="GW167" s="13">
        <f t="shared" si="188"/>
        <v>81.92892344316067</v>
      </c>
      <c r="GX167" s="20">
        <f t="shared" si="189"/>
        <v>755.37637499683808</v>
      </c>
      <c r="GY167" s="59">
        <f t="shared" si="137"/>
        <v>1048.7097083301715</v>
      </c>
      <c r="GZ167" s="59">
        <f ca="1">AVERAGE(OFFSET($GY$3,0,0,'Données projet'!$E$18+1,1))-AVERAGE(OFFSET($H$3,0,0,'Données projet'!$E$18+1,1))</f>
        <v>362.57172983134313</v>
      </c>
      <c r="HA167" s="59">
        <f t="shared" si="160"/>
        <v>232.03250917542471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24.485869722144656</v>
      </c>
      <c r="HH167" s="21">
        <f>EXP(-LN(2)/25)*HH166+(1-EXP(-LN(2)/25))/(LN(2)/25)*Calculateur!HC167*Calculateur!HE167*VLOOKUP('Données projet'!$B$18,Paramètres!$A$1:$I$89,3,0)*0.475*44/12</f>
        <v>0.75904635019361955</v>
      </c>
      <c r="HI167" s="21">
        <f>EXP(-LN(2)/2)*HI166+(1-EXP(-LN(2)/2))/(LN(2)/2)*HC167*HF167*VLOOKUP('Données projet'!$B$18,Paramètres!$A$1:$I$89,3,0)*0.475*44/12</f>
        <v>5.0742703751973029E-21</v>
      </c>
      <c r="HJ167" s="22">
        <f t="shared" si="190"/>
        <v>25.244916072338278</v>
      </c>
    </row>
    <row r="168" spans="1:218" x14ac:dyDescent="0.3">
      <c r="A168" s="10">
        <f t="shared" si="161"/>
        <v>165</v>
      </c>
      <c r="B168" s="71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5">
        <f t="shared" si="110"/>
        <v>469.8457661710267</v>
      </c>
      <c r="I168" s="6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266.99999999999983</v>
      </c>
      <c r="O168" s="13">
        <f>N168*VLOOKUP('Données projet'!$B$9,Paramètres!$A$1:$I$89,3,0)*VLOOKUP('Données projet'!$B$9,Paramètres!$A$1:$I$89,5,0)</f>
        <v>212.42519999999985</v>
      </c>
      <c r="P168" s="13">
        <f t="shared" si="141"/>
        <v>52.465198231787184</v>
      </c>
      <c r="Q168" s="20">
        <f t="shared" si="162"/>
        <v>461.35077692036231</v>
      </c>
      <c r="R168" s="59">
        <f t="shared" si="109"/>
        <v>754.68411025369562</v>
      </c>
      <c r="S168" s="59">
        <f ca="1">AVERAGE(OFFSET($R$3,0,0,'Données projet'!$E$9+1,1))-AVERAGE(OFFSET($H$3,0,0,'Données projet'!$E$9+1,1))</f>
        <v>225.2323446080772</v>
      </c>
      <c r="T168" s="59">
        <f t="shared" si="142"/>
        <v>222.29030402759292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8.0590628375331459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8.0590628375331459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732.99999999999966</v>
      </c>
      <c r="AJ168" s="13">
        <f>AI168*VLOOKUP('Données projet'!$B$10,Paramètres!$A$1:$I$89,3,0)*VLOOKUP('Données projet'!$B$10,Paramètres!$A$1:$I$89,5,0)</f>
        <v>362.1019999999998</v>
      </c>
      <c r="AK168" s="13">
        <f t="shared" si="164"/>
        <v>84.049487364732272</v>
      </c>
      <c r="AL168" s="20">
        <f t="shared" si="165"/>
        <v>777.04717382690842</v>
      </c>
      <c r="AM168" s="59">
        <f t="shared" si="113"/>
        <v>1070.3805071602417</v>
      </c>
      <c r="AN168" s="59">
        <f ca="1">AVERAGE(OFFSET($AM$3,0,0,'Données projet'!$E$10+1,1))-AVERAGE(OFFSET($H$3,0,0,'Données projet'!$E$10+1,1))</f>
        <v>360.05819346986135</v>
      </c>
      <c r="AO168" s="59">
        <f t="shared" si="144"/>
        <v>300.47468388351081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24.134026937468299</v>
      </c>
      <c r="AV168" s="21">
        <f>EXP(-LN(2)/25)*AV167+(1-EXP(-LN(2)/25))/(LN(2)/25)*Calculateur!AQ168*Calculateur!AS168*VLOOKUP('Données projet'!$B$10,Paramètres!$A$1:$I$89,3,0)*0.475*44/12</f>
        <v>1.0019652549135825</v>
      </c>
      <c r="AW168" s="21">
        <f>EXP(-LN(2)/2)*AW167+(1-EXP(-LN(2)/2))/(LN(2)/2)*AQ168*AT168*VLOOKUP('Données projet'!$B$10,Paramètres!$A$1:$I$89,3,0)*0.475*44/12</f>
        <v>2.5125172793235029E-22</v>
      </c>
      <c r="AX168" s="21">
        <f t="shared" si="166"/>
        <v>25.135992192381881</v>
      </c>
      <c r="AY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465.00000000000006</v>
      </c>
      <c r="BE168" s="13">
        <f>BD168*VLOOKUP('Données projet'!$B$11,Paramètres!$A$1:$I$89,3,0)*VLOOKUP('Données projet'!$B$11,Paramètres!$A$1:$I$89,5,0)</f>
        <v>265.98</v>
      </c>
      <c r="BF168" s="13">
        <f t="shared" si="167"/>
        <v>63.995380422211589</v>
      </c>
      <c r="BG168" s="20">
        <f t="shared" si="168"/>
        <v>574.70712090201857</v>
      </c>
      <c r="BH168" s="59">
        <f t="shared" si="116"/>
        <v>868.04045423535194</v>
      </c>
      <c r="BI168" s="59">
        <f ca="1">AVERAGE(OFFSET($BH$3,0,0,'Données projet'!$E$11+1,1))-AVERAGE(OFFSET($H$3,0,0,'Données projet'!$E$11+1,1))</f>
        <v>250.90038883668348</v>
      </c>
      <c r="BJ168" s="59">
        <f t="shared" si="146"/>
        <v>141.96132114475608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18.483887070215502</v>
      </c>
      <c r="BQ168" s="21">
        <f>EXP(-LN(2)/25)*BQ167+(1-EXP(-LN(2)/25))/(LN(2)/25)*Calculateur!BL168*Calculateur!BN168*VLOOKUP('Données projet'!$B$11,Paramètres!$A$1:$I$89,3,0)*0.475*44/12</f>
        <v>0.28192241605904117</v>
      </c>
      <c r="BR168" s="21">
        <f>EXP(-LN(2)/2)*BR167+(1-EXP(-LN(2)/2))/(LN(2)/2)*BL168*BO168*VLOOKUP('Données projet'!$B$11,Paramètres!$A$1:$I$89,3,0)*0.475*44/12</f>
        <v>1.810280241962289E-20</v>
      </c>
      <c r="BS168" s="22">
        <f t="shared" si="169"/>
        <v>18.765809486274541</v>
      </c>
      <c r="BT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319</v>
      </c>
      <c r="BZ168" s="13">
        <f>BY168*VLOOKUP('Données projet'!$B$12,Paramètres!$A$1:$I$89,3,0)*VLOOKUP('Données projet'!$B$12,Paramètres!$A$1:$I$89,5,0)</f>
        <v>253.79640000000001</v>
      </c>
      <c r="CA168" s="13">
        <f t="shared" si="170"/>
        <v>61.39816832228076</v>
      </c>
      <c r="CB168" s="20">
        <f t="shared" si="171"/>
        <v>548.96387316130563</v>
      </c>
      <c r="CC168" s="59">
        <f t="shared" si="119"/>
        <v>842.29720649463889</v>
      </c>
      <c r="CD168" s="59">
        <f ca="1">AVERAGE(OFFSET($CC$3,0,0,'Données projet'!$E$12+1,1))-AVERAGE(OFFSET($H$3,0,0,'Données projet'!$E$12+1,1))</f>
        <v>279.49721661620544</v>
      </c>
      <c r="CE168" s="59">
        <f t="shared" si="148"/>
        <v>275.18739333988754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9.8759621879591748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9.8759621879591748</v>
      </c>
      <c r="CO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789</v>
      </c>
      <c r="CU168" s="17">
        <f>CT168*VLOOKUP('Données projet'!$B$13,Paramètres!$A$1:$I$89,3,0)*VLOOKUP('Données projet'!$B$13,Paramètres!$A$1:$I$89,5,0)</f>
        <v>389.76600000000002</v>
      </c>
      <c r="CV168" s="13">
        <f t="shared" si="173"/>
        <v>89.698759503620408</v>
      </c>
      <c r="CW168" s="20">
        <f t="shared" si="174"/>
        <v>835.06778946880547</v>
      </c>
      <c r="CX168" s="59">
        <f t="shared" si="122"/>
        <v>1128.4011228021388</v>
      </c>
      <c r="CY168" s="59">
        <f ca="1">AVERAGE(OFFSET($CX$3,0,0,'Données projet'!$E$13+1,1))-AVERAGE(OFFSET($H$3,0,0,'Données projet'!$E$13+1,1))</f>
        <v>396.27049617044378</v>
      </c>
      <c r="CZ168" s="59">
        <f t="shared" si="150"/>
        <v>335.2680289568774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26.771781619833575</v>
      </c>
      <c r="DG168" s="21">
        <f>EXP(-LN(2)/25)*DG167+(1-EXP(-LN(2)/25))/(LN(2)/25)*Calculateur!DB168*Calculateur!DD168*VLOOKUP('Données projet'!$B$13,Paramètres!$A$1:$I$89,3,0)*0.475*44/12</f>
        <v>1.1132947276817597</v>
      </c>
      <c r="DH168" s="21">
        <f>EXP(-LN(2)/2)*DH167+(1-EXP(-LN(2)/2))/(LN(2)/2)*DB168*DE168*VLOOKUP('Données projet'!$B$13,Paramètres!$A$1:$I$89,3,0)*0.475*44/12</f>
        <v>1.8425126715039033E-21</v>
      </c>
      <c r="DI168" s="22">
        <f t="shared" si="175"/>
        <v>27.885076347515334</v>
      </c>
      <c r="DJ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541.99999999999989</v>
      </c>
      <c r="DP168" s="17">
        <f>DO168*VLOOKUP('Données projet'!$B$14,Paramètres!$A$1:$I$89,3,0)*VLOOKUP('Données projet'!$B$14,Paramètres!$A$1:$I$89,5,0)</f>
        <v>310.02399999999994</v>
      </c>
      <c r="DQ168" s="13">
        <f t="shared" si="176"/>
        <v>73.27384230442388</v>
      </c>
      <c r="DR168" s="20">
        <f t="shared" si="177"/>
        <v>667.57707534687154</v>
      </c>
      <c r="DS168" s="59">
        <f t="shared" si="125"/>
        <v>960.91040868020491</v>
      </c>
      <c r="DT168" s="59">
        <f ca="1">AVERAGE(OFFSET($DS$3,0,0,'Données projet'!$E$14+1,1))-AVERAGE(OFFSET($H$3,0,0,'Données projet'!$E$14+1,1))</f>
        <v>307.43900954374504</v>
      </c>
      <c r="DU168" s="59">
        <f t="shared" si="152"/>
        <v>185.25270859048999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21.287421184631928</v>
      </c>
      <c r="EB168" s="21">
        <f>EXP(-LN(2)/25)*EB167+(1-EXP(-LN(2)/25))/(LN(2)/25)*Calculateur!DW168*Calculateur!DY168*VLOOKUP('Données projet'!$B$14,Paramètres!$A$1:$I$89,3,0)*0.475*44/12</f>
        <v>0.63282016099805261</v>
      </c>
      <c r="EC168" s="21">
        <f>EXP(-LN(2)/2)*EC167+(1-EXP(-LN(2)/2))/(LN(2)/2)*DW168*DZ168*VLOOKUP('Données projet'!$B$14,Paramètres!$A$1:$I$89,3,0)*0.475*44/12</f>
        <v>1.7455383203721182E-21</v>
      </c>
      <c r="ED168" s="22">
        <f t="shared" si="178"/>
        <v>21.920241345629979</v>
      </c>
      <c r="EE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401</v>
      </c>
      <c r="EK168" s="17">
        <f>EJ168*VLOOKUP('Données projet'!$B$15,Paramètres!$A$1:$I$89,3,0)*VLOOKUP('Données projet'!$B$15,Paramètres!$A$1:$I$89,5,0)</f>
        <v>250.22399999999999</v>
      </c>
      <c r="EL168" s="13">
        <f t="shared" si="179"/>
        <v>60.633904580527918</v>
      </c>
      <c r="EM168" s="20">
        <f t="shared" si="180"/>
        <v>541.41085047775289</v>
      </c>
      <c r="EN168" s="59">
        <f t="shared" si="128"/>
        <v>834.74418381108626</v>
      </c>
      <c r="EO168" s="59">
        <f ca="1">AVERAGE(OFFSET($EN$3,0,0,'Données projet'!$E$15+1,1))-AVERAGE(OFFSET($H$3,0,0,'Données projet'!$E$15+1,1))</f>
        <v>269.77739619445515</v>
      </c>
      <c r="EP168" s="59">
        <f t="shared" si="154"/>
        <v>347.56964743629885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9.5722939786773704</v>
      </c>
      <c r="EW168" s="21">
        <f>EXP(-LN(2)/25)*EW167+(1-EXP(-LN(2)/25))/(LN(2)/25)*Calculateur!ER168*Calculateur!ET168*VLOOKUP('Données projet'!$B$15,Paramètres!$A$1:$I$89,3,0)*0.475*44/12</f>
        <v>2.1727368781839784</v>
      </c>
      <c r="EX168" s="21">
        <f>EXP(-LN(2)/2)*EX167+(1-EXP(-LN(2)/2))/(LN(2)/2)*ER168*EU168*VLOOKUP('Données projet'!$B$15,Paramètres!$A$1:$I$89,3,0)*0.475*44/12</f>
        <v>1.1901397638900807E-22</v>
      </c>
      <c r="EY168" s="22">
        <f t="shared" si="181"/>
        <v>11.745030856861348</v>
      </c>
      <c r="EZ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367.99999999999972</v>
      </c>
      <c r="FF168" s="17">
        <f>FE168*VLOOKUP('Données projet'!$B$16,Paramètres!$A$1:$I$89,3,0)*VLOOKUP('Données projet'!$B$16,Paramètres!$A$1:$I$89,5,0)</f>
        <v>292.78079999999977</v>
      </c>
      <c r="FG168" s="13">
        <f t="shared" si="182"/>
        <v>69.660903052386217</v>
      </c>
      <c r="FH168" s="20">
        <f t="shared" si="183"/>
        <v>631.25263281623893</v>
      </c>
      <c r="FI168" s="59">
        <f t="shared" si="131"/>
        <v>924.58596614957219</v>
      </c>
      <c r="FJ168" s="59">
        <f ca="1">AVERAGE(OFFSET($FI$3,0,0,'Données projet'!$E$16+1,1))-AVERAGE(OFFSET($H$3,0,0,'Données projet'!$E$16+1,1))</f>
        <v>331.52724290297675</v>
      </c>
      <c r="FK168" s="59">
        <f t="shared" si="156"/>
        <v>322.79102610158054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11.44822801241919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11.44822801241919</v>
      </c>
      <c r="FU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852.00000000000011</v>
      </c>
      <c r="GA168" s="17">
        <f>FZ168*VLOOKUP('Données projet'!$B$17,Paramètres!$A$1:$I$89,3,0)*VLOOKUP('Données projet'!$B$17,Paramètres!$A$1:$I$89,5,0)</f>
        <v>420.88800000000009</v>
      </c>
      <c r="GB168" s="13">
        <f t="shared" si="185"/>
        <v>95.998759891259041</v>
      </c>
      <c r="GC168" s="20">
        <f t="shared" si="186"/>
        <v>900.24444014394294</v>
      </c>
      <c r="GD168" s="59">
        <f t="shared" si="134"/>
        <v>1193.5777734772762</v>
      </c>
      <c r="GE168" s="59">
        <f ca="1">AVERAGE(OFFSET($GD$3,0,0,'Données projet'!$E$17+1,1))-AVERAGE(OFFSET($H$3,0,0,'Données projet'!$E$17+1,1))</f>
        <v>434.08297999735811</v>
      </c>
      <c r="GF168" s="59">
        <f t="shared" si="158"/>
        <v>371.04090283546122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29.53712290537921</v>
      </c>
      <c r="GM168" s="21">
        <f>EXP(-LN(2)/25)*GM167+(1-EXP(-LN(2)/25))/(LN(2)/25)*Calculateur!GH168*Calculateur!GJ168*VLOOKUP('Données projet'!$B$17,Paramètres!$A$1:$I$89,3,0)*0.475*44/12</f>
        <v>1.2246242004499366</v>
      </c>
      <c r="GN168" s="21">
        <f>EXP(-LN(2)/2)*GN167+(1-EXP(-LN(2)/2))/(LN(2)/2)*GH168*GK168*VLOOKUP('Données projet'!$B$17,Paramètres!$A$1:$I$89,3,0)*0.475*44/12</f>
        <v>3.6012747670303545E-21</v>
      </c>
      <c r="GO168" s="21">
        <f t="shared" si="187"/>
        <v>30.761747105829148</v>
      </c>
      <c r="GP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614.99999999999989</v>
      </c>
      <c r="GV168" s="17">
        <f>GU168*VLOOKUP('Données projet'!$B$18,Paramètres!$A$1:$I$89,3,0)*VLOOKUP('Données projet'!$B$18,Paramètres!$A$1:$I$89,5,0)</f>
        <v>351.78</v>
      </c>
      <c r="GW168" s="13">
        <f t="shared" si="188"/>
        <v>81.92892344316067</v>
      </c>
      <c r="GX168" s="20">
        <f t="shared" si="189"/>
        <v>755.37637499683808</v>
      </c>
      <c r="GY168" s="59">
        <f t="shared" si="137"/>
        <v>1048.7097083301715</v>
      </c>
      <c r="GZ168" s="59">
        <f ca="1">AVERAGE(OFFSET($GY$3,0,0,'Données projet'!$E$18+1,1))-AVERAGE(OFFSET($H$3,0,0,'Données projet'!$E$18+1,1))</f>
        <v>362.57172983134313</v>
      </c>
      <c r="HA168" s="59">
        <f t="shared" si="160"/>
        <v>232.03250917542471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24.00571675179923</v>
      </c>
      <c r="HH168" s="21">
        <f>EXP(-LN(2)/25)*HH167+(1-EXP(-LN(2)/25))/(LN(2)/25)*Calculateur!HC168*Calculateur!HE168*VLOOKUP('Données projet'!$B$18,Paramètres!$A$1:$I$89,3,0)*0.475*44/12</f>
        <v>0.73829018783106226</v>
      </c>
      <c r="HI168" s="21">
        <f>EXP(-LN(2)/2)*HI167+(1-EXP(-LN(2)/2))/(LN(2)/2)*HC168*HF168*VLOOKUP('Données projet'!$B$18,Paramètres!$A$1:$I$89,3,0)*0.475*44/12</f>
        <v>3.5880509918760196E-21</v>
      </c>
      <c r="HJ168" s="22">
        <f t="shared" si="190"/>
        <v>24.744006939630292</v>
      </c>
    </row>
    <row r="169" spans="1:218" x14ac:dyDescent="0.3">
      <c r="A169" s="10">
        <f t="shared" si="161"/>
        <v>166</v>
      </c>
      <c r="B169" s="71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5">
        <f t="shared" si="110"/>
        <v>470.88845796880821</v>
      </c>
      <c r="I169" s="6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266.99999999999983</v>
      </c>
      <c r="O169" s="13">
        <f>N169*VLOOKUP('Données projet'!$B$9,Paramètres!$A$1:$I$89,3,0)*VLOOKUP('Données projet'!$B$9,Paramètres!$A$1:$I$89,5,0)</f>
        <v>212.42519999999985</v>
      </c>
      <c r="P169" s="13">
        <f t="shared" si="141"/>
        <v>52.465198231787184</v>
      </c>
      <c r="Q169" s="20">
        <f t="shared" si="162"/>
        <v>461.35077692036231</v>
      </c>
      <c r="R169" s="59">
        <f t="shared" si="109"/>
        <v>754.68411025369562</v>
      </c>
      <c r="S169" s="59">
        <f ca="1">AVERAGE(OFFSET($R$3,0,0,'Données projet'!$E$9+1,1))-AVERAGE(OFFSET($H$3,0,0,'Données projet'!$E$9+1,1))</f>
        <v>225.2323446080772</v>
      </c>
      <c r="T169" s="59">
        <f t="shared" si="142"/>
        <v>222.29030402759292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7.9010295308320826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7.9010295308320826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732.99999999999966</v>
      </c>
      <c r="AJ169" s="13">
        <f>AI169*VLOOKUP('Données projet'!$B$10,Paramètres!$A$1:$I$89,3,0)*VLOOKUP('Données projet'!$B$10,Paramètres!$A$1:$I$89,5,0)</f>
        <v>362.1019999999998</v>
      </c>
      <c r="AK169" s="13">
        <f t="shared" si="164"/>
        <v>84.049487364732272</v>
      </c>
      <c r="AL169" s="20">
        <f t="shared" si="165"/>
        <v>777.04717382690842</v>
      </c>
      <c r="AM169" s="59">
        <f t="shared" si="113"/>
        <v>1070.3805071602417</v>
      </c>
      <c r="AN169" s="59">
        <f ca="1">AVERAGE(OFFSET($AM$3,0,0,'Données projet'!$E$10+1,1))-AVERAGE(OFFSET($H$3,0,0,'Données projet'!$E$10+1,1))</f>
        <v>360.05819346986135</v>
      </c>
      <c r="AO169" s="59">
        <f t="shared" si="144"/>
        <v>300.47468388351081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23.660773389527467</v>
      </c>
      <c r="AV169" s="21">
        <f>EXP(-LN(2)/25)*AV168+(1-EXP(-LN(2)/25))/(LN(2)/25)*Calculateur!AQ169*Calculateur!AS169*VLOOKUP('Données projet'!$B$10,Paramètres!$A$1:$I$89,3,0)*0.475*44/12</f>
        <v>0.9745664623269078</v>
      </c>
      <c r="AW169" s="21">
        <f>EXP(-LN(2)/2)*AW168+(1-EXP(-LN(2)/2))/(LN(2)/2)*AQ169*AT169*VLOOKUP('Données projet'!$B$10,Paramètres!$A$1:$I$89,3,0)*0.475*44/12</f>
        <v>1.7766180060580239E-22</v>
      </c>
      <c r="AX169" s="21">
        <f t="shared" si="166"/>
        <v>24.635339851854376</v>
      </c>
      <c r="AY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465.00000000000006</v>
      </c>
      <c r="BE169" s="13">
        <f>BD169*VLOOKUP('Données projet'!$B$11,Paramètres!$A$1:$I$89,3,0)*VLOOKUP('Données projet'!$B$11,Paramètres!$A$1:$I$89,5,0)</f>
        <v>265.98</v>
      </c>
      <c r="BF169" s="13">
        <f t="shared" si="167"/>
        <v>63.995380422211589</v>
      </c>
      <c r="BG169" s="20">
        <f t="shared" si="168"/>
        <v>574.70712090201857</v>
      </c>
      <c r="BH169" s="59">
        <f t="shared" si="116"/>
        <v>868.04045423535194</v>
      </c>
      <c r="BI169" s="59">
        <f ca="1">AVERAGE(OFFSET($BH$3,0,0,'Données projet'!$E$11+1,1))-AVERAGE(OFFSET($H$3,0,0,'Données projet'!$E$11+1,1))</f>
        <v>250.90038883668348</v>
      </c>
      <c r="BJ169" s="59">
        <f t="shared" si="146"/>
        <v>141.96132114475608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18.121429318826468</v>
      </c>
      <c r="BQ169" s="21">
        <f>EXP(-LN(2)/25)*BQ168+(1-EXP(-LN(2)/25))/(LN(2)/25)*Calculateur!BL169*Calculateur!BN169*VLOOKUP('Données projet'!$B$11,Paramètres!$A$1:$I$89,3,0)*0.475*44/12</f>
        <v>0.27421323276625115</v>
      </c>
      <c r="BR169" s="21">
        <f>EXP(-LN(2)/2)*BR168+(1-EXP(-LN(2)/2))/(LN(2)/2)*BL169*BO169*VLOOKUP('Données projet'!$B$11,Paramètres!$A$1:$I$89,3,0)*0.475*44/12</f>
        <v>1.2800614349395586E-20</v>
      </c>
      <c r="BS169" s="22">
        <f t="shared" si="169"/>
        <v>18.395642551592719</v>
      </c>
      <c r="BT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319</v>
      </c>
      <c r="BZ169" s="13">
        <f>BY169*VLOOKUP('Données projet'!$B$12,Paramètres!$A$1:$I$89,3,0)*VLOOKUP('Données projet'!$B$12,Paramètres!$A$1:$I$89,5,0)</f>
        <v>253.79640000000001</v>
      </c>
      <c r="CA169" s="13">
        <f t="shared" si="170"/>
        <v>61.39816832228076</v>
      </c>
      <c r="CB169" s="20">
        <f t="shared" si="171"/>
        <v>548.96387316130563</v>
      </c>
      <c r="CC169" s="59">
        <f t="shared" si="119"/>
        <v>842.29720649463889</v>
      </c>
      <c r="CD169" s="59">
        <f ca="1">AVERAGE(OFFSET($CC$3,0,0,'Données projet'!$E$12+1,1))-AVERAGE(OFFSET($H$3,0,0,'Données projet'!$E$12+1,1))</f>
        <v>279.49721661620544</v>
      </c>
      <c r="CE169" s="59">
        <f t="shared" si="148"/>
        <v>275.18739333988754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9.6823005931954356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9.6823005931954356</v>
      </c>
      <c r="CO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789</v>
      </c>
      <c r="CU169" s="17">
        <f>CT169*VLOOKUP('Données projet'!$B$13,Paramètres!$A$1:$I$89,3,0)*VLOOKUP('Données projet'!$B$13,Paramètres!$A$1:$I$89,5,0)</f>
        <v>389.76600000000002</v>
      </c>
      <c r="CV169" s="13">
        <f t="shared" si="173"/>
        <v>89.698759503620408</v>
      </c>
      <c r="CW169" s="20">
        <f t="shared" si="174"/>
        <v>835.06778946880547</v>
      </c>
      <c r="CX169" s="59">
        <f t="shared" si="122"/>
        <v>1128.4011228021388</v>
      </c>
      <c r="CY169" s="59">
        <f ca="1">AVERAGE(OFFSET($CX$3,0,0,'Données projet'!$E$13+1,1))-AVERAGE(OFFSET($H$3,0,0,'Données projet'!$E$13+1,1))</f>
        <v>396.27049617044378</v>
      </c>
      <c r="CZ169" s="59">
        <f t="shared" si="150"/>
        <v>335.2680289568774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26.246803311443056</v>
      </c>
      <c r="DG169" s="21">
        <f>EXP(-LN(2)/25)*DG168+(1-EXP(-LN(2)/25))/(LN(2)/25)*Calculateur!DB169*Calculateur!DD169*VLOOKUP('Données projet'!$B$13,Paramètres!$A$1:$I$89,3,0)*0.475*44/12</f>
        <v>1.0828516248076767</v>
      </c>
      <c r="DH169" s="21">
        <f>EXP(-LN(2)/2)*DH168+(1-EXP(-LN(2)/2))/(LN(2)/2)*DB169*DE169*VLOOKUP('Données projet'!$B$13,Paramètres!$A$1:$I$89,3,0)*0.475*44/12</f>
        <v>1.3028532044425517E-21</v>
      </c>
      <c r="DI169" s="22">
        <f t="shared" si="175"/>
        <v>27.329654936250733</v>
      </c>
      <c r="DJ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541.99999999999989</v>
      </c>
      <c r="DP169" s="17">
        <f>DO169*VLOOKUP('Données projet'!$B$14,Paramètres!$A$1:$I$89,3,0)*VLOOKUP('Données projet'!$B$14,Paramètres!$A$1:$I$89,5,0)</f>
        <v>310.02399999999994</v>
      </c>
      <c r="DQ169" s="13">
        <f t="shared" si="176"/>
        <v>73.27384230442388</v>
      </c>
      <c r="DR169" s="20">
        <f t="shared" si="177"/>
        <v>667.57707534687154</v>
      </c>
      <c r="DS169" s="59">
        <f t="shared" si="125"/>
        <v>960.91040868020491</v>
      </c>
      <c r="DT169" s="59">
        <f ca="1">AVERAGE(OFFSET($DS$3,0,0,'Données projet'!$E$14+1,1))-AVERAGE(OFFSET($H$3,0,0,'Données projet'!$E$14+1,1))</f>
        <v>307.43900954374504</v>
      </c>
      <c r="DU169" s="59">
        <f t="shared" si="152"/>
        <v>185.25270859048999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20.86998783924615</v>
      </c>
      <c r="EB169" s="21">
        <f>EXP(-LN(2)/25)*EB168+(1-EXP(-LN(2)/25))/(LN(2)/25)*Calculateur!DW169*Calculateur!DY169*VLOOKUP('Données projet'!$B$14,Paramètres!$A$1:$I$89,3,0)*0.475*44/12</f>
        <v>0.6155156604169949</v>
      </c>
      <c r="EC169" s="21">
        <f>EXP(-LN(2)/2)*EC168+(1-EXP(-LN(2)/2))/(LN(2)/2)*DW169*DZ169*VLOOKUP('Données projet'!$B$14,Paramètres!$A$1:$I$89,3,0)*0.475*44/12</f>
        <v>1.2342819831561011E-21</v>
      </c>
      <c r="ED169" s="22">
        <f t="shared" si="178"/>
        <v>21.485503499663146</v>
      </c>
      <c r="EE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401</v>
      </c>
      <c r="EK169" s="17">
        <f>EJ169*VLOOKUP('Données projet'!$B$15,Paramètres!$A$1:$I$89,3,0)*VLOOKUP('Données projet'!$B$15,Paramètres!$A$1:$I$89,5,0)</f>
        <v>250.22399999999999</v>
      </c>
      <c r="EL169" s="13">
        <f t="shared" si="179"/>
        <v>60.633904580527918</v>
      </c>
      <c r="EM169" s="20">
        <f t="shared" si="180"/>
        <v>541.41085047775289</v>
      </c>
      <c r="EN169" s="59">
        <f t="shared" si="128"/>
        <v>834.74418381108626</v>
      </c>
      <c r="EO169" s="59">
        <f ca="1">AVERAGE(OFFSET($EN$3,0,0,'Données projet'!$E$15+1,1))-AVERAGE(OFFSET($H$3,0,0,'Données projet'!$E$15+1,1))</f>
        <v>269.77739619445515</v>
      </c>
      <c r="EP169" s="59">
        <f t="shared" si="154"/>
        <v>347.56964743629885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9.3845871322783285</v>
      </c>
      <c r="EW169" s="21">
        <f>EXP(-LN(2)/25)*EW168+(1-EXP(-LN(2)/25))/(LN(2)/25)*Calculateur!ER169*Calculateur!ET169*VLOOKUP('Données projet'!$B$15,Paramètres!$A$1:$I$89,3,0)*0.475*44/12</f>
        <v>2.1133232739907708</v>
      </c>
      <c r="EX169" s="21">
        <f>EXP(-LN(2)/2)*EX168+(1-EXP(-LN(2)/2))/(LN(2)/2)*ER169*EU169*VLOOKUP('Données projet'!$B$15,Paramètres!$A$1:$I$89,3,0)*0.475*44/12</f>
        <v>8.4155589760643267E-23</v>
      </c>
      <c r="EY169" s="22">
        <f t="shared" si="181"/>
        <v>11.497910406269099</v>
      </c>
      <c r="EZ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367.99999999999972</v>
      </c>
      <c r="FF169" s="17">
        <f>FE169*VLOOKUP('Données projet'!$B$16,Paramètres!$A$1:$I$89,3,0)*VLOOKUP('Données projet'!$B$16,Paramètres!$A$1:$I$89,5,0)</f>
        <v>292.78079999999977</v>
      </c>
      <c r="FG169" s="13">
        <f t="shared" si="182"/>
        <v>69.660903052386217</v>
      </c>
      <c r="FH169" s="20">
        <f t="shared" si="183"/>
        <v>631.25263281623893</v>
      </c>
      <c r="FI169" s="59">
        <f t="shared" si="131"/>
        <v>924.58596614957219</v>
      </c>
      <c r="FJ169" s="59">
        <f ca="1">AVERAGE(OFFSET($FI$3,0,0,'Données projet'!$E$16+1,1))-AVERAGE(OFFSET($H$3,0,0,'Données projet'!$E$16+1,1))</f>
        <v>331.52724290297675</v>
      </c>
      <c r="FK169" s="59">
        <f t="shared" si="156"/>
        <v>322.79102610158054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11.223735243825249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11.223735243825249</v>
      </c>
      <c r="FU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852.00000000000011</v>
      </c>
      <c r="GA169" s="17">
        <f>FZ169*VLOOKUP('Données projet'!$B$17,Paramètres!$A$1:$I$89,3,0)*VLOOKUP('Données projet'!$B$17,Paramètres!$A$1:$I$89,5,0)</f>
        <v>420.88800000000009</v>
      </c>
      <c r="GB169" s="13">
        <f t="shared" si="185"/>
        <v>95.998759891259041</v>
      </c>
      <c r="GC169" s="20">
        <f t="shared" si="186"/>
        <v>900.24444014394294</v>
      </c>
      <c r="GD169" s="59">
        <f t="shared" si="134"/>
        <v>1193.5777734772762</v>
      </c>
      <c r="GE169" s="59">
        <f ca="1">AVERAGE(OFFSET($GD$3,0,0,'Données projet'!$E$17+1,1))-AVERAGE(OFFSET($H$3,0,0,'Données projet'!$E$17+1,1))</f>
        <v>434.08297999735811</v>
      </c>
      <c r="GF169" s="59">
        <f t="shared" si="158"/>
        <v>371.04090283546122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28.957917941070775</v>
      </c>
      <c r="GM169" s="21">
        <f>EXP(-LN(2)/25)*GM168+(1-EXP(-LN(2)/25))/(LN(2)/25)*Calculateur!GH169*Calculateur!GJ169*VLOOKUP('Données projet'!$B$17,Paramètres!$A$1:$I$89,3,0)*0.475*44/12</f>
        <v>1.1911367872884453</v>
      </c>
      <c r="GN169" s="21">
        <f>EXP(-LN(2)/2)*GN168+(1-EXP(-LN(2)/2))/(LN(2)/2)*GH169*GK169*VLOOKUP('Données projet'!$B$17,Paramètres!$A$1:$I$89,3,0)*0.475*44/12</f>
        <v>2.5464858086831679E-21</v>
      </c>
      <c r="GO169" s="21">
        <f t="shared" si="187"/>
        <v>30.149054728359221</v>
      </c>
      <c r="GP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614.99999999999989</v>
      </c>
      <c r="GV169" s="17">
        <f>GU169*VLOOKUP('Données projet'!$B$18,Paramètres!$A$1:$I$89,3,0)*VLOOKUP('Données projet'!$B$18,Paramètres!$A$1:$I$89,5,0)</f>
        <v>351.78</v>
      </c>
      <c r="GW169" s="13">
        <f t="shared" si="188"/>
        <v>81.92892344316067</v>
      </c>
      <c r="GX169" s="20">
        <f t="shared" si="189"/>
        <v>755.37637499683808</v>
      </c>
      <c r="GY169" s="59">
        <f t="shared" si="137"/>
        <v>1048.7097083301715</v>
      </c>
      <c r="GZ169" s="59">
        <f ca="1">AVERAGE(OFFSET($GY$3,0,0,'Données projet'!$E$18+1,1))-AVERAGE(OFFSET($H$3,0,0,'Données projet'!$E$18+1,1))</f>
        <v>362.57172983134313</v>
      </c>
      <c r="HA169" s="59">
        <f t="shared" si="160"/>
        <v>232.03250917542471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23.534979288337883</v>
      </c>
      <c r="HH169" s="21">
        <f>EXP(-LN(2)/25)*HH168+(1-EXP(-LN(2)/25))/(LN(2)/25)*Calculateur!HC169*Calculateur!HE169*VLOOKUP('Données projet'!$B$18,Paramètres!$A$1:$I$89,3,0)*0.475*44/12</f>
        <v>0.71810160381982824</v>
      </c>
      <c r="HI169" s="21">
        <f>EXP(-LN(2)/2)*HI168+(1-EXP(-LN(2)/2))/(LN(2)/2)*HC169*HF169*VLOOKUP('Données projet'!$B$18,Paramètres!$A$1:$I$89,3,0)*0.475*44/12</f>
        <v>2.5371351875986514E-21</v>
      </c>
      <c r="HJ169" s="22">
        <f t="shared" si="190"/>
        <v>24.253080892157712</v>
      </c>
    </row>
    <row r="170" spans="1:218" x14ac:dyDescent="0.3">
      <c r="A170" s="10">
        <f t="shared" si="161"/>
        <v>167</v>
      </c>
      <c r="B170" s="71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5">
        <f t="shared" si="110"/>
        <v>471.93100610402485</v>
      </c>
      <c r="I170" s="6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266.99999999999983</v>
      </c>
      <c r="O170" s="13">
        <f>N170*VLOOKUP('Données projet'!$B$9,Paramètres!$A$1:$I$89,3,0)*VLOOKUP('Données projet'!$B$9,Paramètres!$A$1:$I$89,5,0)</f>
        <v>212.42519999999985</v>
      </c>
      <c r="P170" s="13">
        <f t="shared" si="141"/>
        <v>52.465198231787184</v>
      </c>
      <c r="Q170" s="20">
        <f t="shared" si="162"/>
        <v>461.35077692036231</v>
      </c>
      <c r="R170" s="59">
        <f t="shared" si="109"/>
        <v>754.68411025369562</v>
      </c>
      <c r="S170" s="59">
        <f ca="1">AVERAGE(OFFSET($R$3,0,0,'Données projet'!$E$9+1,1))-AVERAGE(OFFSET($H$3,0,0,'Données projet'!$E$9+1,1))</f>
        <v>225.2323446080772</v>
      </c>
      <c r="T170" s="59">
        <f t="shared" si="142"/>
        <v>222.29030402759292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7.7460951608846278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7.7460951608846278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732.99999999999966</v>
      </c>
      <c r="AJ170" s="13">
        <f>AI170*VLOOKUP('Données projet'!$B$10,Paramètres!$A$1:$I$89,3,0)*VLOOKUP('Données projet'!$B$10,Paramètres!$A$1:$I$89,5,0)</f>
        <v>362.1019999999998</v>
      </c>
      <c r="AK170" s="13">
        <f t="shared" si="164"/>
        <v>84.049487364732272</v>
      </c>
      <c r="AL170" s="20">
        <f t="shared" si="165"/>
        <v>777.04717382690842</v>
      </c>
      <c r="AM170" s="59">
        <f t="shared" si="113"/>
        <v>1070.3805071602417</v>
      </c>
      <c r="AN170" s="59">
        <f ca="1">AVERAGE(OFFSET($AM$3,0,0,'Données projet'!$E$10+1,1))-AVERAGE(OFFSET($H$3,0,0,'Données projet'!$E$10+1,1))</f>
        <v>360.05819346986135</v>
      </c>
      <c r="AO170" s="59">
        <f t="shared" si="144"/>
        <v>300.47468388351081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23.196800055005593</v>
      </c>
      <c r="AV170" s="21">
        <f>EXP(-LN(2)/25)*AV169+(1-EXP(-LN(2)/25))/(LN(2)/25)*Calculateur!AQ170*Calculateur!AS170*VLOOKUP('Données projet'!$B$10,Paramètres!$A$1:$I$89,3,0)*0.475*44/12</f>
        <v>0.94791689116435562</v>
      </c>
      <c r="AW170" s="21">
        <f>EXP(-LN(2)/2)*AW169+(1-EXP(-LN(2)/2))/(LN(2)/2)*AQ170*AT170*VLOOKUP('Données projet'!$B$10,Paramètres!$A$1:$I$89,3,0)*0.475*44/12</f>
        <v>1.2562586396617514E-22</v>
      </c>
      <c r="AX170" s="21">
        <f t="shared" si="166"/>
        <v>24.144716946169947</v>
      </c>
      <c r="AY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465.00000000000006</v>
      </c>
      <c r="BE170" s="13">
        <f>BD170*VLOOKUP('Données projet'!$B$11,Paramètres!$A$1:$I$89,3,0)*VLOOKUP('Données projet'!$B$11,Paramètres!$A$1:$I$89,5,0)</f>
        <v>265.98</v>
      </c>
      <c r="BF170" s="13">
        <f t="shared" si="167"/>
        <v>63.995380422211589</v>
      </c>
      <c r="BG170" s="20">
        <f t="shared" si="168"/>
        <v>574.70712090201857</v>
      </c>
      <c r="BH170" s="59">
        <f t="shared" si="116"/>
        <v>868.04045423535194</v>
      </c>
      <c r="BI170" s="59">
        <f ca="1">AVERAGE(OFFSET($BH$3,0,0,'Données projet'!$E$11+1,1))-AVERAGE(OFFSET($H$3,0,0,'Données projet'!$E$11+1,1))</f>
        <v>250.90038883668348</v>
      </c>
      <c r="BJ170" s="59">
        <f t="shared" si="146"/>
        <v>141.96132114475608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17.766079142864776</v>
      </c>
      <c r="BQ170" s="21">
        <f>EXP(-LN(2)/25)*BQ169+(1-EXP(-LN(2)/25))/(LN(2)/25)*Calculateur!BL170*Calculateur!BN170*VLOOKUP('Données projet'!$B$11,Paramètres!$A$1:$I$89,3,0)*0.475*44/12</f>
        <v>0.26671485749601082</v>
      </c>
      <c r="BR170" s="21">
        <f>EXP(-LN(2)/2)*BR169+(1-EXP(-LN(2)/2))/(LN(2)/2)*BL170*BO170*VLOOKUP('Données projet'!$B$11,Paramètres!$A$1:$I$89,3,0)*0.475*44/12</f>
        <v>9.0514012098114451E-21</v>
      </c>
      <c r="BS170" s="22">
        <f t="shared" si="169"/>
        <v>18.032794000360788</v>
      </c>
      <c r="BT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319</v>
      </c>
      <c r="BZ170" s="13">
        <f>BY170*VLOOKUP('Données projet'!$B$12,Paramètres!$A$1:$I$89,3,0)*VLOOKUP('Données projet'!$B$12,Paramètres!$A$1:$I$89,5,0)</f>
        <v>253.79640000000001</v>
      </c>
      <c r="CA170" s="13">
        <f t="shared" si="170"/>
        <v>61.39816832228076</v>
      </c>
      <c r="CB170" s="20">
        <f t="shared" si="171"/>
        <v>548.96387316130563</v>
      </c>
      <c r="CC170" s="59">
        <f t="shared" si="119"/>
        <v>842.29720649463889</v>
      </c>
      <c r="CD170" s="59">
        <f ca="1">AVERAGE(OFFSET($CC$3,0,0,'Données projet'!$E$12+1,1))-AVERAGE(OFFSET($H$3,0,0,'Données projet'!$E$12+1,1))</f>
        <v>279.49721661620544</v>
      </c>
      <c r="CE170" s="59">
        <f t="shared" si="148"/>
        <v>275.18739333988754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9.4924365841831033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9.4924365841831033</v>
      </c>
      <c r="CO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789</v>
      </c>
      <c r="CU170" s="17">
        <f>CT170*VLOOKUP('Données projet'!$B$13,Paramètres!$A$1:$I$89,3,0)*VLOOKUP('Données projet'!$B$13,Paramètres!$A$1:$I$89,5,0)</f>
        <v>389.76600000000002</v>
      </c>
      <c r="CV170" s="13">
        <f t="shared" si="173"/>
        <v>89.698759503620408</v>
      </c>
      <c r="CW170" s="20">
        <f t="shared" si="174"/>
        <v>835.06778946880547</v>
      </c>
      <c r="CX170" s="59">
        <f t="shared" si="122"/>
        <v>1128.4011228021388</v>
      </c>
      <c r="CY170" s="59">
        <f ca="1">AVERAGE(OFFSET($CX$3,0,0,'Données projet'!$E$13+1,1))-AVERAGE(OFFSET($H$3,0,0,'Données projet'!$E$13+1,1))</f>
        <v>396.27049617044378</v>
      </c>
      <c r="CZ170" s="59">
        <f t="shared" si="150"/>
        <v>335.2680289568774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25.732119507474923</v>
      </c>
      <c r="DG170" s="21">
        <f>EXP(-LN(2)/25)*DG169+(1-EXP(-LN(2)/25))/(LN(2)/25)*Calculateur!DB170*Calculateur!DD170*VLOOKUP('Données projet'!$B$13,Paramètres!$A$1:$I$89,3,0)*0.475*44/12</f>
        <v>1.0532409901826187</v>
      </c>
      <c r="DH170" s="21">
        <f>EXP(-LN(2)/2)*DH169+(1-EXP(-LN(2)/2))/(LN(2)/2)*DB170*DE170*VLOOKUP('Données projet'!$B$13,Paramètres!$A$1:$I$89,3,0)*0.475*44/12</f>
        <v>9.2125633575195167E-22</v>
      </c>
      <c r="DI170" s="22">
        <f t="shared" si="175"/>
        <v>26.785360497657543</v>
      </c>
      <c r="DJ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541.99999999999989</v>
      </c>
      <c r="DP170" s="17">
        <f>DO170*VLOOKUP('Données projet'!$B$14,Paramètres!$A$1:$I$89,3,0)*VLOOKUP('Données projet'!$B$14,Paramètres!$A$1:$I$89,5,0)</f>
        <v>310.02399999999994</v>
      </c>
      <c r="DQ170" s="13">
        <f t="shared" si="176"/>
        <v>73.27384230442388</v>
      </c>
      <c r="DR170" s="20">
        <f t="shared" si="177"/>
        <v>667.57707534687154</v>
      </c>
      <c r="DS170" s="59">
        <f t="shared" si="125"/>
        <v>960.91040868020491</v>
      </c>
      <c r="DT170" s="59">
        <f ca="1">AVERAGE(OFFSET($DS$3,0,0,'Données projet'!$E$14+1,1))-AVERAGE(OFFSET($H$3,0,0,'Données projet'!$E$14+1,1))</f>
        <v>307.43900954374504</v>
      </c>
      <c r="DU170" s="59">
        <f t="shared" si="152"/>
        <v>185.25270859048999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20.460740107154187</v>
      </c>
      <c r="EB170" s="21">
        <f>EXP(-LN(2)/25)*EB169+(1-EXP(-LN(2)/25))/(LN(2)/25)*Calculateur!DW170*Calculateur!DY170*VLOOKUP('Données projet'!$B$14,Paramètres!$A$1:$I$89,3,0)*0.475*44/12</f>
        <v>0.59868435231433037</v>
      </c>
      <c r="EC170" s="21">
        <f>EXP(-LN(2)/2)*EC169+(1-EXP(-LN(2)/2))/(LN(2)/2)*DW170*DZ170*VLOOKUP('Données projet'!$B$14,Paramètres!$A$1:$I$89,3,0)*0.475*44/12</f>
        <v>8.7276916018605908E-22</v>
      </c>
      <c r="ED170" s="22">
        <f t="shared" si="178"/>
        <v>21.059424459468516</v>
      </c>
      <c r="EE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401</v>
      </c>
      <c r="EK170" s="17">
        <f>EJ170*VLOOKUP('Données projet'!$B$15,Paramètres!$A$1:$I$89,3,0)*VLOOKUP('Données projet'!$B$15,Paramètres!$A$1:$I$89,5,0)</f>
        <v>250.22399999999999</v>
      </c>
      <c r="EL170" s="13">
        <f t="shared" si="179"/>
        <v>60.633904580527918</v>
      </c>
      <c r="EM170" s="20">
        <f t="shared" si="180"/>
        <v>541.41085047775289</v>
      </c>
      <c r="EN170" s="59">
        <f t="shared" si="128"/>
        <v>834.74418381108626</v>
      </c>
      <c r="EO170" s="59">
        <f ca="1">AVERAGE(OFFSET($EN$3,0,0,'Données projet'!$E$15+1,1))-AVERAGE(OFFSET($H$3,0,0,'Données projet'!$E$15+1,1))</f>
        <v>269.77739619445515</v>
      </c>
      <c r="EP170" s="59">
        <f t="shared" si="154"/>
        <v>347.56964743629885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9.2005611026472991</v>
      </c>
      <c r="EW170" s="21">
        <f>EXP(-LN(2)/25)*EW169+(1-EXP(-LN(2)/25))/(LN(2)/25)*Calculateur!ER170*Calculateur!ET170*VLOOKUP('Données projet'!$B$15,Paramètres!$A$1:$I$89,3,0)*0.475*44/12</f>
        <v>2.0555343379286524</v>
      </c>
      <c r="EX170" s="21">
        <f>EXP(-LN(2)/2)*EX169+(1-EXP(-LN(2)/2))/(LN(2)/2)*ER170*EU170*VLOOKUP('Données projet'!$B$15,Paramètres!$A$1:$I$89,3,0)*0.475*44/12</f>
        <v>5.9506988194504036E-23</v>
      </c>
      <c r="EY170" s="22">
        <f t="shared" si="181"/>
        <v>11.256095440575951</v>
      </c>
      <c r="EZ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367.99999999999972</v>
      </c>
      <c r="FF170" s="17">
        <f>FE170*VLOOKUP('Données projet'!$B$16,Paramètres!$A$1:$I$89,3,0)*VLOOKUP('Données projet'!$B$16,Paramètres!$A$1:$I$89,5,0)</f>
        <v>292.78079999999977</v>
      </c>
      <c r="FG170" s="13">
        <f t="shared" si="182"/>
        <v>69.660903052386217</v>
      </c>
      <c r="FH170" s="20">
        <f t="shared" si="183"/>
        <v>631.25263281623893</v>
      </c>
      <c r="FI170" s="59">
        <f t="shared" si="131"/>
        <v>924.58596614957219</v>
      </c>
      <c r="FJ170" s="59">
        <f ca="1">AVERAGE(OFFSET($FI$3,0,0,'Données projet'!$E$16+1,1))-AVERAGE(OFFSET($H$3,0,0,'Données projet'!$E$16+1,1))</f>
        <v>331.52724290297675</v>
      </c>
      <c r="FK170" s="59">
        <f t="shared" si="156"/>
        <v>322.79102610158054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11.003644641496368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11.003644641496368</v>
      </c>
      <c r="FU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852.00000000000011</v>
      </c>
      <c r="GA170" s="17">
        <f>FZ170*VLOOKUP('Données projet'!$B$17,Paramètres!$A$1:$I$89,3,0)*VLOOKUP('Données projet'!$B$17,Paramètres!$A$1:$I$89,5,0)</f>
        <v>420.88800000000009</v>
      </c>
      <c r="GB170" s="13">
        <f t="shared" si="185"/>
        <v>95.998759891259041</v>
      </c>
      <c r="GC170" s="20">
        <f t="shared" si="186"/>
        <v>900.24444014394294</v>
      </c>
      <c r="GD170" s="59">
        <f t="shared" si="134"/>
        <v>1193.5777734772762</v>
      </c>
      <c r="GE170" s="59">
        <f ca="1">AVERAGE(OFFSET($GD$3,0,0,'Données projet'!$E$17+1,1))-AVERAGE(OFFSET($H$3,0,0,'Données projet'!$E$17+1,1))</f>
        <v>434.08297999735811</v>
      </c>
      <c r="GF170" s="59">
        <f t="shared" si="158"/>
        <v>371.04090283546122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28.390070832832286</v>
      </c>
      <c r="GM170" s="21">
        <f>EXP(-LN(2)/25)*GM169+(1-EXP(-LN(2)/25))/(LN(2)/25)*Calculateur!GH170*Calculateur!GJ170*VLOOKUP('Données projet'!$B$17,Paramètres!$A$1:$I$89,3,0)*0.475*44/12</f>
        <v>1.1585650892008814</v>
      </c>
      <c r="GN170" s="21">
        <f>EXP(-LN(2)/2)*GN169+(1-EXP(-LN(2)/2))/(LN(2)/2)*GH170*GK170*VLOOKUP('Données projet'!$B$17,Paramètres!$A$1:$I$89,3,0)*0.475*44/12</f>
        <v>1.8006373835151773E-21</v>
      </c>
      <c r="GO170" s="21">
        <f t="shared" si="187"/>
        <v>29.548635922033167</v>
      </c>
      <c r="GP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614.99999999999989</v>
      </c>
      <c r="GV170" s="17">
        <f>GU170*VLOOKUP('Données projet'!$B$18,Paramètres!$A$1:$I$89,3,0)*VLOOKUP('Données projet'!$B$18,Paramètres!$A$1:$I$89,5,0)</f>
        <v>351.78</v>
      </c>
      <c r="GW170" s="13">
        <f t="shared" si="188"/>
        <v>81.92892344316067</v>
      </c>
      <c r="GX170" s="20">
        <f t="shared" si="189"/>
        <v>755.37637499683808</v>
      </c>
      <c r="GY170" s="59">
        <f t="shared" si="137"/>
        <v>1048.7097083301715</v>
      </c>
      <c r="GZ170" s="59">
        <f ca="1">AVERAGE(OFFSET($GY$3,0,0,'Données projet'!$E$18+1,1))-AVERAGE(OFFSET($H$3,0,0,'Données projet'!$E$18+1,1))</f>
        <v>362.57172983134313</v>
      </c>
      <c r="HA170" s="59">
        <f t="shared" si="160"/>
        <v>232.03250917542471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23.073472699413511</v>
      </c>
      <c r="HH170" s="21">
        <f>EXP(-LN(2)/25)*HH169+(1-EXP(-LN(2)/25))/(LN(2)/25)*Calculateur!HC170*Calculateur!HE170*VLOOKUP('Données projet'!$B$18,Paramètres!$A$1:$I$89,3,0)*0.475*44/12</f>
        <v>0.69846507770005295</v>
      </c>
      <c r="HI170" s="21">
        <f>EXP(-LN(2)/2)*HI169+(1-EXP(-LN(2)/2))/(LN(2)/2)*HC170*HF170*VLOOKUP('Données projet'!$B$18,Paramètres!$A$1:$I$89,3,0)*0.475*44/12</f>
        <v>1.7940254959380098E-21</v>
      </c>
      <c r="HJ170" s="22">
        <f t="shared" si="190"/>
        <v>23.771937777113564</v>
      </c>
    </row>
    <row r="171" spans="1:218" x14ac:dyDescent="0.3">
      <c r="A171" s="10">
        <f t="shared" si="161"/>
        <v>168</v>
      </c>
      <c r="B171" s="71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5">
        <f t="shared" si="110"/>
        <v>472.97341153674216</v>
      </c>
      <c r="I171" s="6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266.99999999999983</v>
      </c>
      <c r="O171" s="13">
        <f>N171*VLOOKUP('Données projet'!$B$9,Paramètres!$A$1:$I$89,3,0)*VLOOKUP('Données projet'!$B$9,Paramètres!$A$1:$I$89,5,0)</f>
        <v>212.42519999999985</v>
      </c>
      <c r="P171" s="13">
        <f t="shared" si="141"/>
        <v>52.465198231787184</v>
      </c>
      <c r="Q171" s="20">
        <f t="shared" si="162"/>
        <v>461.35077692036231</v>
      </c>
      <c r="R171" s="59">
        <f t="shared" si="109"/>
        <v>754.68411025369562</v>
      </c>
      <c r="S171" s="59">
        <f ca="1">AVERAGE(OFFSET($R$3,0,0,'Données projet'!$E$9+1,1))-AVERAGE(OFFSET($H$3,0,0,'Données projet'!$E$9+1,1))</f>
        <v>225.2323446080772</v>
      </c>
      <c r="T171" s="59">
        <f t="shared" si="142"/>
        <v>222.29030402759292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7.5941989594312078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7.5941989594312078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732.99999999999966</v>
      </c>
      <c r="AJ171" s="13">
        <f>AI171*VLOOKUP('Données projet'!$B$10,Paramètres!$A$1:$I$89,3,0)*VLOOKUP('Données projet'!$B$10,Paramètres!$A$1:$I$89,5,0)</f>
        <v>362.1019999999998</v>
      </c>
      <c r="AK171" s="13">
        <f t="shared" si="164"/>
        <v>84.049487364732272</v>
      </c>
      <c r="AL171" s="20">
        <f t="shared" si="165"/>
        <v>777.04717382690842</v>
      </c>
      <c r="AM171" s="59">
        <f t="shared" si="113"/>
        <v>1070.3805071602417</v>
      </c>
      <c r="AN171" s="59">
        <f ca="1">AVERAGE(OFFSET($AM$3,0,0,'Données projet'!$E$10+1,1))-AVERAGE(OFFSET($H$3,0,0,'Données projet'!$E$10+1,1))</f>
        <v>360.05819346986135</v>
      </c>
      <c r="AO171" s="59">
        <f t="shared" si="144"/>
        <v>300.47468388351081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22.741924954577904</v>
      </c>
      <c r="AV171" s="21">
        <f>EXP(-LN(2)/25)*AV170+(1-EXP(-LN(2)/25))/(LN(2)/25)*Calculateur!AQ171*Calculateur!AS171*VLOOKUP('Données projet'!$B$10,Paramètres!$A$1:$I$89,3,0)*0.475*44/12</f>
        <v>0.92199605392668349</v>
      </c>
      <c r="AW171" s="21">
        <f>EXP(-LN(2)/2)*AW170+(1-EXP(-LN(2)/2))/(LN(2)/2)*AQ171*AT171*VLOOKUP('Données projet'!$B$10,Paramètres!$A$1:$I$89,3,0)*0.475*44/12</f>
        <v>8.8830900302901195E-23</v>
      </c>
      <c r="AX171" s="21">
        <f t="shared" si="166"/>
        <v>23.663921008504587</v>
      </c>
      <c r="AY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465.00000000000006</v>
      </c>
      <c r="BE171" s="13">
        <f>BD171*VLOOKUP('Données projet'!$B$11,Paramètres!$A$1:$I$89,3,0)*VLOOKUP('Données projet'!$B$11,Paramètres!$A$1:$I$89,5,0)</f>
        <v>265.98</v>
      </c>
      <c r="BF171" s="13">
        <f t="shared" si="167"/>
        <v>63.995380422211589</v>
      </c>
      <c r="BG171" s="20">
        <f t="shared" si="168"/>
        <v>574.70712090201857</v>
      </c>
      <c r="BH171" s="59">
        <f t="shared" si="116"/>
        <v>868.04045423535194</v>
      </c>
      <c r="BI171" s="59">
        <f ca="1">AVERAGE(OFFSET($BH$3,0,0,'Données projet'!$E$11+1,1))-AVERAGE(OFFSET($H$3,0,0,'Données projet'!$E$11+1,1))</f>
        <v>250.90038883668348</v>
      </c>
      <c r="BJ171" s="59">
        <f t="shared" si="146"/>
        <v>141.96132114475608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17.417697167111484</v>
      </c>
      <c r="BQ171" s="21">
        <f>EXP(-LN(2)/25)*BQ170+(1-EXP(-LN(2)/25))/(LN(2)/25)*Calculateur!BL171*Calculateur!BN171*VLOOKUP('Données projet'!$B$11,Paramètres!$A$1:$I$89,3,0)*0.475*44/12</f>
        <v>0.25942152569185761</v>
      </c>
      <c r="BR171" s="21">
        <f>EXP(-LN(2)/2)*BR170+(1-EXP(-LN(2)/2))/(LN(2)/2)*BL171*BO171*VLOOKUP('Données projet'!$B$11,Paramètres!$A$1:$I$89,3,0)*0.475*44/12</f>
        <v>6.4003071746977931E-21</v>
      </c>
      <c r="BS171" s="22">
        <f t="shared" si="169"/>
        <v>17.67711869280334</v>
      </c>
      <c r="BT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319</v>
      </c>
      <c r="BZ171" s="13">
        <f>BY171*VLOOKUP('Données projet'!$B$12,Paramètres!$A$1:$I$89,3,0)*VLOOKUP('Données projet'!$B$12,Paramètres!$A$1:$I$89,5,0)</f>
        <v>253.79640000000001</v>
      </c>
      <c r="CA171" s="13">
        <f t="shared" si="170"/>
        <v>61.39816832228076</v>
      </c>
      <c r="CB171" s="20">
        <f t="shared" si="171"/>
        <v>548.96387316130563</v>
      </c>
      <c r="CC171" s="59">
        <f t="shared" si="119"/>
        <v>842.29720649463889</v>
      </c>
      <c r="CD171" s="59">
        <f ca="1">AVERAGE(OFFSET($CC$3,0,0,'Données projet'!$E$12+1,1))-AVERAGE(OFFSET($H$3,0,0,'Données projet'!$E$12+1,1))</f>
        <v>279.49721661620544</v>
      </c>
      <c r="CE171" s="59">
        <f t="shared" si="148"/>
        <v>275.18739333988754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9.3062956925818927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9.3062956925818927</v>
      </c>
      <c r="CO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789</v>
      </c>
      <c r="CU171" s="17">
        <f>CT171*VLOOKUP('Données projet'!$B$13,Paramètres!$A$1:$I$89,3,0)*VLOOKUP('Données projet'!$B$13,Paramètres!$A$1:$I$89,5,0)</f>
        <v>389.76600000000002</v>
      </c>
      <c r="CV171" s="13">
        <f t="shared" si="173"/>
        <v>89.698759503620408</v>
      </c>
      <c r="CW171" s="20">
        <f t="shared" si="174"/>
        <v>835.06778946880547</v>
      </c>
      <c r="CX171" s="59">
        <f t="shared" si="122"/>
        <v>1128.4011228021388</v>
      </c>
      <c r="CY171" s="59">
        <f ca="1">AVERAGE(OFFSET($CX$3,0,0,'Données projet'!$E$13+1,1))-AVERAGE(OFFSET($H$3,0,0,'Données projet'!$E$13+1,1))</f>
        <v>396.27049617044378</v>
      </c>
      <c r="CZ171" s="59">
        <f t="shared" si="150"/>
        <v>335.2680289568774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25.227528338976484</v>
      </c>
      <c r="DG171" s="21">
        <f>EXP(-LN(2)/25)*DG170+(1-EXP(-LN(2)/25))/(LN(2)/25)*Calculateur!DB171*Calculateur!DD171*VLOOKUP('Données projet'!$B$13,Paramètres!$A$1:$I$89,3,0)*0.475*44/12</f>
        <v>1.0244400599185386</v>
      </c>
      <c r="DH171" s="21">
        <f>EXP(-LN(2)/2)*DH170+(1-EXP(-LN(2)/2))/(LN(2)/2)*DB171*DE171*VLOOKUP('Données projet'!$B$13,Paramètres!$A$1:$I$89,3,0)*0.475*44/12</f>
        <v>6.5142660222127585E-22</v>
      </c>
      <c r="DI171" s="22">
        <f t="shared" si="175"/>
        <v>26.251968398895023</v>
      </c>
      <c r="DJ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541.99999999999989</v>
      </c>
      <c r="DP171" s="17">
        <f>DO171*VLOOKUP('Données projet'!$B$14,Paramètres!$A$1:$I$89,3,0)*VLOOKUP('Données projet'!$B$14,Paramètres!$A$1:$I$89,5,0)</f>
        <v>310.02399999999994</v>
      </c>
      <c r="DQ171" s="13">
        <f t="shared" si="176"/>
        <v>73.27384230442388</v>
      </c>
      <c r="DR171" s="20">
        <f t="shared" si="177"/>
        <v>667.57707534687154</v>
      </c>
      <c r="DS171" s="59">
        <f t="shared" si="125"/>
        <v>960.91040868020491</v>
      </c>
      <c r="DT171" s="59">
        <f ca="1">AVERAGE(OFFSET($DS$3,0,0,'Données projet'!$E$14+1,1))-AVERAGE(OFFSET($H$3,0,0,'Données projet'!$E$14+1,1))</f>
        <v>307.43900954374504</v>
      </c>
      <c r="DU171" s="59">
        <f t="shared" si="152"/>
        <v>185.25270859048999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20.059517473472081</v>
      </c>
      <c r="EB171" s="21">
        <f>EXP(-LN(2)/25)*EB170+(1-EXP(-LN(2)/25))/(LN(2)/25)*Calculateur!DW171*Calculateur!DY171*VLOOKUP('Données projet'!$B$14,Paramètres!$A$1:$I$89,3,0)*0.475*44/12</f>
        <v>0.58231329721685321</v>
      </c>
      <c r="EC171" s="21">
        <f>EXP(-LN(2)/2)*EC170+(1-EXP(-LN(2)/2))/(LN(2)/2)*DW171*DZ171*VLOOKUP('Données projet'!$B$14,Paramètres!$A$1:$I$89,3,0)*0.475*44/12</f>
        <v>6.1714099157805053E-22</v>
      </c>
      <c r="ED171" s="22">
        <f t="shared" si="178"/>
        <v>20.641830770688934</v>
      </c>
      <c r="EE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401</v>
      </c>
      <c r="EK171" s="17">
        <f>EJ171*VLOOKUP('Données projet'!$B$15,Paramètres!$A$1:$I$89,3,0)*VLOOKUP('Données projet'!$B$15,Paramètres!$A$1:$I$89,5,0)</f>
        <v>250.22399999999999</v>
      </c>
      <c r="EL171" s="13">
        <f t="shared" si="179"/>
        <v>60.633904580527918</v>
      </c>
      <c r="EM171" s="20">
        <f t="shared" si="180"/>
        <v>541.41085047775289</v>
      </c>
      <c r="EN171" s="59">
        <f t="shared" si="128"/>
        <v>834.74418381108626</v>
      </c>
      <c r="EO171" s="59">
        <f ca="1">AVERAGE(OFFSET($EN$3,0,0,'Données projet'!$E$15+1,1))-AVERAGE(OFFSET($H$3,0,0,'Données projet'!$E$15+1,1))</f>
        <v>269.77739619445515</v>
      </c>
      <c r="EP171" s="59">
        <f t="shared" si="154"/>
        <v>347.56964743629885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9.0201437112125404</v>
      </c>
      <c r="EW171" s="21">
        <f>EXP(-LN(2)/25)*EW170+(1-EXP(-LN(2)/25))/(LN(2)/25)*Calculateur!ER171*Calculateur!ET171*VLOOKUP('Données projet'!$B$15,Paramètres!$A$1:$I$89,3,0)*0.475*44/12</f>
        <v>1.9993256433621405</v>
      </c>
      <c r="EX171" s="21">
        <f>EXP(-LN(2)/2)*EX170+(1-EXP(-LN(2)/2))/(LN(2)/2)*ER171*EU171*VLOOKUP('Données projet'!$B$15,Paramètres!$A$1:$I$89,3,0)*0.475*44/12</f>
        <v>4.2077794880321633E-23</v>
      </c>
      <c r="EY171" s="22">
        <f t="shared" si="181"/>
        <v>11.019469354574682</v>
      </c>
      <c r="EZ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367.99999999999972</v>
      </c>
      <c r="FF171" s="17">
        <f>FE171*VLOOKUP('Données projet'!$B$16,Paramètres!$A$1:$I$89,3,0)*VLOOKUP('Données projet'!$B$16,Paramètres!$A$1:$I$89,5,0)</f>
        <v>292.78079999999977</v>
      </c>
      <c r="FG171" s="13">
        <f t="shared" si="182"/>
        <v>69.660903052386217</v>
      </c>
      <c r="FH171" s="20">
        <f t="shared" si="183"/>
        <v>631.25263281623893</v>
      </c>
      <c r="FI171" s="59">
        <f t="shared" si="131"/>
        <v>924.58596614957219</v>
      </c>
      <c r="FJ171" s="59">
        <f ca="1">AVERAGE(OFFSET($FI$3,0,0,'Données projet'!$E$16+1,1))-AVERAGE(OFFSET($H$3,0,0,'Données projet'!$E$16+1,1))</f>
        <v>331.52724290297675</v>
      </c>
      <c r="FK171" s="59">
        <f t="shared" si="156"/>
        <v>322.79102610158054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10.787869881637144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10.787869881637144</v>
      </c>
      <c r="FU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852.00000000000011</v>
      </c>
      <c r="GA171" s="17">
        <f>FZ171*VLOOKUP('Données projet'!$B$17,Paramètres!$A$1:$I$89,3,0)*VLOOKUP('Données projet'!$B$17,Paramètres!$A$1:$I$89,5,0)</f>
        <v>420.88800000000009</v>
      </c>
      <c r="GB171" s="13">
        <f t="shared" si="185"/>
        <v>95.998759891259041</v>
      </c>
      <c r="GC171" s="20">
        <f t="shared" si="186"/>
        <v>900.24444014394294</v>
      </c>
      <c r="GD171" s="59">
        <f t="shared" si="134"/>
        <v>1193.5777734772762</v>
      </c>
      <c r="GE171" s="59">
        <f ca="1">AVERAGE(OFFSET($GD$3,0,0,'Données projet'!$E$17+1,1))-AVERAGE(OFFSET($H$3,0,0,'Données projet'!$E$17+1,1))</f>
        <v>434.08297999735811</v>
      </c>
      <c r="GF171" s="59">
        <f t="shared" si="158"/>
        <v>371.04090283546122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27.833358860033819</v>
      </c>
      <c r="GM171" s="21">
        <f>EXP(-LN(2)/25)*GM170+(1-EXP(-LN(2)/25))/(LN(2)/25)*Calculateur!GH171*Calculateur!GJ171*VLOOKUP('Données projet'!$B$17,Paramètres!$A$1:$I$89,3,0)*0.475*44/12</f>
        <v>1.1268840659103931</v>
      </c>
      <c r="GN171" s="21">
        <f>EXP(-LN(2)/2)*GN170+(1-EXP(-LN(2)/2))/(LN(2)/2)*GH171*GK171*VLOOKUP('Données projet'!$B$17,Paramètres!$A$1:$I$89,3,0)*0.475*44/12</f>
        <v>1.273242904341584E-21</v>
      </c>
      <c r="GO171" s="21">
        <f t="shared" si="187"/>
        <v>28.960242925944211</v>
      </c>
      <c r="GP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614.99999999999989</v>
      </c>
      <c r="GV171" s="17">
        <f>GU171*VLOOKUP('Données projet'!$B$18,Paramètres!$A$1:$I$89,3,0)*VLOOKUP('Données projet'!$B$18,Paramètres!$A$1:$I$89,5,0)</f>
        <v>351.78</v>
      </c>
      <c r="GW171" s="13">
        <f t="shared" si="188"/>
        <v>81.92892344316067</v>
      </c>
      <c r="GX171" s="20">
        <f t="shared" si="189"/>
        <v>755.37637499683808</v>
      </c>
      <c r="GY171" s="59">
        <f t="shared" si="137"/>
        <v>1048.7097083301715</v>
      </c>
      <c r="GZ171" s="59">
        <f ca="1">AVERAGE(OFFSET($GY$3,0,0,'Données projet'!$E$18+1,1))-AVERAGE(OFFSET($H$3,0,0,'Données projet'!$E$18+1,1))</f>
        <v>362.57172983134313</v>
      </c>
      <c r="HA171" s="59">
        <f t="shared" si="160"/>
        <v>232.03250917542471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22.621015973206724</v>
      </c>
      <c r="HH171" s="21">
        <f>EXP(-LN(2)/25)*HH170+(1-EXP(-LN(2)/25))/(LN(2)/25)*Calculateur!HC171*Calculateur!HE171*VLOOKUP('Données projet'!$B$18,Paramètres!$A$1:$I$89,3,0)*0.475*44/12</f>
        <v>0.67936551341966289</v>
      </c>
      <c r="HI171" s="21">
        <f>EXP(-LN(2)/2)*HI170+(1-EXP(-LN(2)/2))/(LN(2)/2)*HC171*HF171*VLOOKUP('Données projet'!$B$18,Paramètres!$A$1:$I$89,3,0)*0.475*44/12</f>
        <v>1.2685675937993257E-21</v>
      </c>
      <c r="HJ171" s="22">
        <f t="shared" si="190"/>
        <v>23.300381486626385</v>
      </c>
    </row>
    <row r="172" spans="1:218" x14ac:dyDescent="0.3">
      <c r="A172" s="10">
        <f t="shared" si="161"/>
        <v>169</v>
      </c>
      <c r="B172" s="71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5">
        <f t="shared" si="110"/>
        <v>474.0156752149349</v>
      </c>
      <c r="I172" s="6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266.99999999999983</v>
      </c>
      <c r="O172" s="13">
        <f>N172*VLOOKUP('Données projet'!$B$9,Paramètres!$A$1:$I$89,3,0)*VLOOKUP('Données projet'!$B$9,Paramètres!$A$1:$I$89,5,0)</f>
        <v>212.42519999999985</v>
      </c>
      <c r="P172" s="13">
        <f t="shared" si="141"/>
        <v>52.465198231787184</v>
      </c>
      <c r="Q172" s="20">
        <f t="shared" si="162"/>
        <v>461.35077692036231</v>
      </c>
      <c r="R172" s="59">
        <f t="shared" si="109"/>
        <v>754.68411025369562</v>
      </c>
      <c r="S172" s="59">
        <f ca="1">AVERAGE(OFFSET($R$3,0,0,'Données projet'!$E$9+1,1))-AVERAGE(OFFSET($H$3,0,0,'Données projet'!$E$9+1,1))</f>
        <v>225.2323446080772</v>
      </c>
      <c r="T172" s="59">
        <f t="shared" si="142"/>
        <v>222.29030402759292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7.4452813498407551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7.4452813498407551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732.99999999999966</v>
      </c>
      <c r="AJ172" s="13">
        <f>AI172*VLOOKUP('Données projet'!$B$10,Paramètres!$A$1:$I$89,3,0)*VLOOKUP('Données projet'!$B$10,Paramètres!$A$1:$I$89,5,0)</f>
        <v>362.1019999999998</v>
      </c>
      <c r="AK172" s="13">
        <f t="shared" si="164"/>
        <v>84.049487364732272</v>
      </c>
      <c r="AL172" s="20">
        <f t="shared" si="165"/>
        <v>777.04717382690842</v>
      </c>
      <c r="AM172" s="59">
        <f t="shared" si="113"/>
        <v>1070.3805071602417</v>
      </c>
      <c r="AN172" s="59">
        <f ca="1">AVERAGE(OFFSET($AM$3,0,0,'Données projet'!$E$10+1,1))-AVERAGE(OFFSET($H$3,0,0,'Données projet'!$E$10+1,1))</f>
        <v>360.05819346986135</v>
      </c>
      <c r="AO172" s="59">
        <f t="shared" si="144"/>
        <v>300.47468388351081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22.295969677423187</v>
      </c>
      <c r="AV172" s="21">
        <f>EXP(-LN(2)/25)*AV171+(1-EXP(-LN(2)/25))/(LN(2)/25)*Calculateur!AQ172*Calculateur!AS172*VLOOKUP('Données projet'!$B$10,Paramètres!$A$1:$I$89,3,0)*0.475*44/12</f>
        <v>0.89678402334639307</v>
      </c>
      <c r="AW172" s="21">
        <f>EXP(-LN(2)/2)*AW171+(1-EXP(-LN(2)/2))/(LN(2)/2)*AQ172*AT172*VLOOKUP('Données projet'!$B$10,Paramètres!$A$1:$I$89,3,0)*0.475*44/12</f>
        <v>6.2812931983087572E-23</v>
      </c>
      <c r="AX172" s="21">
        <f t="shared" si="166"/>
        <v>23.192753700769579</v>
      </c>
      <c r="AY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465.00000000000006</v>
      </c>
      <c r="BE172" s="13">
        <f>BD172*VLOOKUP('Données projet'!$B$11,Paramètres!$A$1:$I$89,3,0)*VLOOKUP('Données projet'!$B$11,Paramètres!$A$1:$I$89,5,0)</f>
        <v>265.98</v>
      </c>
      <c r="BF172" s="13">
        <f t="shared" si="167"/>
        <v>63.995380422211589</v>
      </c>
      <c r="BG172" s="20">
        <f t="shared" si="168"/>
        <v>574.70712090201857</v>
      </c>
      <c r="BH172" s="59">
        <f t="shared" si="116"/>
        <v>868.04045423535194</v>
      </c>
      <c r="BI172" s="59">
        <f ca="1">AVERAGE(OFFSET($BH$3,0,0,'Données projet'!$E$11+1,1))-AVERAGE(OFFSET($H$3,0,0,'Données projet'!$E$11+1,1))</f>
        <v>250.90038883668348</v>
      </c>
      <c r="BJ172" s="59">
        <f t="shared" si="146"/>
        <v>141.96132114475608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17.076146749410693</v>
      </c>
      <c r="BQ172" s="21">
        <f>EXP(-LN(2)/25)*BQ171+(1-EXP(-LN(2)/25))/(LN(2)/25)*Calculateur!BL172*Calculateur!BN172*VLOOKUP('Données projet'!$B$11,Paramètres!$A$1:$I$89,3,0)*0.475*44/12</f>
        <v>0.25232763042942863</v>
      </c>
      <c r="BR172" s="21">
        <f>EXP(-LN(2)/2)*BR171+(1-EXP(-LN(2)/2))/(LN(2)/2)*BL172*BO172*VLOOKUP('Données projet'!$B$11,Paramètres!$A$1:$I$89,3,0)*0.475*44/12</f>
        <v>4.5257006049057226E-21</v>
      </c>
      <c r="BS172" s="22">
        <f t="shared" si="169"/>
        <v>17.32847437984012</v>
      </c>
      <c r="BT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319</v>
      </c>
      <c r="BZ172" s="13">
        <f>BY172*VLOOKUP('Données projet'!$B$12,Paramètres!$A$1:$I$89,3,0)*VLOOKUP('Données projet'!$B$12,Paramètres!$A$1:$I$89,5,0)</f>
        <v>253.79640000000001</v>
      </c>
      <c r="CA172" s="13">
        <f t="shared" si="170"/>
        <v>61.39816832228076</v>
      </c>
      <c r="CB172" s="20">
        <f t="shared" si="171"/>
        <v>548.96387316130563</v>
      </c>
      <c r="CC172" s="59">
        <f t="shared" si="119"/>
        <v>842.29720649463889</v>
      </c>
      <c r="CD172" s="59">
        <f ca="1">AVERAGE(OFFSET($CC$3,0,0,'Données projet'!$E$12+1,1))-AVERAGE(OFFSET($H$3,0,0,'Données projet'!$E$12+1,1))</f>
        <v>279.49721661620544</v>
      </c>
      <c r="CE172" s="59">
        <f t="shared" si="148"/>
        <v>275.18739333988754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9.1238049103302483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9.1238049103302483</v>
      </c>
      <c r="CO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789</v>
      </c>
      <c r="CU172" s="17">
        <f>CT172*VLOOKUP('Données projet'!$B$13,Paramètres!$A$1:$I$89,3,0)*VLOOKUP('Données projet'!$B$13,Paramètres!$A$1:$I$89,5,0)</f>
        <v>389.76600000000002</v>
      </c>
      <c r="CV172" s="13">
        <f t="shared" si="173"/>
        <v>89.698759503620408</v>
      </c>
      <c r="CW172" s="20">
        <f t="shared" si="174"/>
        <v>835.06778946880547</v>
      </c>
      <c r="CX172" s="59">
        <f t="shared" si="122"/>
        <v>1128.4011228021388</v>
      </c>
      <c r="CY172" s="59">
        <f ca="1">AVERAGE(OFFSET($CX$3,0,0,'Données projet'!$E$13+1,1))-AVERAGE(OFFSET($H$3,0,0,'Données projet'!$E$13+1,1))</f>
        <v>396.27049617044378</v>
      </c>
      <c r="CZ172" s="59">
        <f t="shared" si="150"/>
        <v>335.2680289568774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24.732831895522075</v>
      </c>
      <c r="DG172" s="21">
        <f>EXP(-LN(2)/25)*DG171+(1-EXP(-LN(2)/25))/(LN(2)/25)*Calculateur!DB172*Calculateur!DD172*VLOOKUP('Données projet'!$B$13,Paramètres!$A$1:$I$89,3,0)*0.475*44/12</f>
        <v>0.99642669260710481</v>
      </c>
      <c r="DH172" s="21">
        <f>EXP(-LN(2)/2)*DH171+(1-EXP(-LN(2)/2))/(LN(2)/2)*DB172*DE172*VLOOKUP('Données projet'!$B$13,Paramètres!$A$1:$I$89,3,0)*0.475*44/12</f>
        <v>4.6062816787597583E-22</v>
      </c>
      <c r="DI172" s="22">
        <f t="shared" si="175"/>
        <v>25.729258588129181</v>
      </c>
      <c r="DJ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541.99999999999989</v>
      </c>
      <c r="DP172" s="17">
        <f>DO172*VLOOKUP('Données projet'!$B$14,Paramètres!$A$1:$I$89,3,0)*VLOOKUP('Données projet'!$B$14,Paramètres!$A$1:$I$89,5,0)</f>
        <v>310.02399999999994</v>
      </c>
      <c r="DQ172" s="13">
        <f t="shared" si="176"/>
        <v>73.27384230442388</v>
      </c>
      <c r="DR172" s="20">
        <f t="shared" si="177"/>
        <v>667.57707534687154</v>
      </c>
      <c r="DS172" s="59">
        <f t="shared" si="125"/>
        <v>960.91040868020491</v>
      </c>
      <c r="DT172" s="59">
        <f ca="1">AVERAGE(OFFSET($DS$3,0,0,'Données projet'!$E$14+1,1))-AVERAGE(OFFSET($H$3,0,0,'Données projet'!$E$14+1,1))</f>
        <v>307.43900954374504</v>
      </c>
      <c r="DU172" s="59">
        <f t="shared" si="152"/>
        <v>185.25270859048999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19.666162570914835</v>
      </c>
      <c r="EB172" s="21">
        <f>EXP(-LN(2)/25)*EB171+(1-EXP(-LN(2)/25))/(LN(2)/25)*Calculateur!DW172*Calculateur!DY172*VLOOKUP('Données projet'!$B$14,Paramètres!$A$1:$I$89,3,0)*0.475*44/12</f>
        <v>0.56638990948193291</v>
      </c>
      <c r="EC172" s="21">
        <f>EXP(-LN(2)/2)*EC171+(1-EXP(-LN(2)/2))/(LN(2)/2)*DW172*DZ172*VLOOKUP('Données projet'!$B$14,Paramètres!$A$1:$I$89,3,0)*0.475*44/12</f>
        <v>4.3638458009302954E-22</v>
      </c>
      <c r="ED172" s="22">
        <f t="shared" si="178"/>
        <v>20.23255248039677</v>
      </c>
      <c r="EE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401</v>
      </c>
      <c r="EK172" s="17">
        <f>EJ172*VLOOKUP('Données projet'!$B$15,Paramètres!$A$1:$I$89,3,0)*VLOOKUP('Données projet'!$B$15,Paramètres!$A$1:$I$89,5,0)</f>
        <v>250.22399999999999</v>
      </c>
      <c r="EL172" s="13">
        <f t="shared" si="179"/>
        <v>60.633904580527918</v>
      </c>
      <c r="EM172" s="20">
        <f t="shared" si="180"/>
        <v>541.41085047775289</v>
      </c>
      <c r="EN172" s="59">
        <f t="shared" si="128"/>
        <v>834.74418381108626</v>
      </c>
      <c r="EO172" s="59">
        <f ca="1">AVERAGE(OFFSET($EN$3,0,0,'Données projet'!$E$15+1,1))-AVERAGE(OFFSET($H$3,0,0,'Données projet'!$E$15+1,1))</f>
        <v>269.77739619445515</v>
      </c>
      <c r="EP172" s="59">
        <f t="shared" si="154"/>
        <v>347.56964743629885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8.8432641947800743</v>
      </c>
      <c r="EW172" s="21">
        <f>EXP(-LN(2)/25)*EW171+(1-EXP(-LN(2)/25))/(LN(2)/25)*Calculateur!ER172*Calculateur!ET172*VLOOKUP('Données projet'!$B$15,Paramètres!$A$1:$I$89,3,0)*0.475*44/12</f>
        <v>1.9446539785044368</v>
      </c>
      <c r="EX172" s="21">
        <f>EXP(-LN(2)/2)*EX171+(1-EXP(-LN(2)/2))/(LN(2)/2)*ER172*EU172*VLOOKUP('Données projet'!$B$15,Paramètres!$A$1:$I$89,3,0)*0.475*44/12</f>
        <v>2.9753494097252018E-23</v>
      </c>
      <c r="EY172" s="22">
        <f t="shared" si="181"/>
        <v>10.787918173284512</v>
      </c>
      <c r="EZ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367.99999999999972</v>
      </c>
      <c r="FF172" s="17">
        <f>FE172*VLOOKUP('Données projet'!$B$16,Paramètres!$A$1:$I$89,3,0)*VLOOKUP('Données projet'!$B$16,Paramètres!$A$1:$I$89,5,0)</f>
        <v>292.78079999999977</v>
      </c>
      <c r="FG172" s="13">
        <f t="shared" si="182"/>
        <v>69.660903052386217</v>
      </c>
      <c r="FH172" s="20">
        <f t="shared" si="183"/>
        <v>631.25263281623893</v>
      </c>
      <c r="FI172" s="59">
        <f t="shared" si="131"/>
        <v>924.58596614957219</v>
      </c>
      <c r="FJ172" s="59">
        <f ca="1">AVERAGE(OFFSET($FI$3,0,0,'Données projet'!$E$16+1,1))-AVERAGE(OFFSET($H$3,0,0,'Données projet'!$E$16+1,1))</f>
        <v>331.52724290297675</v>
      </c>
      <c r="FK172" s="59">
        <f t="shared" si="156"/>
        <v>322.79102610158054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10.576326333209151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10.576326333209151</v>
      </c>
      <c r="FU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852.00000000000011</v>
      </c>
      <c r="GA172" s="17">
        <f>FZ172*VLOOKUP('Données projet'!$B$17,Paramètres!$A$1:$I$89,3,0)*VLOOKUP('Données projet'!$B$17,Paramètres!$A$1:$I$89,5,0)</f>
        <v>420.88800000000009</v>
      </c>
      <c r="GB172" s="13">
        <f t="shared" si="185"/>
        <v>95.998759891259041</v>
      </c>
      <c r="GC172" s="20">
        <f t="shared" si="186"/>
        <v>900.24444014394294</v>
      </c>
      <c r="GD172" s="59">
        <f t="shared" si="134"/>
        <v>1193.5777734772762</v>
      </c>
      <c r="GE172" s="59">
        <f ca="1">AVERAGE(OFFSET($GD$3,0,0,'Données projet'!$E$17+1,1))-AVERAGE(OFFSET($H$3,0,0,'Données projet'!$E$17+1,1))</f>
        <v>434.08297999735811</v>
      </c>
      <c r="GF172" s="59">
        <f t="shared" si="158"/>
        <v>371.04090283546122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27.287563669461154</v>
      </c>
      <c r="GM172" s="21">
        <f>EXP(-LN(2)/25)*GM171+(1-EXP(-LN(2)/25))/(LN(2)/25)*Calculateur!GH172*Calculateur!GJ172*VLOOKUP('Données projet'!$B$17,Paramètres!$A$1:$I$89,3,0)*0.475*44/12</f>
        <v>1.0960693618678159</v>
      </c>
      <c r="GN172" s="21">
        <f>EXP(-LN(2)/2)*GN171+(1-EXP(-LN(2)/2))/(LN(2)/2)*GH172*GK172*VLOOKUP('Données projet'!$B$17,Paramètres!$A$1:$I$89,3,0)*0.475*44/12</f>
        <v>9.0031869175758864E-22</v>
      </c>
      <c r="GO172" s="21">
        <f t="shared" si="187"/>
        <v>28.383633031328969</v>
      </c>
      <c r="GP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614.99999999999989</v>
      </c>
      <c r="GV172" s="17">
        <f>GU172*VLOOKUP('Données projet'!$B$18,Paramètres!$A$1:$I$89,3,0)*VLOOKUP('Données projet'!$B$18,Paramètres!$A$1:$I$89,5,0)</f>
        <v>351.78</v>
      </c>
      <c r="GW172" s="13">
        <f t="shared" si="188"/>
        <v>81.92892344316067</v>
      </c>
      <c r="GX172" s="20">
        <f t="shared" si="189"/>
        <v>755.37637499683808</v>
      </c>
      <c r="GY172" s="59">
        <f t="shared" si="137"/>
        <v>1048.7097083301715</v>
      </c>
      <c r="GZ172" s="59">
        <f ca="1">AVERAGE(OFFSET($GY$3,0,0,'Données projet'!$E$18+1,1))-AVERAGE(OFFSET($H$3,0,0,'Données projet'!$E$18+1,1))</f>
        <v>362.57172983134313</v>
      </c>
      <c r="HA172" s="59">
        <f t="shared" si="160"/>
        <v>232.03250917542471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22.177431647429497</v>
      </c>
      <c r="HH172" s="21">
        <f>EXP(-LN(2)/25)*HH171+(1-EXP(-LN(2)/25))/(LN(2)/25)*Calculateur!HC172*Calculateur!HE172*VLOOKUP('Données projet'!$B$18,Paramètres!$A$1:$I$89,3,0)*0.475*44/12</f>
        <v>0.66078822772892254</v>
      </c>
      <c r="HI172" s="21">
        <f>EXP(-LN(2)/2)*HI171+(1-EXP(-LN(2)/2))/(LN(2)/2)*HC172*HF172*VLOOKUP('Données projet'!$B$18,Paramètres!$A$1:$I$89,3,0)*0.475*44/12</f>
        <v>8.970127479690049E-22</v>
      </c>
      <c r="HJ172" s="22">
        <f t="shared" si="190"/>
        <v>22.838219875158419</v>
      </c>
    </row>
    <row r="173" spans="1:218" x14ac:dyDescent="0.3">
      <c r="A173" s="10">
        <f t="shared" si="161"/>
        <v>170</v>
      </c>
      <c r="B173" s="71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5">
        <f t="shared" si="110"/>
        <v>475.05779807471038</v>
      </c>
      <c r="I173" s="6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266.99999999999983</v>
      </c>
      <c r="O173" s="13">
        <f>N173*VLOOKUP('Données projet'!$B$9,Paramètres!$A$1:$I$89,3,0)*VLOOKUP('Données projet'!$B$9,Paramètres!$A$1:$I$89,5,0)</f>
        <v>212.42519999999985</v>
      </c>
      <c r="P173" s="13">
        <f t="shared" si="141"/>
        <v>52.465198231787184</v>
      </c>
      <c r="Q173" s="20">
        <f t="shared" si="162"/>
        <v>461.35077692036231</v>
      </c>
      <c r="R173" s="59">
        <f t="shared" si="109"/>
        <v>754.68411025369562</v>
      </c>
      <c r="S173" s="59">
        <f ca="1">AVERAGE(OFFSET($R$3,0,0,'Données projet'!$E$9+1,1))-AVERAGE(OFFSET($H$3,0,0,'Données projet'!$E$9+1,1))</f>
        <v>225.2323446080772</v>
      </c>
      <c r="T173" s="59">
        <f t="shared" si="142"/>
        <v>222.29030402759292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7.299283923743598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7.299283923743598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732.99999999999966</v>
      </c>
      <c r="AJ173" s="13">
        <f>AI173*VLOOKUP('Données projet'!$B$10,Paramètres!$A$1:$I$89,3,0)*VLOOKUP('Données projet'!$B$10,Paramètres!$A$1:$I$89,5,0)</f>
        <v>362.1019999999998</v>
      </c>
      <c r="AK173" s="13">
        <f t="shared" si="164"/>
        <v>84.049487364732272</v>
      </c>
      <c r="AL173" s="20">
        <f t="shared" si="165"/>
        <v>777.04717382690842</v>
      </c>
      <c r="AM173" s="59">
        <f t="shared" si="113"/>
        <v>1070.3805071602417</v>
      </c>
      <c r="AN173" s="59">
        <f ca="1">AVERAGE(OFFSET($AM$3,0,0,'Données projet'!$E$10+1,1))-AVERAGE(OFFSET($H$3,0,0,'Données projet'!$E$10+1,1))</f>
        <v>360.05819346986135</v>
      </c>
      <c r="AO173" s="59">
        <f t="shared" si="144"/>
        <v>300.47468388351081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21.858759311247614</v>
      </c>
      <c r="AV173" s="21">
        <f>EXP(-LN(2)/25)*AV172+(1-EXP(-LN(2)/25))/(LN(2)/25)*Calculateur!AQ173*Calculateur!AS173*VLOOKUP('Données projet'!$B$10,Paramètres!$A$1:$I$89,3,0)*0.475*44/12</f>
        <v>0.87226141706816374</v>
      </c>
      <c r="AW173" s="21">
        <f>EXP(-LN(2)/2)*AW172+(1-EXP(-LN(2)/2))/(LN(2)/2)*AQ173*AT173*VLOOKUP('Données projet'!$B$10,Paramètres!$A$1:$I$89,3,0)*0.475*44/12</f>
        <v>4.4415450151450597E-23</v>
      </c>
      <c r="AX173" s="21">
        <f t="shared" si="166"/>
        <v>22.731020728315777</v>
      </c>
      <c r="AY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465.00000000000006</v>
      </c>
      <c r="BE173" s="13">
        <f>BD173*VLOOKUP('Données projet'!$B$11,Paramètres!$A$1:$I$89,3,0)*VLOOKUP('Données projet'!$B$11,Paramètres!$A$1:$I$89,5,0)</f>
        <v>265.98</v>
      </c>
      <c r="BF173" s="13">
        <f t="shared" si="167"/>
        <v>63.995380422211589</v>
      </c>
      <c r="BG173" s="20">
        <f t="shared" si="168"/>
        <v>574.70712090201857</v>
      </c>
      <c r="BH173" s="59">
        <f t="shared" si="116"/>
        <v>868.04045423535194</v>
      </c>
      <c r="BI173" s="59">
        <f ca="1">AVERAGE(OFFSET($BH$3,0,0,'Données projet'!$E$11+1,1))-AVERAGE(OFFSET($H$3,0,0,'Données projet'!$E$11+1,1))</f>
        <v>250.90038883668348</v>
      </c>
      <c r="BJ173" s="59">
        <f t="shared" si="146"/>
        <v>141.96132114475608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16.74129392707583</v>
      </c>
      <c r="BQ173" s="21">
        <f>EXP(-LN(2)/25)*BQ172+(1-EXP(-LN(2)/25))/(LN(2)/25)*Calculateur!BL173*Calculateur!BN173*VLOOKUP('Données projet'!$B$11,Paramètres!$A$1:$I$89,3,0)*0.475*44/12</f>
        <v>0.24542771810600253</v>
      </c>
      <c r="BR173" s="21">
        <f>EXP(-LN(2)/2)*BR172+(1-EXP(-LN(2)/2))/(LN(2)/2)*BL173*BO173*VLOOKUP('Données projet'!$B$11,Paramètres!$A$1:$I$89,3,0)*0.475*44/12</f>
        <v>3.2001535873488966E-21</v>
      </c>
      <c r="BS173" s="22">
        <f t="shared" si="169"/>
        <v>16.986721645181834</v>
      </c>
      <c r="BT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319</v>
      </c>
      <c r="BZ173" s="13">
        <f>BY173*VLOOKUP('Données projet'!$B$12,Paramètres!$A$1:$I$89,3,0)*VLOOKUP('Données projet'!$B$12,Paramètres!$A$1:$I$89,5,0)</f>
        <v>253.79640000000001</v>
      </c>
      <c r="CA173" s="13">
        <f t="shared" si="170"/>
        <v>61.39816832228076</v>
      </c>
      <c r="CB173" s="20">
        <f t="shared" si="171"/>
        <v>548.96387316130563</v>
      </c>
      <c r="CC173" s="59">
        <f t="shared" si="119"/>
        <v>842.29720649463889</v>
      </c>
      <c r="CD173" s="59">
        <f ca="1">AVERAGE(OFFSET($CC$3,0,0,'Données projet'!$E$12+1,1))-AVERAGE(OFFSET($H$3,0,0,'Données projet'!$E$12+1,1))</f>
        <v>279.49721661620544</v>
      </c>
      <c r="CE173" s="59">
        <f t="shared" si="148"/>
        <v>275.18739333988754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8.9448926610101722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8.9448926610101722</v>
      </c>
      <c r="CO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789</v>
      </c>
      <c r="CU173" s="17">
        <f>CT173*VLOOKUP('Données projet'!$B$13,Paramètres!$A$1:$I$89,3,0)*VLOOKUP('Données projet'!$B$13,Paramètres!$A$1:$I$89,5,0)</f>
        <v>389.76600000000002</v>
      </c>
      <c r="CV173" s="13">
        <f t="shared" si="173"/>
        <v>89.698759503620408</v>
      </c>
      <c r="CW173" s="20">
        <f t="shared" si="174"/>
        <v>835.06778946880547</v>
      </c>
      <c r="CX173" s="59">
        <f t="shared" si="122"/>
        <v>1128.4011228021388</v>
      </c>
      <c r="CY173" s="59">
        <f ca="1">AVERAGE(OFFSET($CX$3,0,0,'Données projet'!$E$13+1,1))-AVERAGE(OFFSET($H$3,0,0,'Données projet'!$E$13+1,1))</f>
        <v>396.27049617044378</v>
      </c>
      <c r="CZ173" s="59">
        <f t="shared" si="150"/>
        <v>335.2680289568774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24.247836147588771</v>
      </c>
      <c r="DG173" s="21">
        <f>EXP(-LN(2)/25)*DG172+(1-EXP(-LN(2)/25))/(LN(2)/25)*Calculateur!DB173*Calculateur!DD173*VLOOKUP('Données projet'!$B$13,Paramètres!$A$1:$I$89,3,0)*0.475*44/12</f>
        <v>0.96917935229796115</v>
      </c>
      <c r="DH173" s="21">
        <f>EXP(-LN(2)/2)*DH172+(1-EXP(-LN(2)/2))/(LN(2)/2)*DB173*DE173*VLOOKUP('Données projet'!$B$13,Paramètres!$A$1:$I$89,3,0)*0.475*44/12</f>
        <v>3.2571330111063793E-22</v>
      </c>
      <c r="DI173" s="22">
        <f t="shared" si="175"/>
        <v>25.217015499886731</v>
      </c>
      <c r="DJ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541.99999999999989</v>
      </c>
      <c r="DP173" s="17">
        <f>DO173*VLOOKUP('Données projet'!$B$14,Paramètres!$A$1:$I$89,3,0)*VLOOKUP('Données projet'!$B$14,Paramètres!$A$1:$I$89,5,0)</f>
        <v>310.02399999999994</v>
      </c>
      <c r="DQ173" s="13">
        <f t="shared" si="176"/>
        <v>73.27384230442388</v>
      </c>
      <c r="DR173" s="20">
        <f t="shared" si="177"/>
        <v>667.57707534687154</v>
      </c>
      <c r="DS173" s="59">
        <f t="shared" si="125"/>
        <v>960.91040868020491</v>
      </c>
      <c r="DT173" s="59">
        <f ca="1">AVERAGE(OFFSET($DS$3,0,0,'Données projet'!$E$14+1,1))-AVERAGE(OFFSET($H$3,0,0,'Données projet'!$E$14+1,1))</f>
        <v>307.43900954374504</v>
      </c>
      <c r="DU173" s="59">
        <f t="shared" si="152"/>
        <v>185.25270859048999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19.280521118073938</v>
      </c>
      <c r="EB173" s="21">
        <f>EXP(-LN(2)/25)*EB172+(1-EXP(-LN(2)/25))/(LN(2)/25)*Calculateur!DW173*Calculateur!DY173*VLOOKUP('Données projet'!$B$14,Paramètres!$A$1:$I$89,3,0)*0.475*44/12</f>
        <v>0.55090194762199862</v>
      </c>
      <c r="EC173" s="21">
        <f>EXP(-LN(2)/2)*EC172+(1-EXP(-LN(2)/2))/(LN(2)/2)*DW173*DZ173*VLOOKUP('Données projet'!$B$14,Paramètres!$A$1:$I$89,3,0)*0.475*44/12</f>
        <v>3.0857049578902526E-22</v>
      </c>
      <c r="ED173" s="22">
        <f t="shared" si="178"/>
        <v>19.831423065695937</v>
      </c>
      <c r="EE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401</v>
      </c>
      <c r="EK173" s="17">
        <f>EJ173*VLOOKUP('Données projet'!$B$15,Paramètres!$A$1:$I$89,3,0)*VLOOKUP('Données projet'!$B$15,Paramètres!$A$1:$I$89,5,0)</f>
        <v>250.22399999999999</v>
      </c>
      <c r="EL173" s="13">
        <f t="shared" si="179"/>
        <v>60.633904580527918</v>
      </c>
      <c r="EM173" s="20">
        <f t="shared" si="180"/>
        <v>541.41085047775289</v>
      </c>
      <c r="EN173" s="59">
        <f t="shared" si="128"/>
        <v>834.74418381108626</v>
      </c>
      <c r="EO173" s="59">
        <f ca="1">AVERAGE(OFFSET($EN$3,0,0,'Données projet'!$E$15+1,1))-AVERAGE(OFFSET($H$3,0,0,'Données projet'!$E$15+1,1))</f>
        <v>269.77739619445515</v>
      </c>
      <c r="EP173" s="59">
        <f t="shared" si="154"/>
        <v>347.56964743629885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8.6698531777789967</v>
      </c>
      <c r="EW173" s="21">
        <f>EXP(-LN(2)/25)*EW172+(1-EXP(-LN(2)/25))/(LN(2)/25)*Calculateur!ER173*Calculateur!ET173*VLOOKUP('Données projet'!$B$15,Paramètres!$A$1:$I$89,3,0)*0.475*44/12</f>
        <v>1.8914773131973248</v>
      </c>
      <c r="EX173" s="21">
        <f>EXP(-LN(2)/2)*EX172+(1-EXP(-LN(2)/2))/(LN(2)/2)*ER173*EU173*VLOOKUP('Données projet'!$B$15,Paramètres!$A$1:$I$89,3,0)*0.475*44/12</f>
        <v>2.1038897440160817E-23</v>
      </c>
      <c r="EY173" s="22">
        <f t="shared" si="181"/>
        <v>10.561330490976321</v>
      </c>
      <c r="EZ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367.99999999999972</v>
      </c>
      <c r="FF173" s="17">
        <f>FE173*VLOOKUP('Données projet'!$B$16,Paramètres!$A$1:$I$89,3,0)*VLOOKUP('Données projet'!$B$16,Paramètres!$A$1:$I$89,5,0)</f>
        <v>292.78079999999977</v>
      </c>
      <c r="FG173" s="13">
        <f t="shared" si="182"/>
        <v>69.660903052386217</v>
      </c>
      <c r="FH173" s="20">
        <f t="shared" si="183"/>
        <v>631.25263281623893</v>
      </c>
      <c r="FI173" s="59">
        <f t="shared" si="131"/>
        <v>924.58596614957219</v>
      </c>
      <c r="FJ173" s="59">
        <f ca="1">AVERAGE(OFFSET($FI$3,0,0,'Données projet'!$E$16+1,1))-AVERAGE(OFFSET($H$3,0,0,'Données projet'!$E$16+1,1))</f>
        <v>331.52724290297675</v>
      </c>
      <c r="FK173" s="59">
        <f t="shared" si="156"/>
        <v>322.79102610158054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10.368931024737007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10.368931024737007</v>
      </c>
      <c r="FU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852.00000000000011</v>
      </c>
      <c r="GA173" s="17">
        <f>FZ173*VLOOKUP('Données projet'!$B$17,Paramètres!$A$1:$I$89,3,0)*VLOOKUP('Données projet'!$B$17,Paramètres!$A$1:$I$89,5,0)</f>
        <v>420.88800000000009</v>
      </c>
      <c r="GB173" s="13">
        <f t="shared" si="185"/>
        <v>95.998759891259041</v>
      </c>
      <c r="GC173" s="20">
        <f t="shared" si="186"/>
        <v>900.24444014394294</v>
      </c>
      <c r="GD173" s="59">
        <f t="shared" si="134"/>
        <v>1193.5777734772762</v>
      </c>
      <c r="GE173" s="59">
        <f ca="1">AVERAGE(OFFSET($GD$3,0,0,'Données projet'!$E$17+1,1))-AVERAGE(OFFSET($H$3,0,0,'Données projet'!$E$17+1,1))</f>
        <v>434.08297999735811</v>
      </c>
      <c r="GF173" s="59">
        <f t="shared" si="158"/>
        <v>371.04090283546122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26.752471189673422</v>
      </c>
      <c r="GM173" s="21">
        <f>EXP(-LN(2)/25)*GM172+(1-EXP(-LN(2)/25))/(LN(2)/25)*Calculateur!GH173*Calculateur!GJ173*VLOOKUP('Données projet'!$B$17,Paramètres!$A$1:$I$89,3,0)*0.475*44/12</f>
        <v>1.0660972875277579</v>
      </c>
      <c r="GN173" s="21">
        <f>EXP(-LN(2)/2)*GN172+(1-EXP(-LN(2)/2))/(LN(2)/2)*GH173*GK173*VLOOKUP('Données projet'!$B$17,Paramètres!$A$1:$I$89,3,0)*0.475*44/12</f>
        <v>6.3662145217079198E-22</v>
      </c>
      <c r="GO173" s="21">
        <f t="shared" si="187"/>
        <v>27.818568477201179</v>
      </c>
      <c r="GP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614.99999999999989</v>
      </c>
      <c r="GV173" s="17">
        <f>GU173*VLOOKUP('Données projet'!$B$18,Paramètres!$A$1:$I$89,3,0)*VLOOKUP('Données projet'!$B$18,Paramètres!$A$1:$I$89,5,0)</f>
        <v>351.78</v>
      </c>
      <c r="GW173" s="13">
        <f t="shared" si="188"/>
        <v>81.92892344316067</v>
      </c>
      <c r="GX173" s="20">
        <f t="shared" si="189"/>
        <v>755.37637499683808</v>
      </c>
      <c r="GY173" s="59">
        <f t="shared" si="137"/>
        <v>1048.7097083301715</v>
      </c>
      <c r="GZ173" s="59">
        <f ca="1">AVERAGE(OFFSET($GY$3,0,0,'Données projet'!$E$18+1,1))-AVERAGE(OFFSET($H$3,0,0,'Données projet'!$E$18+1,1))</f>
        <v>362.57172983134313</v>
      </c>
      <c r="HA173" s="59">
        <f t="shared" si="160"/>
        <v>232.03250917542471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21.742545739721038</v>
      </c>
      <c r="HH173" s="21">
        <f>EXP(-LN(2)/25)*HH172+(1-EXP(-LN(2)/25))/(LN(2)/25)*Calculateur!HC173*Calculateur!HE173*VLOOKUP('Données projet'!$B$18,Paramètres!$A$1:$I$89,3,0)*0.475*44/12</f>
        <v>0.64271893889233256</v>
      </c>
      <c r="HI173" s="21">
        <f>EXP(-LN(2)/2)*HI172+(1-EXP(-LN(2)/2))/(LN(2)/2)*HC173*HF173*VLOOKUP('Données projet'!$B$18,Paramètres!$A$1:$I$89,3,0)*0.475*44/12</f>
        <v>6.3428379689966286E-22</v>
      </c>
      <c r="HJ173" s="22">
        <f t="shared" si="190"/>
        <v>22.385264678613371</v>
      </c>
    </row>
    <row r="174" spans="1:218" x14ac:dyDescent="0.3">
      <c r="A174" s="10">
        <f t="shared" si="161"/>
        <v>171</v>
      </c>
      <c r="B174" s="71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5">
        <f t="shared" si="110"/>
        <v>476.0997810405255</v>
      </c>
      <c r="I174" s="6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266.99999999999983</v>
      </c>
      <c r="O174" s="13">
        <f>N174*VLOOKUP('Données projet'!$B$9,Paramètres!$A$1:$I$89,3,0)*VLOOKUP('Données projet'!$B$9,Paramètres!$A$1:$I$89,5,0)</f>
        <v>212.42519999999985</v>
      </c>
      <c r="P174" s="13">
        <f t="shared" si="141"/>
        <v>52.465198231787184</v>
      </c>
      <c r="Q174" s="20">
        <f t="shared" si="162"/>
        <v>461.35077692036231</v>
      </c>
      <c r="R174" s="59">
        <f t="shared" si="109"/>
        <v>754.68411025369562</v>
      </c>
      <c r="S174" s="59">
        <f ca="1">AVERAGE(OFFSET($R$3,0,0,'Données projet'!$E$9+1,1))-AVERAGE(OFFSET($H$3,0,0,'Données projet'!$E$9+1,1))</f>
        <v>225.2323446080772</v>
      </c>
      <c r="T174" s="59">
        <f t="shared" si="142"/>
        <v>222.29030402759292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7.1561494181225687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7.1561494181225687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732.99999999999966</v>
      </c>
      <c r="AJ174" s="13">
        <f>AI174*VLOOKUP('Données projet'!$B$10,Paramètres!$A$1:$I$89,3,0)*VLOOKUP('Données projet'!$B$10,Paramètres!$A$1:$I$89,5,0)</f>
        <v>362.1019999999998</v>
      </c>
      <c r="AK174" s="13">
        <f t="shared" si="164"/>
        <v>84.049487364732272</v>
      </c>
      <c r="AL174" s="20">
        <f t="shared" si="165"/>
        <v>777.04717382690842</v>
      </c>
      <c r="AM174" s="59">
        <f t="shared" si="113"/>
        <v>1070.3805071602417</v>
      </c>
      <c r="AN174" s="59">
        <f ca="1">AVERAGE(OFFSET($AM$3,0,0,'Données projet'!$E$10+1,1))-AVERAGE(OFFSET($H$3,0,0,'Données projet'!$E$10+1,1))</f>
        <v>360.05819346986135</v>
      </c>
      <c r="AO174" s="59">
        <f t="shared" si="144"/>
        <v>300.47468388351081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21.430122373680749</v>
      </c>
      <c r="AV174" s="21">
        <f>EXP(-LN(2)/25)*AV173+(1-EXP(-LN(2)/25))/(LN(2)/25)*Calculateur!AQ174*Calculateur!AS174*VLOOKUP('Données projet'!$B$10,Paramètres!$A$1:$I$89,3,0)*0.475*44/12</f>
        <v>0.84840938274820044</v>
      </c>
      <c r="AW174" s="21">
        <f>EXP(-LN(2)/2)*AW173+(1-EXP(-LN(2)/2))/(LN(2)/2)*AQ174*AT174*VLOOKUP('Données projet'!$B$10,Paramètres!$A$1:$I$89,3,0)*0.475*44/12</f>
        <v>3.1406465991543786E-23</v>
      </c>
      <c r="AX174" s="21">
        <f t="shared" si="166"/>
        <v>22.278531756428951</v>
      </c>
      <c r="AY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465.00000000000006</v>
      </c>
      <c r="BE174" s="13">
        <f>BD174*VLOOKUP('Données projet'!$B$11,Paramètres!$A$1:$I$89,3,0)*VLOOKUP('Données projet'!$B$11,Paramètres!$A$1:$I$89,5,0)</f>
        <v>265.98</v>
      </c>
      <c r="BF174" s="13">
        <f t="shared" si="167"/>
        <v>63.995380422211589</v>
      </c>
      <c r="BG174" s="20">
        <f t="shared" si="168"/>
        <v>574.70712090201857</v>
      </c>
      <c r="BH174" s="59">
        <f t="shared" si="116"/>
        <v>868.04045423535194</v>
      </c>
      <c r="BI174" s="59">
        <f ca="1">AVERAGE(OFFSET($BH$3,0,0,'Données projet'!$E$11+1,1))-AVERAGE(OFFSET($H$3,0,0,'Données projet'!$E$11+1,1))</f>
        <v>250.90038883668348</v>
      </c>
      <c r="BJ174" s="59">
        <f t="shared" si="146"/>
        <v>141.96132114475608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16.4130073643469</v>
      </c>
      <c r="BQ174" s="21">
        <f>EXP(-LN(2)/25)*BQ173+(1-EXP(-LN(2)/25))/(LN(2)/25)*Calculateur!BL174*Calculateur!BN174*VLOOKUP('Données projet'!$B$11,Paramètres!$A$1:$I$89,3,0)*0.475*44/12</f>
        <v>0.23871648424791111</v>
      </c>
      <c r="BR174" s="21">
        <f>EXP(-LN(2)/2)*BR173+(1-EXP(-LN(2)/2))/(LN(2)/2)*BL174*BO174*VLOOKUP('Données projet'!$B$11,Paramètres!$A$1:$I$89,3,0)*0.475*44/12</f>
        <v>2.2628503024528613E-21</v>
      </c>
      <c r="BS174" s="22">
        <f t="shared" si="169"/>
        <v>16.651723848594809</v>
      </c>
      <c r="BT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319</v>
      </c>
      <c r="BZ174" s="13">
        <f>BY174*VLOOKUP('Données projet'!$B$12,Paramètres!$A$1:$I$89,3,0)*VLOOKUP('Données projet'!$B$12,Paramètres!$A$1:$I$89,5,0)</f>
        <v>253.79640000000001</v>
      </c>
      <c r="CA174" s="13">
        <f t="shared" si="170"/>
        <v>61.39816832228076</v>
      </c>
      <c r="CB174" s="20">
        <f t="shared" si="171"/>
        <v>548.96387316130563</v>
      </c>
      <c r="CC174" s="59">
        <f t="shared" si="119"/>
        <v>842.29720649463889</v>
      </c>
      <c r="CD174" s="59">
        <f ca="1">AVERAGE(OFFSET($CC$3,0,0,'Données projet'!$E$12+1,1))-AVERAGE(OFFSET($H$3,0,0,'Données projet'!$E$12+1,1))</f>
        <v>279.49721661620544</v>
      </c>
      <c r="CE174" s="59">
        <f t="shared" si="148"/>
        <v>275.18739333988754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8.7694887717735668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8.7694887717735668</v>
      </c>
      <c r="CO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789</v>
      </c>
      <c r="CU174" s="17">
        <f>CT174*VLOOKUP('Données projet'!$B$13,Paramètres!$A$1:$I$89,3,0)*VLOOKUP('Données projet'!$B$13,Paramètres!$A$1:$I$89,5,0)</f>
        <v>389.76600000000002</v>
      </c>
      <c r="CV174" s="13">
        <f t="shared" si="173"/>
        <v>89.698759503620408</v>
      </c>
      <c r="CW174" s="20">
        <f t="shared" si="174"/>
        <v>835.06778946880547</v>
      </c>
      <c r="CX174" s="59">
        <f t="shared" si="122"/>
        <v>1128.4011228021388</v>
      </c>
      <c r="CY174" s="59">
        <f ca="1">AVERAGE(OFFSET($CX$3,0,0,'Données projet'!$E$13+1,1))-AVERAGE(OFFSET($H$3,0,0,'Données projet'!$E$13+1,1))</f>
        <v>396.27049617044378</v>
      </c>
      <c r="CZ174" s="59">
        <f t="shared" si="150"/>
        <v>335.2680289568774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23.772350870454243</v>
      </c>
      <c r="DG174" s="21">
        <f>EXP(-LN(2)/25)*DG173+(1-EXP(-LN(2)/25))/(LN(2)/25)*Calculateur!DB174*Calculateur!DD174*VLOOKUP('Données projet'!$B$13,Paramètres!$A$1:$I$89,3,0)*0.475*44/12</f>
        <v>0.94267709194244631</v>
      </c>
      <c r="DH174" s="21">
        <f>EXP(-LN(2)/2)*DH173+(1-EXP(-LN(2)/2))/(LN(2)/2)*DB174*DE174*VLOOKUP('Données projet'!$B$13,Paramètres!$A$1:$I$89,3,0)*0.475*44/12</f>
        <v>2.3031408393798792E-22</v>
      </c>
      <c r="DI174" s="22">
        <f t="shared" si="175"/>
        <v>24.71502796239669</v>
      </c>
      <c r="DJ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541.99999999999989</v>
      </c>
      <c r="DP174" s="17">
        <f>DO174*VLOOKUP('Données projet'!$B$14,Paramètres!$A$1:$I$89,3,0)*VLOOKUP('Données projet'!$B$14,Paramètres!$A$1:$I$89,5,0)</f>
        <v>310.02399999999994</v>
      </c>
      <c r="DQ174" s="13">
        <f t="shared" si="176"/>
        <v>73.27384230442388</v>
      </c>
      <c r="DR174" s="20">
        <f t="shared" si="177"/>
        <v>667.57707534687154</v>
      </c>
      <c r="DS174" s="59">
        <f t="shared" si="125"/>
        <v>960.91040868020491</v>
      </c>
      <c r="DT174" s="59">
        <f ca="1">AVERAGE(OFFSET($DS$3,0,0,'Données projet'!$E$14+1,1))-AVERAGE(OFFSET($H$3,0,0,'Données projet'!$E$14+1,1))</f>
        <v>307.43900954374504</v>
      </c>
      <c r="DU174" s="59">
        <f t="shared" si="152"/>
        <v>185.25270859048999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18.902441858905192</v>
      </c>
      <c r="EB174" s="21">
        <f>EXP(-LN(2)/25)*EB173+(1-EXP(-LN(2)/25))/(LN(2)/25)*Calculateur!DW174*Calculateur!DY174*VLOOKUP('Données projet'!$B$14,Paramètres!$A$1:$I$89,3,0)*0.475*44/12</f>
        <v>0.53583750489360071</v>
      </c>
      <c r="EC174" s="21">
        <f>EXP(-LN(2)/2)*EC173+(1-EXP(-LN(2)/2))/(LN(2)/2)*DW174*DZ174*VLOOKUP('Données projet'!$B$14,Paramètres!$A$1:$I$89,3,0)*0.475*44/12</f>
        <v>2.1819229004651477E-22</v>
      </c>
      <c r="ED174" s="22">
        <f t="shared" si="178"/>
        <v>19.438279363798792</v>
      </c>
      <c r="EE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401</v>
      </c>
      <c r="EK174" s="17">
        <f>EJ174*VLOOKUP('Données projet'!$B$15,Paramètres!$A$1:$I$89,3,0)*VLOOKUP('Données projet'!$B$15,Paramètres!$A$1:$I$89,5,0)</f>
        <v>250.22399999999999</v>
      </c>
      <c r="EL174" s="13">
        <f t="shared" si="179"/>
        <v>60.633904580527918</v>
      </c>
      <c r="EM174" s="20">
        <f t="shared" si="180"/>
        <v>541.41085047775289</v>
      </c>
      <c r="EN174" s="59">
        <f t="shared" si="128"/>
        <v>834.74418381108626</v>
      </c>
      <c r="EO174" s="59">
        <f ca="1">AVERAGE(OFFSET($EN$3,0,0,'Données projet'!$E$15+1,1))-AVERAGE(OFFSET($H$3,0,0,'Données projet'!$E$15+1,1))</f>
        <v>269.77739619445515</v>
      </c>
      <c r="EP174" s="59">
        <f t="shared" si="154"/>
        <v>347.56964743629885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8.499842645051034</v>
      </c>
      <c r="EW174" s="21">
        <f>EXP(-LN(2)/25)*EW173+(1-EXP(-LN(2)/25))/(LN(2)/25)*Calculateur!ER174*Calculateur!ET174*VLOOKUP('Données projet'!$B$15,Paramètres!$A$1:$I$89,3,0)*0.475*44/12</f>
        <v>1.8397547665994751</v>
      </c>
      <c r="EX174" s="21">
        <f>EXP(-LN(2)/2)*EX173+(1-EXP(-LN(2)/2))/(LN(2)/2)*ER174*EU174*VLOOKUP('Données projet'!$B$15,Paramètres!$A$1:$I$89,3,0)*0.475*44/12</f>
        <v>1.4876747048626009E-23</v>
      </c>
      <c r="EY174" s="22">
        <f t="shared" si="181"/>
        <v>10.339597411650509</v>
      </c>
      <c r="EZ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367.99999999999972</v>
      </c>
      <c r="FF174" s="17">
        <f>FE174*VLOOKUP('Données projet'!$B$16,Paramètres!$A$1:$I$89,3,0)*VLOOKUP('Données projet'!$B$16,Paramètres!$A$1:$I$89,5,0)</f>
        <v>292.78079999999977</v>
      </c>
      <c r="FG174" s="13">
        <f t="shared" si="182"/>
        <v>69.660903052386217</v>
      </c>
      <c r="FH174" s="20">
        <f t="shared" si="183"/>
        <v>631.25263281623893</v>
      </c>
      <c r="FI174" s="59">
        <f t="shared" si="131"/>
        <v>924.58596614957219</v>
      </c>
      <c r="FJ174" s="59">
        <f ca="1">AVERAGE(OFFSET($FI$3,0,0,'Données projet'!$E$16+1,1))-AVERAGE(OFFSET($H$3,0,0,'Données projet'!$E$16+1,1))</f>
        <v>331.52724290297675</v>
      </c>
      <c r="FK174" s="59">
        <f t="shared" si="156"/>
        <v>322.79102610158054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10.165602611765355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10.165602611765355</v>
      </c>
      <c r="FU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852.00000000000011</v>
      </c>
      <c r="GA174" s="17">
        <f>FZ174*VLOOKUP('Données projet'!$B$17,Paramètres!$A$1:$I$89,3,0)*VLOOKUP('Données projet'!$B$17,Paramètres!$A$1:$I$89,5,0)</f>
        <v>420.88800000000009</v>
      </c>
      <c r="GB174" s="13">
        <f t="shared" si="185"/>
        <v>95.998759891259041</v>
      </c>
      <c r="GC174" s="20">
        <f t="shared" si="186"/>
        <v>900.24444014394294</v>
      </c>
      <c r="GD174" s="59">
        <f t="shared" si="134"/>
        <v>1193.5777734772762</v>
      </c>
      <c r="GE174" s="59">
        <f ca="1">AVERAGE(OFFSET($GD$3,0,0,'Données projet'!$E$17+1,1))-AVERAGE(OFFSET($H$3,0,0,'Données projet'!$E$17+1,1))</f>
        <v>434.08297999735811</v>
      </c>
      <c r="GF174" s="59">
        <f t="shared" si="158"/>
        <v>371.04090283546122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26.227871547040142</v>
      </c>
      <c r="GM174" s="21">
        <f>EXP(-LN(2)/25)*GM173+(1-EXP(-LN(2)/25))/(LN(2)/25)*Calculateur!GH174*Calculateur!GJ174*VLOOKUP('Données projet'!$B$17,Paramètres!$A$1:$I$89,3,0)*0.475*44/12</f>
        <v>1.0369448011366915</v>
      </c>
      <c r="GN174" s="21">
        <f>EXP(-LN(2)/2)*GN173+(1-EXP(-LN(2)/2))/(LN(2)/2)*GH174*GK174*VLOOKUP('Données projet'!$B$17,Paramètres!$A$1:$I$89,3,0)*0.475*44/12</f>
        <v>4.5015934587879432E-22</v>
      </c>
      <c r="GO174" s="21">
        <f t="shared" si="187"/>
        <v>27.264816348176833</v>
      </c>
      <c r="GP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614.99999999999989</v>
      </c>
      <c r="GV174" s="17">
        <f>GU174*VLOOKUP('Données projet'!$B$18,Paramètres!$A$1:$I$89,3,0)*VLOOKUP('Données projet'!$B$18,Paramètres!$A$1:$I$89,5,0)</f>
        <v>351.78</v>
      </c>
      <c r="GW174" s="13">
        <f t="shared" si="188"/>
        <v>81.92892344316067</v>
      </c>
      <c r="GX174" s="20">
        <f t="shared" si="189"/>
        <v>755.37637499683808</v>
      </c>
      <c r="GY174" s="59">
        <f t="shared" si="137"/>
        <v>1048.7097083301715</v>
      </c>
      <c r="GZ174" s="59">
        <f ca="1">AVERAGE(OFFSET($GY$3,0,0,'Données projet'!$E$18+1,1))-AVERAGE(OFFSET($H$3,0,0,'Données projet'!$E$18+1,1))</f>
        <v>362.57172983134313</v>
      </c>
      <c r="HA174" s="59">
        <f t="shared" si="160"/>
        <v>232.03250917542471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21.316187679408532</v>
      </c>
      <c r="HH174" s="21">
        <f>EXP(-LN(2)/25)*HH173+(1-EXP(-LN(2)/25))/(LN(2)/25)*Calculateur!HC174*Calculateur!HE174*VLOOKUP('Données projet'!$B$18,Paramètres!$A$1:$I$89,3,0)*0.475*44/12</f>
        <v>0.62514375570920167</v>
      </c>
      <c r="HI174" s="21">
        <f>EXP(-LN(2)/2)*HI173+(1-EXP(-LN(2)/2))/(LN(2)/2)*HC174*HF174*VLOOKUP('Données projet'!$B$18,Paramètres!$A$1:$I$89,3,0)*0.475*44/12</f>
        <v>4.4850637398450245E-22</v>
      </c>
      <c r="HJ174" s="22">
        <f t="shared" si="190"/>
        <v>21.941331435117736</v>
      </c>
    </row>
    <row r="175" spans="1:218" x14ac:dyDescent="0.3">
      <c r="A175" s="10">
        <f t="shared" si="161"/>
        <v>172</v>
      </c>
      <c r="B175" s="71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5">
        <f t="shared" si="110"/>
        <v>477.14162502539943</v>
      </c>
      <c r="I175" s="6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266.99999999999983</v>
      </c>
      <c r="O175" s="13">
        <f>N175*VLOOKUP('Données projet'!$B$9,Paramètres!$A$1:$I$89,3,0)*VLOOKUP('Données projet'!$B$9,Paramètres!$A$1:$I$89,5,0)</f>
        <v>212.42519999999985</v>
      </c>
      <c r="P175" s="13">
        <f t="shared" si="141"/>
        <v>52.465198231787184</v>
      </c>
      <c r="Q175" s="20">
        <f t="shared" si="162"/>
        <v>461.35077692036231</v>
      </c>
      <c r="R175" s="59">
        <f t="shared" si="109"/>
        <v>754.68411025369562</v>
      </c>
      <c r="S175" s="59">
        <f ca="1">AVERAGE(OFFSET($R$3,0,0,'Données projet'!$E$9+1,1))-AVERAGE(OFFSET($H$3,0,0,'Données projet'!$E$9+1,1))</f>
        <v>225.2323446080772</v>
      </c>
      <c r="T175" s="59">
        <f t="shared" si="142"/>
        <v>222.29030402759292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7.0158216928533399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7.0158216928533399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732.99999999999966</v>
      </c>
      <c r="AJ175" s="13">
        <f>AI175*VLOOKUP('Données projet'!$B$10,Paramètres!$A$1:$I$89,3,0)*VLOOKUP('Données projet'!$B$10,Paramètres!$A$1:$I$89,5,0)</f>
        <v>362.1019999999998</v>
      </c>
      <c r="AK175" s="13">
        <f t="shared" si="164"/>
        <v>84.049487364732272</v>
      </c>
      <c r="AL175" s="20">
        <f t="shared" si="165"/>
        <v>777.04717382690842</v>
      </c>
      <c r="AM175" s="59">
        <f t="shared" si="113"/>
        <v>1070.3805071602417</v>
      </c>
      <c r="AN175" s="59">
        <f ca="1">AVERAGE(OFFSET($AM$3,0,0,'Données projet'!$E$10+1,1))-AVERAGE(OFFSET($H$3,0,0,'Données projet'!$E$10+1,1))</f>
        <v>360.05819346986135</v>
      </c>
      <c r="AO175" s="59">
        <f t="shared" si="144"/>
        <v>300.47468388351081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21.009890745016854</v>
      </c>
      <c r="AV175" s="21">
        <f>EXP(-LN(2)/25)*AV174+(1-EXP(-LN(2)/25))/(LN(2)/25)*Calculateur!AQ175*Calculateur!AS175*VLOOKUP('Données projet'!$B$10,Paramètres!$A$1:$I$89,3,0)*0.475*44/12</f>
        <v>0.82520958356104057</v>
      </c>
      <c r="AW175" s="21">
        <f>EXP(-LN(2)/2)*AW174+(1-EXP(-LN(2)/2))/(LN(2)/2)*AQ175*AT175*VLOOKUP('Données projet'!$B$10,Paramètres!$A$1:$I$89,3,0)*0.475*44/12</f>
        <v>2.2207725075725299E-23</v>
      </c>
      <c r="AX175" s="21">
        <f t="shared" si="166"/>
        <v>21.835100328577894</v>
      </c>
      <c r="AY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465.00000000000006</v>
      </c>
      <c r="BE175" s="13">
        <f>BD175*VLOOKUP('Données projet'!$B$11,Paramètres!$A$1:$I$89,3,0)*VLOOKUP('Données projet'!$B$11,Paramètres!$A$1:$I$89,5,0)</f>
        <v>265.98</v>
      </c>
      <c r="BF175" s="13">
        <f t="shared" si="167"/>
        <v>63.995380422211589</v>
      </c>
      <c r="BG175" s="20">
        <f t="shared" si="168"/>
        <v>574.70712090201857</v>
      </c>
      <c r="BH175" s="59">
        <f t="shared" si="116"/>
        <v>868.04045423535194</v>
      </c>
      <c r="BI175" s="59">
        <f ca="1">AVERAGE(OFFSET($BH$3,0,0,'Données projet'!$E$11+1,1))-AVERAGE(OFFSET($H$3,0,0,'Données projet'!$E$11+1,1))</f>
        <v>250.90038883668348</v>
      </c>
      <c r="BJ175" s="59">
        <f t="shared" si="146"/>
        <v>141.96132114475608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16.09115830087805</v>
      </c>
      <c r="BQ175" s="21">
        <f>EXP(-LN(2)/25)*BQ174+(1-EXP(-LN(2)/25))/(LN(2)/25)*Calculateur!BL175*Calculateur!BN175*VLOOKUP('Données projet'!$B$11,Paramètres!$A$1:$I$89,3,0)*0.475*44/12</f>
        <v>0.23218876943259767</v>
      </c>
      <c r="BR175" s="21">
        <f>EXP(-LN(2)/2)*BR174+(1-EXP(-LN(2)/2))/(LN(2)/2)*BL175*BO175*VLOOKUP('Données projet'!$B$11,Paramètres!$A$1:$I$89,3,0)*0.475*44/12</f>
        <v>1.6000767936744483E-21</v>
      </c>
      <c r="BS175" s="22">
        <f t="shared" si="169"/>
        <v>16.323347070310646</v>
      </c>
      <c r="BT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319</v>
      </c>
      <c r="BZ175" s="13">
        <f>BY175*VLOOKUP('Données projet'!$B$12,Paramètres!$A$1:$I$89,3,0)*VLOOKUP('Données projet'!$B$12,Paramètres!$A$1:$I$89,5,0)</f>
        <v>253.79640000000001</v>
      </c>
      <c r="CA175" s="13">
        <f t="shared" si="170"/>
        <v>61.39816832228076</v>
      </c>
      <c r="CB175" s="20">
        <f t="shared" si="171"/>
        <v>548.96387316130563</v>
      </c>
      <c r="CC175" s="59">
        <f t="shared" si="119"/>
        <v>842.29720649463889</v>
      </c>
      <c r="CD175" s="59">
        <f ca="1">AVERAGE(OFFSET($CC$3,0,0,'Données projet'!$E$12+1,1))-AVERAGE(OFFSET($H$3,0,0,'Données projet'!$E$12+1,1))</f>
        <v>279.49721661620544</v>
      </c>
      <c r="CE175" s="59">
        <f t="shared" si="148"/>
        <v>275.18739333988754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8.5975244458190812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8.5975244458190812</v>
      </c>
      <c r="CO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789</v>
      </c>
      <c r="CU175" s="17">
        <f>CT175*VLOOKUP('Données projet'!$B$13,Paramètres!$A$1:$I$89,3,0)*VLOOKUP('Données projet'!$B$13,Paramètres!$A$1:$I$89,5,0)</f>
        <v>389.76600000000002</v>
      </c>
      <c r="CV175" s="13">
        <f t="shared" si="173"/>
        <v>89.698759503620408</v>
      </c>
      <c r="CW175" s="20">
        <f t="shared" si="174"/>
        <v>835.06778946880547</v>
      </c>
      <c r="CX175" s="59">
        <f t="shared" si="122"/>
        <v>1128.4011228021388</v>
      </c>
      <c r="CY175" s="59">
        <f ca="1">AVERAGE(OFFSET($CX$3,0,0,'Données projet'!$E$13+1,1))-AVERAGE(OFFSET($H$3,0,0,'Données projet'!$E$13+1,1))</f>
        <v>396.27049617044378</v>
      </c>
      <c r="CZ175" s="59">
        <f t="shared" si="150"/>
        <v>335.2680289568774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23.306189569586941</v>
      </c>
      <c r="DG175" s="21">
        <f>EXP(-LN(2)/25)*DG174+(1-EXP(-LN(2)/25))/(LN(2)/25)*Calculateur!DB175*Calculateur!DD175*VLOOKUP('Données projet'!$B$13,Paramètres!$A$1:$I$89,3,0)*0.475*44/12</f>
        <v>0.91689953729004636</v>
      </c>
      <c r="DH175" s="21">
        <f>EXP(-LN(2)/2)*DH174+(1-EXP(-LN(2)/2))/(LN(2)/2)*DB175*DE175*VLOOKUP('Données projet'!$B$13,Paramètres!$A$1:$I$89,3,0)*0.475*44/12</f>
        <v>1.6285665055531896E-22</v>
      </c>
      <c r="DI175" s="22">
        <f t="shared" si="175"/>
        <v>24.223089106876987</v>
      </c>
      <c r="DJ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541.99999999999989</v>
      </c>
      <c r="DP175" s="17">
        <f>DO175*VLOOKUP('Données projet'!$B$14,Paramètres!$A$1:$I$89,3,0)*VLOOKUP('Données projet'!$B$14,Paramètres!$A$1:$I$89,5,0)</f>
        <v>310.02399999999994</v>
      </c>
      <c r="DQ175" s="13">
        <f t="shared" si="176"/>
        <v>73.27384230442388</v>
      </c>
      <c r="DR175" s="20">
        <f t="shared" si="177"/>
        <v>667.57707534687154</v>
      </c>
      <c r="DS175" s="59">
        <f t="shared" si="125"/>
        <v>960.91040868020491</v>
      </c>
      <c r="DT175" s="59">
        <f ca="1">AVERAGE(OFFSET($DS$3,0,0,'Données projet'!$E$14+1,1))-AVERAGE(OFFSET($H$3,0,0,'Données projet'!$E$14+1,1))</f>
        <v>307.43900954374504</v>
      </c>
      <c r="DU175" s="59">
        <f t="shared" si="152"/>
        <v>185.25270859048999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18.531776503403165</v>
      </c>
      <c r="EB175" s="21">
        <f>EXP(-LN(2)/25)*EB174+(1-EXP(-LN(2)/25))/(LN(2)/25)*Calculateur!DW175*Calculateur!DY175*VLOOKUP('Données projet'!$B$14,Paramètres!$A$1:$I$89,3,0)*0.475*44/12</f>
        <v>0.52118500014381552</v>
      </c>
      <c r="EC175" s="21">
        <f>EXP(-LN(2)/2)*EC174+(1-EXP(-LN(2)/2))/(LN(2)/2)*DW175*DZ175*VLOOKUP('Données projet'!$B$14,Paramètres!$A$1:$I$89,3,0)*0.475*44/12</f>
        <v>1.5428524789451263E-22</v>
      </c>
      <c r="ED175" s="22">
        <f t="shared" si="178"/>
        <v>19.052961503546982</v>
      </c>
      <c r="EE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401</v>
      </c>
      <c r="EK175" s="17">
        <f>EJ175*VLOOKUP('Données projet'!$B$15,Paramètres!$A$1:$I$89,3,0)*VLOOKUP('Données projet'!$B$15,Paramètres!$A$1:$I$89,5,0)</f>
        <v>250.22399999999999</v>
      </c>
      <c r="EL175" s="13">
        <f t="shared" si="179"/>
        <v>60.633904580527918</v>
      </c>
      <c r="EM175" s="20">
        <f t="shared" si="180"/>
        <v>541.41085047775289</v>
      </c>
      <c r="EN175" s="59">
        <f t="shared" si="128"/>
        <v>834.74418381108626</v>
      </c>
      <c r="EO175" s="59">
        <f ca="1">AVERAGE(OFFSET($EN$3,0,0,'Données projet'!$E$15+1,1))-AVERAGE(OFFSET($H$3,0,0,'Données projet'!$E$15+1,1))</f>
        <v>269.77739619445515</v>
      </c>
      <c r="EP175" s="59">
        <f t="shared" si="154"/>
        <v>347.56964743629885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8.3331659151736801</v>
      </c>
      <c r="EW175" s="21">
        <f>EXP(-LN(2)/25)*EW174+(1-EXP(-LN(2)/25))/(LN(2)/25)*Calculateur!ER175*Calculateur!ET175*VLOOKUP('Données projet'!$B$15,Paramètres!$A$1:$I$89,3,0)*0.475*44/12</f>
        <v>1.789446575758314</v>
      </c>
      <c r="EX175" s="21">
        <f>EXP(-LN(2)/2)*EX174+(1-EXP(-LN(2)/2))/(LN(2)/2)*ER175*EU175*VLOOKUP('Données projet'!$B$15,Paramètres!$A$1:$I$89,3,0)*0.475*44/12</f>
        <v>1.0519448720080408E-23</v>
      </c>
      <c r="EY175" s="22">
        <f t="shared" si="181"/>
        <v>10.122612490931994</v>
      </c>
      <c r="EZ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367.99999999999972</v>
      </c>
      <c r="FF175" s="17">
        <f>FE175*VLOOKUP('Données projet'!$B$16,Paramètres!$A$1:$I$89,3,0)*VLOOKUP('Données projet'!$B$16,Paramètres!$A$1:$I$89,5,0)</f>
        <v>292.78079999999977</v>
      </c>
      <c r="FG175" s="13">
        <f t="shared" si="182"/>
        <v>69.660903052386217</v>
      </c>
      <c r="FH175" s="20">
        <f t="shared" si="183"/>
        <v>631.25263281623893</v>
      </c>
      <c r="FI175" s="59">
        <f t="shared" si="131"/>
        <v>924.58596614957219</v>
      </c>
      <c r="FJ175" s="59">
        <f ca="1">AVERAGE(OFFSET($FI$3,0,0,'Données projet'!$E$16+1,1))-AVERAGE(OFFSET($H$3,0,0,'Données projet'!$E$16+1,1))</f>
        <v>331.52724290297675</v>
      </c>
      <c r="FK175" s="59">
        <f t="shared" si="156"/>
        <v>322.79102610158054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9.9662613449539901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9.9662613449539901</v>
      </c>
      <c r="FU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852.00000000000011</v>
      </c>
      <c r="GA175" s="17">
        <f>FZ175*VLOOKUP('Données projet'!$B$17,Paramètres!$A$1:$I$89,3,0)*VLOOKUP('Données projet'!$B$17,Paramètres!$A$1:$I$89,5,0)</f>
        <v>420.88800000000009</v>
      </c>
      <c r="GB175" s="13">
        <f t="shared" si="185"/>
        <v>95.998759891259041</v>
      </c>
      <c r="GC175" s="20">
        <f t="shared" si="186"/>
        <v>900.24444014394294</v>
      </c>
      <c r="GD175" s="59">
        <f t="shared" si="134"/>
        <v>1193.5777734772762</v>
      </c>
      <c r="GE175" s="59">
        <f ca="1">AVERAGE(OFFSET($GD$3,0,0,'Données projet'!$E$17+1,1))-AVERAGE(OFFSET($H$3,0,0,'Données projet'!$E$17+1,1))</f>
        <v>434.08297999735811</v>
      </c>
      <c r="GF175" s="59">
        <f t="shared" si="158"/>
        <v>371.04090283546122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25.713558983424715</v>
      </c>
      <c r="GM175" s="21">
        <f>EXP(-LN(2)/25)*GM174+(1-EXP(-LN(2)/25))/(LN(2)/25)*Calculateur!GH175*Calculateur!GJ175*VLOOKUP('Données projet'!$B$17,Paramètres!$A$1:$I$89,3,0)*0.475*44/12</f>
        <v>1.0085894910190516</v>
      </c>
      <c r="GN175" s="21">
        <f>EXP(-LN(2)/2)*GN174+(1-EXP(-LN(2)/2))/(LN(2)/2)*GH175*GK175*VLOOKUP('Données projet'!$B$17,Paramètres!$A$1:$I$89,3,0)*0.475*44/12</f>
        <v>3.1831072608539599E-22</v>
      </c>
      <c r="GO175" s="21">
        <f t="shared" si="187"/>
        <v>26.722148474443767</v>
      </c>
      <c r="GP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614.99999999999989</v>
      </c>
      <c r="GV175" s="17">
        <f>GU175*VLOOKUP('Données projet'!$B$18,Paramètres!$A$1:$I$89,3,0)*VLOOKUP('Données projet'!$B$18,Paramètres!$A$1:$I$89,5,0)</f>
        <v>351.78</v>
      </c>
      <c r="GW175" s="13">
        <f t="shared" si="188"/>
        <v>81.92892344316067</v>
      </c>
      <c r="GX175" s="20">
        <f t="shared" si="189"/>
        <v>755.37637499683808</v>
      </c>
      <c r="GY175" s="59">
        <f t="shared" si="137"/>
        <v>1048.7097083301715</v>
      </c>
      <c r="GZ175" s="59">
        <f ca="1">AVERAGE(OFFSET($GY$3,0,0,'Données projet'!$E$18+1,1))-AVERAGE(OFFSET($H$3,0,0,'Données projet'!$E$18+1,1))</f>
        <v>362.57172983134313</v>
      </c>
      <c r="HA175" s="59">
        <f t="shared" si="160"/>
        <v>232.03250917542471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20.898190240606016</v>
      </c>
      <c r="HH175" s="21">
        <f>EXP(-LN(2)/25)*HH174+(1-EXP(-LN(2)/25))/(LN(2)/25)*Calculateur!HC175*Calculateur!HE175*VLOOKUP('Données projet'!$B$18,Paramètres!$A$1:$I$89,3,0)*0.475*44/12</f>
        <v>0.6080491668344522</v>
      </c>
      <c r="HI175" s="21">
        <f>EXP(-LN(2)/2)*HI174+(1-EXP(-LN(2)/2))/(LN(2)/2)*HC175*HF175*VLOOKUP('Données projet'!$B$18,Paramètres!$A$1:$I$89,3,0)*0.475*44/12</f>
        <v>3.1714189844983143E-22</v>
      </c>
      <c r="HJ175" s="22">
        <f t="shared" si="190"/>
        <v>21.506239407440468</v>
      </c>
    </row>
    <row r="176" spans="1:218" x14ac:dyDescent="0.3">
      <c r="A176" s="10">
        <f t="shared" si="161"/>
        <v>173</v>
      </c>
      <c r="B176" s="71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5">
        <f t="shared" si="110"/>
        <v>478.18333093112028</v>
      </c>
      <c r="I176" s="6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266.99999999999983</v>
      </c>
      <c r="O176" s="13">
        <f>N176*VLOOKUP('Données projet'!$B$9,Paramètres!$A$1:$I$89,3,0)*VLOOKUP('Données projet'!$B$9,Paramètres!$A$1:$I$89,5,0)</f>
        <v>212.42519999999985</v>
      </c>
      <c r="P176" s="13">
        <f t="shared" si="141"/>
        <v>52.465198231787184</v>
      </c>
      <c r="Q176" s="20">
        <f t="shared" si="162"/>
        <v>461.35077692036231</v>
      </c>
      <c r="R176" s="59">
        <f t="shared" si="109"/>
        <v>754.68411025369562</v>
      </c>
      <c r="S176" s="59">
        <f ca="1">AVERAGE(OFFSET($R$3,0,0,'Données projet'!$E$9+1,1))-AVERAGE(OFFSET($H$3,0,0,'Données projet'!$E$9+1,1))</f>
        <v>225.2323446080772</v>
      </c>
      <c r="T176" s="59">
        <f t="shared" si="142"/>
        <v>222.29030402759292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6.8782457086851796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6.8782457086851796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732.99999999999966</v>
      </c>
      <c r="AJ176" s="13">
        <f>AI176*VLOOKUP('Données projet'!$B$10,Paramètres!$A$1:$I$89,3,0)*VLOOKUP('Données projet'!$B$10,Paramètres!$A$1:$I$89,5,0)</f>
        <v>362.1019999999998</v>
      </c>
      <c r="AK176" s="13">
        <f t="shared" si="164"/>
        <v>84.049487364732272</v>
      </c>
      <c r="AL176" s="20">
        <f t="shared" si="165"/>
        <v>777.04717382690842</v>
      </c>
      <c r="AM176" s="59">
        <f t="shared" si="113"/>
        <v>1070.3805071602417</v>
      </c>
      <c r="AN176" s="59">
        <f ca="1">AVERAGE(OFFSET($AM$3,0,0,'Données projet'!$E$10+1,1))-AVERAGE(OFFSET($H$3,0,0,'Données projet'!$E$10+1,1))</f>
        <v>360.05819346986135</v>
      </c>
      <c r="AO176" s="59">
        <f t="shared" si="144"/>
        <v>300.47468388351081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20.597899602275074</v>
      </c>
      <c r="AV176" s="21">
        <f>EXP(-LN(2)/25)*AV175+(1-EXP(-LN(2)/25))/(LN(2)/25)*Calculateur!AQ176*Calculateur!AS176*VLOOKUP('Données projet'!$B$10,Paramètres!$A$1:$I$89,3,0)*0.475*44/12</f>
        <v>0.8026441841026779</v>
      </c>
      <c r="AW176" s="21">
        <f>EXP(-LN(2)/2)*AW175+(1-EXP(-LN(2)/2))/(LN(2)/2)*AQ176*AT176*VLOOKUP('Données projet'!$B$10,Paramètres!$A$1:$I$89,3,0)*0.475*44/12</f>
        <v>1.5703232995771893E-23</v>
      </c>
      <c r="AX176" s="21">
        <f t="shared" si="166"/>
        <v>21.400543786377753</v>
      </c>
      <c r="AY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465.00000000000006</v>
      </c>
      <c r="BE176" s="13">
        <f>BD176*VLOOKUP('Données projet'!$B$11,Paramètres!$A$1:$I$89,3,0)*VLOOKUP('Données projet'!$B$11,Paramètres!$A$1:$I$89,5,0)</f>
        <v>265.98</v>
      </c>
      <c r="BF176" s="13">
        <f t="shared" si="167"/>
        <v>63.995380422211589</v>
      </c>
      <c r="BG176" s="20">
        <f t="shared" si="168"/>
        <v>574.70712090201857</v>
      </c>
      <c r="BH176" s="59">
        <f t="shared" si="116"/>
        <v>868.04045423535194</v>
      </c>
      <c r="BI176" s="59">
        <f ca="1">AVERAGE(OFFSET($BH$3,0,0,'Données projet'!$E$11+1,1))-AVERAGE(OFFSET($H$3,0,0,'Données projet'!$E$11+1,1))</f>
        <v>250.90038883668348</v>
      </c>
      <c r="BJ176" s="59">
        <f t="shared" si="146"/>
        <v>141.96132114475608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15.775620501235279</v>
      </c>
      <c r="BQ176" s="21">
        <f>EXP(-LN(2)/25)*BQ175+(1-EXP(-LN(2)/25))/(LN(2)/25)*Calculateur!BL176*Calculateur!BN176*VLOOKUP('Données projet'!$B$11,Paramètres!$A$1:$I$89,3,0)*0.475*44/12</f>
        <v>0.22583955532218658</v>
      </c>
      <c r="BR176" s="21">
        <f>EXP(-LN(2)/2)*BR175+(1-EXP(-LN(2)/2))/(LN(2)/2)*BL176*BO176*VLOOKUP('Données projet'!$B$11,Paramètres!$A$1:$I$89,3,0)*0.475*44/12</f>
        <v>1.1314251512264306E-21</v>
      </c>
      <c r="BS176" s="22">
        <f t="shared" si="169"/>
        <v>16.001460056557466</v>
      </c>
      <c r="BT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319</v>
      </c>
      <c r="BZ176" s="13">
        <f>BY176*VLOOKUP('Données projet'!$B$12,Paramètres!$A$1:$I$89,3,0)*VLOOKUP('Données projet'!$B$12,Paramètres!$A$1:$I$89,5,0)</f>
        <v>253.79640000000001</v>
      </c>
      <c r="CA176" s="13">
        <f t="shared" si="170"/>
        <v>61.39816832228076</v>
      </c>
      <c r="CB176" s="20">
        <f t="shared" si="171"/>
        <v>548.96387316130563</v>
      </c>
      <c r="CC176" s="59">
        <f t="shared" si="119"/>
        <v>842.29720649463889</v>
      </c>
      <c r="CD176" s="59">
        <f ca="1">AVERAGE(OFFSET($CC$3,0,0,'Données projet'!$E$12+1,1))-AVERAGE(OFFSET($H$3,0,0,'Données projet'!$E$12+1,1))</f>
        <v>279.49721661620544</v>
      </c>
      <c r="CE176" s="59">
        <f t="shared" si="148"/>
        <v>275.18739333988754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8.4289322354086824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8.4289322354086824</v>
      </c>
      <c r="CO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789</v>
      </c>
      <c r="CU176" s="17">
        <f>CT176*VLOOKUP('Données projet'!$B$13,Paramètres!$A$1:$I$89,3,0)*VLOOKUP('Données projet'!$B$13,Paramètres!$A$1:$I$89,5,0)</f>
        <v>389.76600000000002</v>
      </c>
      <c r="CV176" s="13">
        <f t="shared" si="173"/>
        <v>89.698759503620408</v>
      </c>
      <c r="CW176" s="20">
        <f t="shared" si="174"/>
        <v>835.06778946880547</v>
      </c>
      <c r="CX176" s="59">
        <f t="shared" si="122"/>
        <v>1128.4011228021388</v>
      </c>
      <c r="CY176" s="59">
        <f ca="1">AVERAGE(OFFSET($CX$3,0,0,'Données projet'!$E$13+1,1))-AVERAGE(OFFSET($H$3,0,0,'Données projet'!$E$13+1,1))</f>
        <v>396.27049617044378</v>
      </c>
      <c r="CZ176" s="59">
        <f t="shared" si="150"/>
        <v>335.2680289568774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22.849169407499328</v>
      </c>
      <c r="DG176" s="21">
        <f>EXP(-LN(2)/25)*DG175+(1-EXP(-LN(2)/25))/(LN(2)/25)*Calculateur!DB176*Calculateur!DD176*VLOOKUP('Données projet'!$B$13,Paramètres!$A$1:$I$89,3,0)*0.475*44/12</f>
        <v>0.89182687122519899</v>
      </c>
      <c r="DH176" s="21">
        <f>EXP(-LN(2)/2)*DH175+(1-EXP(-LN(2)/2))/(LN(2)/2)*DB176*DE176*VLOOKUP('Données projet'!$B$13,Paramètres!$A$1:$I$89,3,0)*0.475*44/12</f>
        <v>1.1515704196899396E-22</v>
      </c>
      <c r="DI176" s="22">
        <f t="shared" si="175"/>
        <v>23.740996278724527</v>
      </c>
      <c r="DJ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541.99999999999989</v>
      </c>
      <c r="DP176" s="17">
        <f>DO176*VLOOKUP('Données projet'!$B$14,Paramètres!$A$1:$I$89,3,0)*VLOOKUP('Données projet'!$B$14,Paramètres!$A$1:$I$89,5,0)</f>
        <v>310.02399999999994</v>
      </c>
      <c r="DQ176" s="13">
        <f t="shared" si="176"/>
        <v>73.27384230442388</v>
      </c>
      <c r="DR176" s="20">
        <f t="shared" si="177"/>
        <v>667.57707534687154</v>
      </c>
      <c r="DS176" s="59">
        <f t="shared" si="125"/>
        <v>960.91040868020491</v>
      </c>
      <c r="DT176" s="59">
        <f ca="1">AVERAGE(OFFSET($DS$3,0,0,'Données projet'!$E$14+1,1))-AVERAGE(OFFSET($H$3,0,0,'Données projet'!$E$14+1,1))</f>
        <v>307.43900954374504</v>
      </c>
      <c r="DU176" s="59">
        <f t="shared" si="152"/>
        <v>185.25270859048999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18.168379669438991</v>
      </c>
      <c r="EB176" s="21">
        <f>EXP(-LN(2)/25)*EB175+(1-EXP(-LN(2)/25))/(LN(2)/25)*Calculateur!DW176*Calculateur!DY176*VLOOKUP('Données projet'!$B$14,Paramètres!$A$1:$I$89,3,0)*0.475*44/12</f>
        <v>0.50693316890695495</v>
      </c>
      <c r="EC176" s="21">
        <f>EXP(-LN(2)/2)*EC175+(1-EXP(-LN(2)/2))/(LN(2)/2)*DW176*DZ176*VLOOKUP('Données projet'!$B$14,Paramètres!$A$1:$I$89,3,0)*0.475*44/12</f>
        <v>1.0909614502325738E-22</v>
      </c>
      <c r="ED176" s="22">
        <f t="shared" si="178"/>
        <v>18.675312838345945</v>
      </c>
      <c r="EE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401</v>
      </c>
      <c r="EK176" s="17">
        <f>EJ176*VLOOKUP('Données projet'!$B$15,Paramètres!$A$1:$I$89,3,0)*VLOOKUP('Données projet'!$B$15,Paramètres!$A$1:$I$89,5,0)</f>
        <v>250.22399999999999</v>
      </c>
      <c r="EL176" s="13">
        <f t="shared" si="179"/>
        <v>60.633904580527918</v>
      </c>
      <c r="EM176" s="20">
        <f t="shared" si="180"/>
        <v>541.41085047775289</v>
      </c>
      <c r="EN176" s="59">
        <f t="shared" si="128"/>
        <v>834.74418381108626</v>
      </c>
      <c r="EO176" s="59">
        <f ca="1">AVERAGE(OFFSET($EN$3,0,0,'Données projet'!$E$15+1,1))-AVERAGE(OFFSET($H$3,0,0,'Données projet'!$E$15+1,1))</f>
        <v>269.77739619445515</v>
      </c>
      <c r="EP176" s="59">
        <f t="shared" si="154"/>
        <v>347.56964743629885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8.1697576143064552</v>
      </c>
      <c r="EW176" s="21">
        <f>EXP(-LN(2)/25)*EW175+(1-EXP(-LN(2)/25))/(LN(2)/25)*Calculateur!ER176*Calculateur!ET176*VLOOKUP('Données projet'!$B$15,Paramètres!$A$1:$I$89,3,0)*0.475*44/12</f>
        <v>1.7405140650412974</v>
      </c>
      <c r="EX176" s="21">
        <f>EXP(-LN(2)/2)*EX175+(1-EXP(-LN(2)/2))/(LN(2)/2)*ER176*EU176*VLOOKUP('Données projet'!$B$15,Paramètres!$A$1:$I$89,3,0)*0.475*44/12</f>
        <v>7.4383735243130046E-24</v>
      </c>
      <c r="EY176" s="22">
        <f t="shared" si="181"/>
        <v>9.910271679347753</v>
      </c>
      <c r="EZ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367.99999999999972</v>
      </c>
      <c r="FF176" s="17">
        <f>FE176*VLOOKUP('Données projet'!$B$16,Paramètres!$A$1:$I$89,3,0)*VLOOKUP('Données projet'!$B$16,Paramètres!$A$1:$I$89,5,0)</f>
        <v>292.78079999999977</v>
      </c>
      <c r="FG176" s="13">
        <f t="shared" si="182"/>
        <v>69.660903052386217</v>
      </c>
      <c r="FH176" s="20">
        <f t="shared" si="183"/>
        <v>631.25263281623893</v>
      </c>
      <c r="FI176" s="59">
        <f t="shared" si="131"/>
        <v>924.58596614957219</v>
      </c>
      <c r="FJ176" s="59">
        <f ca="1">AVERAGE(OFFSET($FI$3,0,0,'Données projet'!$E$16+1,1))-AVERAGE(OFFSET($H$3,0,0,'Données projet'!$E$16+1,1))</f>
        <v>331.52724290297675</v>
      </c>
      <c r="FK176" s="59">
        <f t="shared" si="156"/>
        <v>322.79102610158054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9.7708290387986292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9.7708290387986292</v>
      </c>
      <c r="FU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852.00000000000011</v>
      </c>
      <c r="GA176" s="17">
        <f>FZ176*VLOOKUP('Données projet'!$B$17,Paramètres!$A$1:$I$89,3,0)*VLOOKUP('Données projet'!$B$17,Paramètres!$A$1:$I$89,5,0)</f>
        <v>420.88800000000009</v>
      </c>
      <c r="GB176" s="13">
        <f t="shared" si="185"/>
        <v>95.998759891259041</v>
      </c>
      <c r="GC176" s="20">
        <f t="shared" si="186"/>
        <v>900.24444014394294</v>
      </c>
      <c r="GD176" s="59">
        <f t="shared" si="134"/>
        <v>1193.5777734772762</v>
      </c>
      <c r="GE176" s="59">
        <f ca="1">AVERAGE(OFFSET($GD$3,0,0,'Données projet'!$E$17+1,1))-AVERAGE(OFFSET($H$3,0,0,'Données projet'!$E$17+1,1))</f>
        <v>434.08297999735811</v>
      </c>
      <c r="GF176" s="59">
        <f t="shared" si="158"/>
        <v>371.04090283546122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25.209331775482099</v>
      </c>
      <c r="GM176" s="21">
        <f>EXP(-LN(2)/25)*GM175+(1-EXP(-LN(2)/25))/(LN(2)/25)*Calculateur!GH176*Calculateur!GJ176*VLOOKUP('Données projet'!$B$17,Paramètres!$A$1:$I$89,3,0)*0.475*44/12</f>
        <v>0.98100955834771941</v>
      </c>
      <c r="GN176" s="21">
        <f>EXP(-LN(2)/2)*GN175+(1-EXP(-LN(2)/2))/(LN(2)/2)*GH176*GK176*VLOOKUP('Données projet'!$B$17,Paramètres!$A$1:$I$89,3,0)*0.475*44/12</f>
        <v>2.2507967293939716E-22</v>
      </c>
      <c r="GO176" s="21">
        <f t="shared" si="187"/>
        <v>26.190341333829817</v>
      </c>
      <c r="GP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614.99999999999989</v>
      </c>
      <c r="GV176" s="17">
        <f>GU176*VLOOKUP('Données projet'!$B$18,Paramètres!$A$1:$I$89,3,0)*VLOOKUP('Données projet'!$B$18,Paramètres!$A$1:$I$89,5,0)</f>
        <v>351.78</v>
      </c>
      <c r="GW176" s="13">
        <f t="shared" si="188"/>
        <v>81.92892344316067</v>
      </c>
      <c r="GX176" s="20">
        <f t="shared" si="189"/>
        <v>755.37637499683808</v>
      </c>
      <c r="GY176" s="59">
        <f t="shared" si="137"/>
        <v>1048.7097083301715</v>
      </c>
      <c r="GZ176" s="59">
        <f ca="1">AVERAGE(OFFSET($GY$3,0,0,'Données projet'!$E$18+1,1))-AVERAGE(OFFSET($H$3,0,0,'Données projet'!$E$18+1,1))</f>
        <v>362.57172983134313</v>
      </c>
      <c r="HA176" s="59">
        <f t="shared" si="160"/>
        <v>232.03250917542471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20.488389476625155</v>
      </c>
      <c r="HH176" s="21">
        <f>EXP(-LN(2)/25)*HH175+(1-EXP(-LN(2)/25))/(LN(2)/25)*Calculateur!HC176*Calculateur!HE176*VLOOKUP('Données projet'!$B$18,Paramètres!$A$1:$I$89,3,0)*0.475*44/12</f>
        <v>0.59142203039144814</v>
      </c>
      <c r="HI176" s="21">
        <f>EXP(-LN(2)/2)*HI175+(1-EXP(-LN(2)/2))/(LN(2)/2)*HC176*HF176*VLOOKUP('Données projet'!$B$18,Paramètres!$A$1:$I$89,3,0)*0.475*44/12</f>
        <v>2.2425318699225123E-22</v>
      </c>
      <c r="HJ176" s="22">
        <f t="shared" si="190"/>
        <v>21.079811507016604</v>
      </c>
    </row>
    <row r="177" spans="1:218" x14ac:dyDescent="0.3">
      <c r="A177" s="10">
        <f t="shared" si="161"/>
        <v>174</v>
      </c>
      <c r="B177" s="71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5">
        <f t="shared" si="110"/>
        <v>479.224899648448</v>
      </c>
      <c r="I177" s="6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266.99999999999983</v>
      </c>
      <c r="O177" s="13">
        <f>N177*VLOOKUP('Données projet'!$B$9,Paramètres!$A$1:$I$89,3,0)*VLOOKUP('Données projet'!$B$9,Paramètres!$A$1:$I$89,5,0)</f>
        <v>212.42519999999985</v>
      </c>
      <c r="P177" s="13">
        <f t="shared" si="141"/>
        <v>52.465198231787184</v>
      </c>
      <c r="Q177" s="20">
        <f t="shared" si="162"/>
        <v>461.35077692036231</v>
      </c>
      <c r="R177" s="59">
        <f t="shared" si="109"/>
        <v>754.68411025369562</v>
      </c>
      <c r="S177" s="59">
        <f ca="1">AVERAGE(OFFSET($R$3,0,0,'Données projet'!$E$9+1,1))-AVERAGE(OFFSET($H$3,0,0,'Données projet'!$E$9+1,1))</f>
        <v>225.2323446080772</v>
      </c>
      <c r="T177" s="59">
        <f t="shared" si="142"/>
        <v>222.29030402759292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6.7433675056534925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6.7433675056534925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732.99999999999966</v>
      </c>
      <c r="AJ177" s="13">
        <f>AI177*VLOOKUP('Données projet'!$B$10,Paramètres!$A$1:$I$89,3,0)*VLOOKUP('Données projet'!$B$10,Paramètres!$A$1:$I$89,5,0)</f>
        <v>362.1019999999998</v>
      </c>
      <c r="AK177" s="13">
        <f t="shared" si="164"/>
        <v>84.049487364732272</v>
      </c>
      <c r="AL177" s="20">
        <f t="shared" si="165"/>
        <v>777.04717382690842</v>
      </c>
      <c r="AM177" s="59">
        <f t="shared" si="113"/>
        <v>1070.3805071602417</v>
      </c>
      <c r="AN177" s="59">
        <f ca="1">AVERAGE(OFFSET($AM$3,0,0,'Données projet'!$E$10+1,1))-AVERAGE(OFFSET($H$3,0,0,'Données projet'!$E$10+1,1))</f>
        <v>360.05819346986135</v>
      </c>
      <c r="AO177" s="59">
        <f t="shared" si="144"/>
        <v>300.47468388351081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20.193987354552679</v>
      </c>
      <c r="AV177" s="21">
        <f>EXP(-LN(2)/25)*AV176+(1-EXP(-LN(2)/25))/(LN(2)/25)*Calculateur!AQ177*Calculateur!AS177*VLOOKUP('Données projet'!$B$10,Paramètres!$A$1:$I$89,3,0)*0.475*44/12</f>
        <v>0.78069583667916698</v>
      </c>
      <c r="AW177" s="21">
        <f>EXP(-LN(2)/2)*AW176+(1-EXP(-LN(2)/2))/(LN(2)/2)*AQ177*AT177*VLOOKUP('Données projet'!$B$10,Paramètres!$A$1:$I$89,3,0)*0.475*44/12</f>
        <v>1.1103862537862649E-23</v>
      </c>
      <c r="AX177" s="21">
        <f t="shared" si="166"/>
        <v>20.974683191231847</v>
      </c>
      <c r="AY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465.00000000000006</v>
      </c>
      <c r="BE177" s="13">
        <f>BD177*VLOOKUP('Données projet'!$B$11,Paramètres!$A$1:$I$89,3,0)*VLOOKUP('Données projet'!$B$11,Paramètres!$A$1:$I$89,5,0)</f>
        <v>265.98</v>
      </c>
      <c r="BF177" s="13">
        <f t="shared" si="167"/>
        <v>63.995380422211589</v>
      </c>
      <c r="BG177" s="20">
        <f t="shared" si="168"/>
        <v>574.70712090201857</v>
      </c>
      <c r="BH177" s="59">
        <f t="shared" si="116"/>
        <v>868.04045423535194</v>
      </c>
      <c r="BI177" s="59">
        <f ca="1">AVERAGE(OFFSET($BH$3,0,0,'Données projet'!$E$11+1,1))-AVERAGE(OFFSET($H$3,0,0,'Données projet'!$E$11+1,1))</f>
        <v>250.90038883668348</v>
      </c>
      <c r="BJ177" s="59">
        <f t="shared" si="146"/>
        <v>141.96132114475608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15.466270205384451</v>
      </c>
      <c r="BQ177" s="21">
        <f>EXP(-LN(2)/25)*BQ176+(1-EXP(-LN(2)/25))/(LN(2)/25)*Calculateur!BL177*Calculateur!BN177*VLOOKUP('Données projet'!$B$11,Paramètres!$A$1:$I$89,3,0)*0.475*44/12</f>
        <v>0.21966396080551534</v>
      </c>
      <c r="BR177" s="21">
        <f>EXP(-LN(2)/2)*BR176+(1-EXP(-LN(2)/2))/(LN(2)/2)*BL177*BO177*VLOOKUP('Données projet'!$B$11,Paramètres!$A$1:$I$89,3,0)*0.475*44/12</f>
        <v>8.0003839683722414E-22</v>
      </c>
      <c r="BS177" s="22">
        <f t="shared" si="169"/>
        <v>15.685934166189966</v>
      </c>
      <c r="BT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319</v>
      </c>
      <c r="BZ177" s="13">
        <f>BY177*VLOOKUP('Données projet'!$B$12,Paramètres!$A$1:$I$89,3,0)*VLOOKUP('Données projet'!$B$12,Paramètres!$A$1:$I$89,5,0)</f>
        <v>253.79640000000001</v>
      </c>
      <c r="CA177" s="13">
        <f t="shared" si="170"/>
        <v>61.39816832228076</v>
      </c>
      <c r="CB177" s="20">
        <f t="shared" si="171"/>
        <v>548.96387316130563</v>
      </c>
      <c r="CC177" s="59">
        <f t="shared" si="119"/>
        <v>842.29720649463889</v>
      </c>
      <c r="CD177" s="59">
        <f ca="1">AVERAGE(OFFSET($CC$3,0,0,'Données projet'!$E$12+1,1))-AVERAGE(OFFSET($H$3,0,0,'Données projet'!$E$12+1,1))</f>
        <v>279.49721661620544</v>
      </c>
      <c r="CE177" s="59">
        <f t="shared" si="148"/>
        <v>275.18739333988754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8.263646015413336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8.263646015413336</v>
      </c>
      <c r="CO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789</v>
      </c>
      <c r="CU177" s="17">
        <f>CT177*VLOOKUP('Données projet'!$B$13,Paramètres!$A$1:$I$89,3,0)*VLOOKUP('Données projet'!$B$13,Paramètres!$A$1:$I$89,5,0)</f>
        <v>389.76600000000002</v>
      </c>
      <c r="CV177" s="13">
        <f t="shared" si="173"/>
        <v>89.698759503620408</v>
      </c>
      <c r="CW177" s="20">
        <f t="shared" si="174"/>
        <v>835.06778946880547</v>
      </c>
      <c r="CX177" s="59">
        <f t="shared" si="122"/>
        <v>1128.4011228021388</v>
      </c>
      <c r="CY177" s="59">
        <f ca="1">AVERAGE(OFFSET($CX$3,0,0,'Données projet'!$E$13+1,1))-AVERAGE(OFFSET($H$3,0,0,'Données projet'!$E$13+1,1))</f>
        <v>396.27049617044378</v>
      </c>
      <c r="CZ177" s="59">
        <f t="shared" si="150"/>
        <v>335.2680289568774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22.401111132035478</v>
      </c>
      <c r="DG177" s="21">
        <f>EXP(-LN(2)/25)*DG176+(1-EXP(-LN(2)/25))/(LN(2)/25)*Calculateur!DB177*Calculateur!DD177*VLOOKUP('Données projet'!$B$13,Paramètres!$A$1:$I$89,3,0)*0.475*44/12</f>
        <v>0.86743981853240903</v>
      </c>
      <c r="DH177" s="21">
        <f>EXP(-LN(2)/2)*DH176+(1-EXP(-LN(2)/2))/(LN(2)/2)*DB177*DE177*VLOOKUP('Données projet'!$B$13,Paramètres!$A$1:$I$89,3,0)*0.475*44/12</f>
        <v>8.1428325277659481E-23</v>
      </c>
      <c r="DI177" s="22">
        <f t="shared" si="175"/>
        <v>23.268550950567885</v>
      </c>
      <c r="DJ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541.99999999999989</v>
      </c>
      <c r="DP177" s="17">
        <f>DO177*VLOOKUP('Données projet'!$B$14,Paramètres!$A$1:$I$89,3,0)*VLOOKUP('Données projet'!$B$14,Paramètres!$A$1:$I$89,5,0)</f>
        <v>310.02399999999994</v>
      </c>
      <c r="DQ177" s="13">
        <f t="shared" si="176"/>
        <v>73.27384230442388</v>
      </c>
      <c r="DR177" s="20">
        <f t="shared" si="177"/>
        <v>667.57707534687154</v>
      </c>
      <c r="DS177" s="59">
        <f t="shared" si="125"/>
        <v>960.91040868020491</v>
      </c>
      <c r="DT177" s="59">
        <f ca="1">AVERAGE(OFFSET($DS$3,0,0,'Données projet'!$E$14+1,1))-AVERAGE(OFFSET($H$3,0,0,'Données projet'!$E$14+1,1))</f>
        <v>307.43900954374504</v>
      </c>
      <c r="DU177" s="59">
        <f t="shared" si="152"/>
        <v>185.25270859048999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17.812108825738672</v>
      </c>
      <c r="EB177" s="21">
        <f>EXP(-LN(2)/25)*EB176+(1-EXP(-LN(2)/25))/(LN(2)/25)*Calculateur!DW177*Calculateur!DY177*VLOOKUP('Données projet'!$B$14,Paramètres!$A$1:$I$89,3,0)*0.475*44/12</f>
        <v>0.4930710547447375</v>
      </c>
      <c r="EC177" s="21">
        <f>EXP(-LN(2)/2)*EC176+(1-EXP(-LN(2)/2))/(LN(2)/2)*DW177*DZ177*VLOOKUP('Données projet'!$B$14,Paramètres!$A$1:$I$89,3,0)*0.475*44/12</f>
        <v>7.7142623947256316E-23</v>
      </c>
      <c r="ED177" s="22">
        <f t="shared" si="178"/>
        <v>18.305179880483411</v>
      </c>
      <c r="EE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401</v>
      </c>
      <c r="EK177" s="17">
        <f>EJ177*VLOOKUP('Données projet'!$B$15,Paramètres!$A$1:$I$89,3,0)*VLOOKUP('Données projet'!$B$15,Paramètres!$A$1:$I$89,5,0)</f>
        <v>250.22399999999999</v>
      </c>
      <c r="EL177" s="13">
        <f t="shared" si="179"/>
        <v>60.633904580527918</v>
      </c>
      <c r="EM177" s="20">
        <f t="shared" si="180"/>
        <v>541.41085047775289</v>
      </c>
      <c r="EN177" s="59">
        <f t="shared" si="128"/>
        <v>834.74418381108626</v>
      </c>
      <c r="EO177" s="59">
        <f ca="1">AVERAGE(OFFSET($EN$3,0,0,'Données projet'!$E$15+1,1))-AVERAGE(OFFSET($H$3,0,0,'Données projet'!$E$15+1,1))</f>
        <v>269.77739619445515</v>
      </c>
      <c r="EP177" s="59">
        <f t="shared" si="154"/>
        <v>347.56964743629885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8.0095536505500142</v>
      </c>
      <c r="EW177" s="21">
        <f>EXP(-LN(2)/25)*EW176+(1-EXP(-LN(2)/25))/(LN(2)/25)*Calculateur!ER177*Calculateur!ET177*VLOOKUP('Données projet'!$B$15,Paramètres!$A$1:$I$89,3,0)*0.475*44/12</f>
        <v>1.6929196164030864</v>
      </c>
      <c r="EX177" s="21">
        <f>EXP(-LN(2)/2)*EX176+(1-EXP(-LN(2)/2))/(LN(2)/2)*ER177*EU177*VLOOKUP('Données projet'!$B$15,Paramètres!$A$1:$I$89,3,0)*0.475*44/12</f>
        <v>5.2597243600402042E-24</v>
      </c>
      <c r="EY177" s="22">
        <f t="shared" si="181"/>
        <v>9.7024732669531009</v>
      </c>
      <c r="EZ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367.99999999999972</v>
      </c>
      <c r="FF177" s="17">
        <f>FE177*VLOOKUP('Données projet'!$B$16,Paramètres!$A$1:$I$89,3,0)*VLOOKUP('Données projet'!$B$16,Paramètres!$A$1:$I$89,5,0)</f>
        <v>292.78079999999977</v>
      </c>
      <c r="FG177" s="13">
        <f t="shared" si="182"/>
        <v>69.660903052386217</v>
      </c>
      <c r="FH177" s="20">
        <f t="shared" si="183"/>
        <v>631.25263281623893</v>
      </c>
      <c r="FI177" s="59">
        <f t="shared" si="131"/>
        <v>924.58596614957219</v>
      </c>
      <c r="FJ177" s="59">
        <f ca="1">AVERAGE(OFFSET($FI$3,0,0,'Données projet'!$E$16+1,1))-AVERAGE(OFFSET($H$3,0,0,'Données projet'!$E$16+1,1))</f>
        <v>331.52724290297675</v>
      </c>
      <c r="FK177" s="59">
        <f t="shared" si="156"/>
        <v>322.79102610158054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9.5792290409650391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9.5792290409650391</v>
      </c>
      <c r="FU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852.00000000000011</v>
      </c>
      <c r="GA177" s="17">
        <f>FZ177*VLOOKUP('Données projet'!$B$17,Paramètres!$A$1:$I$89,3,0)*VLOOKUP('Données projet'!$B$17,Paramètres!$A$1:$I$89,5,0)</f>
        <v>420.88800000000009</v>
      </c>
      <c r="GB177" s="13">
        <f t="shared" si="185"/>
        <v>95.998759891259041</v>
      </c>
      <c r="GC177" s="20">
        <f t="shared" si="186"/>
        <v>900.24444014394294</v>
      </c>
      <c r="GD177" s="59">
        <f t="shared" si="134"/>
        <v>1193.5777734772762</v>
      </c>
      <c r="GE177" s="59">
        <f ca="1">AVERAGE(OFFSET($GD$3,0,0,'Données projet'!$E$17+1,1))-AVERAGE(OFFSET($H$3,0,0,'Données projet'!$E$17+1,1))</f>
        <v>434.08297999735811</v>
      </c>
      <c r="GF177" s="59">
        <f t="shared" si="158"/>
        <v>371.04090283546122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24.714992155539008</v>
      </c>
      <c r="GM177" s="21">
        <f>EXP(-LN(2)/25)*GM176+(1-EXP(-LN(2)/25))/(LN(2)/25)*Calculateur!GH177*Calculateur!GJ177*VLOOKUP('Données projet'!$B$17,Paramètres!$A$1:$I$89,3,0)*0.475*44/12</f>
        <v>0.95418380038565043</v>
      </c>
      <c r="GN177" s="21">
        <f>EXP(-LN(2)/2)*GN176+(1-EXP(-LN(2)/2))/(LN(2)/2)*GH177*GK177*VLOOKUP('Données projet'!$B$17,Paramètres!$A$1:$I$89,3,0)*0.475*44/12</f>
        <v>1.5915536304269799E-22</v>
      </c>
      <c r="GO177" s="21">
        <f t="shared" si="187"/>
        <v>25.669175955924658</v>
      </c>
      <c r="GP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614.99999999999989</v>
      </c>
      <c r="GV177" s="17">
        <f>GU177*VLOOKUP('Données projet'!$B$18,Paramètres!$A$1:$I$89,3,0)*VLOOKUP('Données projet'!$B$18,Paramètres!$A$1:$I$89,5,0)</f>
        <v>351.78</v>
      </c>
      <c r="GW177" s="13">
        <f t="shared" si="188"/>
        <v>81.92892344316067</v>
      </c>
      <c r="GX177" s="20">
        <f t="shared" si="189"/>
        <v>755.37637499683808</v>
      </c>
      <c r="GY177" s="59">
        <f t="shared" si="137"/>
        <v>1048.7097083301715</v>
      </c>
      <c r="GZ177" s="59">
        <f ca="1">AVERAGE(OFFSET($GY$3,0,0,'Données projet'!$E$18+1,1))-AVERAGE(OFFSET($H$3,0,0,'Données projet'!$E$18+1,1))</f>
        <v>362.57172983134313</v>
      </c>
      <c r="HA177" s="59">
        <f t="shared" si="160"/>
        <v>232.03250917542471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20.086624655672171</v>
      </c>
      <c r="HH177" s="21">
        <f>EXP(-LN(2)/25)*HH176+(1-EXP(-LN(2)/25))/(LN(2)/25)*Calculateur!HC177*Calculateur!HE177*VLOOKUP('Données projet'!$B$18,Paramètres!$A$1:$I$89,3,0)*0.475*44/12</f>
        <v>0.57524956386886117</v>
      </c>
      <c r="HI177" s="21">
        <f>EXP(-LN(2)/2)*HI176+(1-EXP(-LN(2)/2))/(LN(2)/2)*HC177*HF177*VLOOKUP('Données projet'!$B$18,Paramètres!$A$1:$I$89,3,0)*0.475*44/12</f>
        <v>1.5857094922491572E-22</v>
      </c>
      <c r="HJ177" s="22">
        <f t="shared" si="190"/>
        <v>20.661874219541033</v>
      </c>
    </row>
    <row r="178" spans="1:218" x14ac:dyDescent="0.3">
      <c r="A178" s="10">
        <f t="shared" si="161"/>
        <v>175</v>
      </c>
      <c r="B178" s="71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5">
        <f t="shared" si="110"/>
        <v>480.26633205731122</v>
      </c>
      <c r="I178" s="6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266.99999999999983</v>
      </c>
      <c r="O178" s="13">
        <f>N178*VLOOKUP('Données projet'!$B$9,Paramètres!$A$1:$I$89,3,0)*VLOOKUP('Données projet'!$B$9,Paramètres!$A$1:$I$89,5,0)</f>
        <v>212.42519999999985</v>
      </c>
      <c r="P178" s="13">
        <f t="shared" si="141"/>
        <v>52.465198231787184</v>
      </c>
      <c r="Q178" s="20">
        <f t="shared" si="162"/>
        <v>461.35077692036231</v>
      </c>
      <c r="R178" s="59">
        <f t="shared" si="109"/>
        <v>754.68411025369562</v>
      </c>
      <c r="S178" s="59">
        <f ca="1">AVERAGE(OFFSET($R$3,0,0,'Données projet'!$E$9+1,1))-AVERAGE(OFFSET($H$3,0,0,'Données projet'!$E$9+1,1))</f>
        <v>225.2323446080772</v>
      </c>
      <c r="T178" s="59">
        <f t="shared" si="142"/>
        <v>222.29030402759292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6.6111341819156761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6.6111341819156761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732.99999999999966</v>
      </c>
      <c r="AJ178" s="13">
        <f>AI178*VLOOKUP('Données projet'!$B$10,Paramètres!$A$1:$I$89,3,0)*VLOOKUP('Données projet'!$B$10,Paramètres!$A$1:$I$89,5,0)</f>
        <v>362.1019999999998</v>
      </c>
      <c r="AK178" s="13">
        <f t="shared" si="164"/>
        <v>84.049487364732272</v>
      </c>
      <c r="AL178" s="20">
        <f t="shared" si="165"/>
        <v>777.04717382690842</v>
      </c>
      <c r="AM178" s="59">
        <f t="shared" si="113"/>
        <v>1070.3805071602417</v>
      </c>
      <c r="AN178" s="59">
        <f ca="1">AVERAGE(OFFSET($AM$3,0,0,'Données projet'!$E$10+1,1))-AVERAGE(OFFSET($H$3,0,0,'Données projet'!$E$10+1,1))</f>
        <v>360.05819346986135</v>
      </c>
      <c r="AO178" s="59">
        <f t="shared" si="144"/>
        <v>300.47468388351081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19.797995579645974</v>
      </c>
      <c r="AV178" s="21">
        <f>EXP(-LN(2)/25)*AV177+(1-EXP(-LN(2)/25))/(LN(2)/25)*Calculateur!AQ178*Calculateur!AS178*VLOOKUP('Données projet'!$B$10,Paramètres!$A$1:$I$89,3,0)*0.475*44/12</f>
        <v>0.7593476679701654</v>
      </c>
      <c r="AW178" s="21">
        <f>EXP(-LN(2)/2)*AW177+(1-EXP(-LN(2)/2))/(LN(2)/2)*AQ178*AT178*VLOOKUP('Données projet'!$B$10,Paramètres!$A$1:$I$89,3,0)*0.475*44/12</f>
        <v>7.8516164978859465E-24</v>
      </c>
      <c r="AX178" s="21">
        <f t="shared" si="166"/>
        <v>20.557343247616139</v>
      </c>
      <c r="AY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465.00000000000006</v>
      </c>
      <c r="BE178" s="13">
        <f>BD178*VLOOKUP('Données projet'!$B$11,Paramètres!$A$1:$I$89,3,0)*VLOOKUP('Données projet'!$B$11,Paramètres!$A$1:$I$89,5,0)</f>
        <v>265.98</v>
      </c>
      <c r="BF178" s="13">
        <f t="shared" si="167"/>
        <v>63.995380422211589</v>
      </c>
      <c r="BG178" s="20">
        <f t="shared" si="168"/>
        <v>574.70712090201857</v>
      </c>
      <c r="BH178" s="59">
        <f t="shared" si="116"/>
        <v>868.04045423535194</v>
      </c>
      <c r="BI178" s="59">
        <f ca="1">AVERAGE(OFFSET($BH$3,0,0,'Données projet'!$E$11+1,1))-AVERAGE(OFFSET($H$3,0,0,'Données projet'!$E$11+1,1))</f>
        <v>250.90038883668348</v>
      </c>
      <c r="BJ178" s="59">
        <f t="shared" si="146"/>
        <v>141.96132114475608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15.162986080150207</v>
      </c>
      <c r="BQ178" s="21">
        <f>EXP(-LN(2)/25)*BQ177+(1-EXP(-LN(2)/25))/(LN(2)/25)*Calculateur!BL178*Calculateur!BN178*VLOOKUP('Données projet'!$B$11,Paramètres!$A$1:$I$89,3,0)*0.475*44/12</f>
        <v>0.21365723824566288</v>
      </c>
      <c r="BR178" s="21">
        <f>EXP(-LN(2)/2)*BR177+(1-EXP(-LN(2)/2))/(LN(2)/2)*BL178*BO178*VLOOKUP('Données projet'!$B$11,Paramètres!$A$1:$I$89,3,0)*0.475*44/12</f>
        <v>5.6571257561321532E-22</v>
      </c>
      <c r="BS178" s="22">
        <f t="shared" si="169"/>
        <v>15.376643318395869</v>
      </c>
      <c r="BT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319</v>
      </c>
      <c r="BZ178" s="13">
        <f>BY178*VLOOKUP('Données projet'!$B$12,Paramètres!$A$1:$I$89,3,0)*VLOOKUP('Données projet'!$B$12,Paramètres!$A$1:$I$89,5,0)</f>
        <v>253.79640000000001</v>
      </c>
      <c r="CA178" s="13">
        <f t="shared" si="170"/>
        <v>61.39816832228076</v>
      </c>
      <c r="CB178" s="20">
        <f t="shared" si="171"/>
        <v>548.96387316130563</v>
      </c>
      <c r="CC178" s="59">
        <f t="shared" si="119"/>
        <v>842.29720649463889</v>
      </c>
      <c r="CD178" s="59">
        <f ca="1">AVERAGE(OFFSET($CC$3,0,0,'Données projet'!$E$12+1,1))-AVERAGE(OFFSET($H$3,0,0,'Données projet'!$E$12+1,1))</f>
        <v>279.49721661620544</v>
      </c>
      <c r="CE178" s="59">
        <f t="shared" si="148"/>
        <v>275.18739333988754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8.1016009573774586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8.1016009573774586</v>
      </c>
      <c r="CO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789</v>
      </c>
      <c r="CU178" s="17">
        <f>CT178*VLOOKUP('Données projet'!$B$13,Paramètres!$A$1:$I$89,3,0)*VLOOKUP('Données projet'!$B$13,Paramètres!$A$1:$I$89,5,0)</f>
        <v>389.76600000000002</v>
      </c>
      <c r="CV178" s="13">
        <f t="shared" si="173"/>
        <v>89.698759503620408</v>
      </c>
      <c r="CW178" s="20">
        <f t="shared" si="174"/>
        <v>835.06778946880547</v>
      </c>
      <c r="CX178" s="59">
        <f t="shared" si="122"/>
        <v>1128.4011228021388</v>
      </c>
      <c r="CY178" s="59">
        <f ca="1">AVERAGE(OFFSET($CX$3,0,0,'Données projet'!$E$13+1,1))-AVERAGE(OFFSET($H$3,0,0,'Données projet'!$E$13+1,1))</f>
        <v>396.27049617044378</v>
      </c>
      <c r="CZ178" s="59">
        <f t="shared" si="150"/>
        <v>335.2680289568774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21.96183900606491</v>
      </c>
      <c r="DG178" s="21">
        <f>EXP(-LN(2)/25)*DG177+(1-EXP(-LN(2)/25))/(LN(2)/25)*Calculateur!DB178*Calculateur!DD178*VLOOKUP('Données projet'!$B$13,Paramètres!$A$1:$I$89,3,0)*0.475*44/12</f>
        <v>0.84371963107796277</v>
      </c>
      <c r="DH178" s="21">
        <f>EXP(-LN(2)/2)*DH177+(1-EXP(-LN(2)/2))/(LN(2)/2)*DB178*DE178*VLOOKUP('Données projet'!$B$13,Paramètres!$A$1:$I$89,3,0)*0.475*44/12</f>
        <v>5.7578520984496979E-23</v>
      </c>
      <c r="DI178" s="22">
        <f t="shared" si="175"/>
        <v>22.805558637142873</v>
      </c>
      <c r="DJ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541.99999999999989</v>
      </c>
      <c r="DP178" s="17">
        <f>DO178*VLOOKUP('Données projet'!$B$14,Paramètres!$A$1:$I$89,3,0)*VLOOKUP('Données projet'!$B$14,Paramètres!$A$1:$I$89,5,0)</f>
        <v>310.02399999999994</v>
      </c>
      <c r="DQ178" s="13">
        <f t="shared" si="176"/>
        <v>73.27384230442388</v>
      </c>
      <c r="DR178" s="20">
        <f t="shared" si="177"/>
        <v>667.57707534687154</v>
      </c>
      <c r="DS178" s="59">
        <f t="shared" si="125"/>
        <v>960.91040868020491</v>
      </c>
      <c r="DT178" s="59">
        <f ca="1">AVERAGE(OFFSET($DS$3,0,0,'Données projet'!$E$14+1,1))-AVERAGE(OFFSET($H$3,0,0,'Données projet'!$E$14+1,1))</f>
        <v>307.43900954374504</v>
      </c>
      <c r="DU178" s="59">
        <f t="shared" si="152"/>
        <v>185.25270859048999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17.462824235979557</v>
      </c>
      <c r="EB178" s="21">
        <f>EXP(-LN(2)/25)*EB177+(1-EXP(-LN(2)/25))/(LN(2)/25)*Calculateur!DW178*Calculateur!DY178*VLOOKUP('Données projet'!$B$14,Paramètres!$A$1:$I$89,3,0)*0.475*44/12</f>
        <v>0.47958800082326281</v>
      </c>
      <c r="EC178" s="21">
        <f>EXP(-LN(2)/2)*EC177+(1-EXP(-LN(2)/2))/(LN(2)/2)*DW178*DZ178*VLOOKUP('Données projet'!$B$14,Paramètres!$A$1:$I$89,3,0)*0.475*44/12</f>
        <v>5.4548072511628692E-23</v>
      </c>
      <c r="ED178" s="22">
        <f t="shared" si="178"/>
        <v>17.94241223680282</v>
      </c>
      <c r="EE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401</v>
      </c>
      <c r="EK178" s="17">
        <f>EJ178*VLOOKUP('Données projet'!$B$15,Paramètres!$A$1:$I$89,3,0)*VLOOKUP('Données projet'!$B$15,Paramètres!$A$1:$I$89,5,0)</f>
        <v>250.22399999999999</v>
      </c>
      <c r="EL178" s="13">
        <f t="shared" si="179"/>
        <v>60.633904580527918</v>
      </c>
      <c r="EM178" s="20">
        <f t="shared" si="180"/>
        <v>541.41085047775289</v>
      </c>
      <c r="EN178" s="59">
        <f t="shared" si="128"/>
        <v>834.74418381108626</v>
      </c>
      <c r="EO178" s="59">
        <f ca="1">AVERAGE(OFFSET($EN$3,0,0,'Données projet'!$E$15+1,1))-AVERAGE(OFFSET($H$3,0,0,'Données projet'!$E$15+1,1))</f>
        <v>269.77739619445515</v>
      </c>
      <c r="EP178" s="59">
        <f t="shared" si="154"/>
        <v>347.56964743629885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7.8524911888080675</v>
      </c>
      <c r="EW178" s="21">
        <f>EXP(-LN(2)/25)*EW177+(1-EXP(-LN(2)/25))/(LN(2)/25)*Calculateur!ER178*Calculateur!ET178*VLOOKUP('Données projet'!$B$15,Paramètres!$A$1:$I$89,3,0)*0.475*44/12</f>
        <v>1.6466266404657706</v>
      </c>
      <c r="EX178" s="21">
        <f>EXP(-LN(2)/2)*EX177+(1-EXP(-LN(2)/2))/(LN(2)/2)*ER178*EU178*VLOOKUP('Données projet'!$B$15,Paramètres!$A$1:$I$89,3,0)*0.475*44/12</f>
        <v>3.7191867621565023E-24</v>
      </c>
      <c r="EY178" s="22">
        <f t="shared" si="181"/>
        <v>9.499117829273839</v>
      </c>
      <c r="EZ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367.99999999999972</v>
      </c>
      <c r="FF178" s="17">
        <f>FE178*VLOOKUP('Données projet'!$B$16,Paramètres!$A$1:$I$89,3,0)*VLOOKUP('Données projet'!$B$16,Paramètres!$A$1:$I$89,5,0)</f>
        <v>292.78079999999977</v>
      </c>
      <c r="FG178" s="13">
        <f t="shared" si="182"/>
        <v>69.660903052386217</v>
      </c>
      <c r="FH178" s="20">
        <f t="shared" si="183"/>
        <v>631.25263281623893</v>
      </c>
      <c r="FI178" s="59">
        <f t="shared" si="131"/>
        <v>924.58596614957219</v>
      </c>
      <c r="FJ178" s="59">
        <f ca="1">AVERAGE(OFFSET($FI$3,0,0,'Données projet'!$E$16+1,1))-AVERAGE(OFFSET($H$3,0,0,'Données projet'!$E$16+1,1))</f>
        <v>331.52724290297675</v>
      </c>
      <c r="FK178" s="59">
        <f t="shared" si="156"/>
        <v>322.79102610158054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9.3913862022245063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9.3913862022245063</v>
      </c>
      <c r="FU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852.00000000000011</v>
      </c>
      <c r="GA178" s="17">
        <f>FZ178*VLOOKUP('Données projet'!$B$17,Paramètres!$A$1:$I$89,3,0)*VLOOKUP('Données projet'!$B$17,Paramètres!$A$1:$I$89,5,0)</f>
        <v>420.88800000000009</v>
      </c>
      <c r="GB178" s="13">
        <f t="shared" si="185"/>
        <v>95.998759891259041</v>
      </c>
      <c r="GC178" s="20">
        <f t="shared" si="186"/>
        <v>900.24444014394294</v>
      </c>
      <c r="GD178" s="59">
        <f t="shared" si="134"/>
        <v>1193.5777734772762</v>
      </c>
      <c r="GE178" s="59">
        <f ca="1">AVERAGE(OFFSET($GD$3,0,0,'Données projet'!$E$17+1,1))-AVERAGE(OFFSET($H$3,0,0,'Données projet'!$E$17+1,1))</f>
        <v>434.08297999735811</v>
      </c>
      <c r="GF178" s="59">
        <f t="shared" si="158"/>
        <v>371.04090283546122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24.230346234025603</v>
      </c>
      <c r="GM178" s="21">
        <f>EXP(-LN(2)/25)*GM177+(1-EXP(-LN(2)/25))/(LN(2)/25)*Calculateur!GH178*Calculateur!GJ178*VLOOKUP('Données projet'!$B$17,Paramètres!$A$1:$I$89,3,0)*0.475*44/12</f>
        <v>0.92809159418575959</v>
      </c>
      <c r="GN178" s="21">
        <f>EXP(-LN(2)/2)*GN177+(1-EXP(-LN(2)/2))/(LN(2)/2)*GH178*GK178*VLOOKUP('Données projet'!$B$17,Paramètres!$A$1:$I$89,3,0)*0.475*44/12</f>
        <v>1.1253983646969858E-22</v>
      </c>
      <c r="GO178" s="21">
        <f t="shared" si="187"/>
        <v>25.158437828211362</v>
      </c>
      <c r="GP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614.99999999999989</v>
      </c>
      <c r="GV178" s="17">
        <f>GU178*VLOOKUP('Données projet'!$B$18,Paramètres!$A$1:$I$89,3,0)*VLOOKUP('Données projet'!$B$18,Paramètres!$A$1:$I$89,5,0)</f>
        <v>351.78</v>
      </c>
      <c r="GW178" s="13">
        <f t="shared" si="188"/>
        <v>81.92892344316067</v>
      </c>
      <c r="GX178" s="20">
        <f t="shared" si="189"/>
        <v>755.37637499683808</v>
      </c>
      <c r="GY178" s="59">
        <f t="shared" si="137"/>
        <v>1048.7097083301715</v>
      </c>
      <c r="GZ178" s="59">
        <f ca="1">AVERAGE(OFFSET($GY$3,0,0,'Données projet'!$E$18+1,1))-AVERAGE(OFFSET($H$3,0,0,'Données projet'!$E$18+1,1))</f>
        <v>362.57172983134313</v>
      </c>
      <c r="HA178" s="59">
        <f t="shared" si="160"/>
        <v>232.03250917542471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19.692738197805731</v>
      </c>
      <c r="HH178" s="21">
        <f>EXP(-LN(2)/25)*HH177+(1-EXP(-LN(2)/25))/(LN(2)/25)*Calculateur!HC178*Calculateur!HE178*VLOOKUP('Données projet'!$B$18,Paramètres!$A$1:$I$89,3,0)*0.475*44/12</f>
        <v>0.5595193342938074</v>
      </c>
      <c r="HI178" s="21">
        <f>EXP(-LN(2)/2)*HI177+(1-EXP(-LN(2)/2))/(LN(2)/2)*HC178*HF178*VLOOKUP('Données projet'!$B$18,Paramètres!$A$1:$I$89,3,0)*0.475*44/12</f>
        <v>1.1212659349612561E-22</v>
      </c>
      <c r="HJ178" s="22">
        <f t="shared" si="190"/>
        <v>20.252257532099538</v>
      </c>
    </row>
    <row r="179" spans="1:218" x14ac:dyDescent="0.3">
      <c r="A179" s="10">
        <f t="shared" si="161"/>
        <v>176</v>
      </c>
      <c r="B179" s="71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5">
        <f t="shared" si="110"/>
        <v>481.3076290270003</v>
      </c>
      <c r="I179" s="6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266.99999999999983</v>
      </c>
      <c r="O179" s="13">
        <f>N179*VLOOKUP('Données projet'!$B$9,Paramètres!$A$1:$I$89,3,0)*VLOOKUP('Données projet'!$B$9,Paramètres!$A$1:$I$89,5,0)</f>
        <v>212.42519999999985</v>
      </c>
      <c r="P179" s="13">
        <f t="shared" si="141"/>
        <v>52.465198231787184</v>
      </c>
      <c r="Q179" s="20">
        <f t="shared" si="162"/>
        <v>461.35077692036231</v>
      </c>
      <c r="R179" s="59">
        <f t="shared" si="109"/>
        <v>754.68411025369562</v>
      </c>
      <c r="S179" s="59">
        <f ca="1">AVERAGE(OFFSET($R$3,0,0,'Données projet'!$E$9+1,1))-AVERAGE(OFFSET($H$3,0,0,'Données projet'!$E$9+1,1))</f>
        <v>225.2323446080772</v>
      </c>
      <c r="T179" s="59">
        <f t="shared" si="142"/>
        <v>222.29030402759292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6.4814938730019946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6.4814938730019946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732.99999999999966</v>
      </c>
      <c r="AJ179" s="13">
        <f>AI179*VLOOKUP('Données projet'!$B$10,Paramètres!$A$1:$I$89,3,0)*VLOOKUP('Données projet'!$B$10,Paramètres!$A$1:$I$89,5,0)</f>
        <v>362.1019999999998</v>
      </c>
      <c r="AK179" s="13">
        <f t="shared" si="164"/>
        <v>84.049487364732272</v>
      </c>
      <c r="AL179" s="20">
        <f t="shared" si="165"/>
        <v>777.04717382690842</v>
      </c>
      <c r="AM179" s="59">
        <f t="shared" si="113"/>
        <v>1070.3805071602417</v>
      </c>
      <c r="AN179" s="59">
        <f ca="1">AVERAGE(OFFSET($AM$3,0,0,'Données projet'!$E$10+1,1))-AVERAGE(OFFSET($H$3,0,0,'Données projet'!$E$10+1,1))</f>
        <v>360.05819346986135</v>
      </c>
      <c r="AO179" s="59">
        <f t="shared" si="144"/>
        <v>300.47468388351081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19.409768961914054</v>
      </c>
      <c r="AV179" s="21">
        <f>EXP(-LN(2)/25)*AV178+(1-EXP(-LN(2)/25))/(LN(2)/25)*Calculateur!AQ179*Calculateur!AS179*VLOOKUP('Données projet'!$B$10,Paramètres!$A$1:$I$89,3,0)*0.475*44/12</f>
        <v>0.73858326605716285</v>
      </c>
      <c r="AW179" s="21">
        <f>EXP(-LN(2)/2)*AW178+(1-EXP(-LN(2)/2))/(LN(2)/2)*AQ179*AT179*VLOOKUP('Données projet'!$B$10,Paramètres!$A$1:$I$89,3,0)*0.475*44/12</f>
        <v>5.5519312689313247E-24</v>
      </c>
      <c r="AX179" s="21">
        <f t="shared" si="166"/>
        <v>20.148352227971216</v>
      </c>
      <c r="AY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465.00000000000006</v>
      </c>
      <c r="BE179" s="13">
        <f>BD179*VLOOKUP('Données projet'!$B$11,Paramètres!$A$1:$I$89,3,0)*VLOOKUP('Données projet'!$B$11,Paramètres!$A$1:$I$89,5,0)</f>
        <v>265.98</v>
      </c>
      <c r="BF179" s="13">
        <f t="shared" si="167"/>
        <v>63.995380422211589</v>
      </c>
      <c r="BG179" s="20">
        <f t="shared" si="168"/>
        <v>574.70712090201857</v>
      </c>
      <c r="BH179" s="59">
        <f t="shared" si="116"/>
        <v>868.04045423535194</v>
      </c>
      <c r="BI179" s="59">
        <f ca="1">AVERAGE(OFFSET($BH$3,0,0,'Données projet'!$E$11+1,1))-AVERAGE(OFFSET($H$3,0,0,'Données projet'!$E$11+1,1))</f>
        <v>250.90038883668348</v>
      </c>
      <c r="BJ179" s="59">
        <f t="shared" si="146"/>
        <v>141.96132114475608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14.865649171626755</v>
      </c>
      <c r="BQ179" s="21">
        <f>EXP(-LN(2)/25)*BQ178+(1-EXP(-LN(2)/25))/(LN(2)/25)*Calculateur!BL179*Calculateur!BN179*VLOOKUP('Données projet'!$B$11,Paramètres!$A$1:$I$89,3,0)*0.475*44/12</f>
        <v>0.2078147698300894</v>
      </c>
      <c r="BR179" s="21">
        <f>EXP(-LN(2)/2)*BR178+(1-EXP(-LN(2)/2))/(LN(2)/2)*BL179*BO179*VLOOKUP('Données projet'!$B$11,Paramètres!$A$1:$I$89,3,0)*0.475*44/12</f>
        <v>4.0001919841861207E-22</v>
      </c>
      <c r="BS179" s="22">
        <f t="shared" si="169"/>
        <v>15.073463941456843</v>
      </c>
      <c r="BT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319</v>
      </c>
      <c r="BZ179" s="13">
        <f>BY179*VLOOKUP('Données projet'!$B$12,Paramètres!$A$1:$I$89,3,0)*VLOOKUP('Données projet'!$B$12,Paramètres!$A$1:$I$89,5,0)</f>
        <v>253.79640000000001</v>
      </c>
      <c r="CA179" s="13">
        <f t="shared" si="170"/>
        <v>61.39816832228076</v>
      </c>
      <c r="CB179" s="20">
        <f t="shared" si="171"/>
        <v>548.96387316130563</v>
      </c>
      <c r="CC179" s="59">
        <f t="shared" si="119"/>
        <v>842.29720649463889</v>
      </c>
      <c r="CD179" s="59">
        <f ca="1">AVERAGE(OFFSET($CC$3,0,0,'Données projet'!$E$12+1,1))-AVERAGE(OFFSET($H$3,0,0,'Données projet'!$E$12+1,1))</f>
        <v>279.49721661620544</v>
      </c>
      <c r="CE179" s="59">
        <f t="shared" si="148"/>
        <v>275.18739333988754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7.9427335040919393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7.9427335040919393</v>
      </c>
      <c r="CO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789</v>
      </c>
      <c r="CU179" s="17">
        <f>CT179*VLOOKUP('Données projet'!$B$13,Paramètres!$A$1:$I$89,3,0)*VLOOKUP('Données projet'!$B$13,Paramètres!$A$1:$I$89,5,0)</f>
        <v>389.76600000000002</v>
      </c>
      <c r="CV179" s="13">
        <f t="shared" si="173"/>
        <v>89.698759503620408</v>
      </c>
      <c r="CW179" s="20">
        <f t="shared" si="174"/>
        <v>835.06778946880547</v>
      </c>
      <c r="CX179" s="59">
        <f t="shared" si="122"/>
        <v>1128.4011228021388</v>
      </c>
      <c r="CY179" s="59">
        <f ca="1">AVERAGE(OFFSET($CX$3,0,0,'Données projet'!$E$13+1,1))-AVERAGE(OFFSET($H$3,0,0,'Données projet'!$E$13+1,1))</f>
        <v>396.27049617044378</v>
      </c>
      <c r="CZ179" s="59">
        <f t="shared" si="150"/>
        <v>335.2680289568774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21.531180738555086</v>
      </c>
      <c r="DG179" s="21">
        <f>EXP(-LN(2)/25)*DG178+(1-EXP(-LN(2)/25))/(LN(2)/25)*Calculateur!DB179*Calculateur!DD179*VLOOKUP('Données projet'!$B$13,Paramètres!$A$1:$I$89,3,0)*0.475*44/12</f>
        <v>0.82064807339684887</v>
      </c>
      <c r="DH179" s="21">
        <f>EXP(-LN(2)/2)*DH178+(1-EXP(-LN(2)/2))/(LN(2)/2)*DB179*DE179*VLOOKUP('Données projet'!$B$13,Paramètres!$A$1:$I$89,3,0)*0.475*44/12</f>
        <v>4.0714162638829741E-23</v>
      </c>
      <c r="DI179" s="22">
        <f t="shared" si="175"/>
        <v>22.351828811951936</v>
      </c>
      <c r="DJ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541.99999999999989</v>
      </c>
      <c r="DP179" s="17">
        <f>DO179*VLOOKUP('Données projet'!$B$14,Paramètres!$A$1:$I$89,3,0)*VLOOKUP('Données projet'!$B$14,Paramètres!$A$1:$I$89,5,0)</f>
        <v>310.02399999999994</v>
      </c>
      <c r="DQ179" s="13">
        <f t="shared" si="176"/>
        <v>73.27384230442388</v>
      </c>
      <c r="DR179" s="20">
        <f t="shared" si="177"/>
        <v>667.57707534687154</v>
      </c>
      <c r="DS179" s="59">
        <f t="shared" si="125"/>
        <v>960.91040868020491</v>
      </c>
      <c r="DT179" s="59">
        <f ca="1">AVERAGE(OFFSET($DS$3,0,0,'Données projet'!$E$14+1,1))-AVERAGE(OFFSET($H$3,0,0,'Données projet'!$E$14+1,1))</f>
        <v>307.43900954374504</v>
      </c>
      <c r="DU179" s="59">
        <f t="shared" si="152"/>
        <v>185.25270859048999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17.120388903983056</v>
      </c>
      <c r="EB179" s="21">
        <f>EXP(-LN(2)/25)*EB178+(1-EXP(-LN(2)/25))/(LN(2)/25)*Calculateur!DW179*Calculateur!DY179*VLOOKUP('Données projet'!$B$14,Paramètres!$A$1:$I$89,3,0)*0.475*44/12</f>
        <v>0.46647364172031386</v>
      </c>
      <c r="EC179" s="21">
        <f>EXP(-LN(2)/2)*EC178+(1-EXP(-LN(2)/2))/(LN(2)/2)*DW179*DZ179*VLOOKUP('Données projet'!$B$14,Paramètres!$A$1:$I$89,3,0)*0.475*44/12</f>
        <v>3.8571311973628158E-23</v>
      </c>
      <c r="ED179" s="22">
        <f t="shared" si="178"/>
        <v>17.586862545703369</v>
      </c>
      <c r="EE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401</v>
      </c>
      <c r="EK179" s="17">
        <f>EJ179*VLOOKUP('Données projet'!$B$15,Paramètres!$A$1:$I$89,3,0)*VLOOKUP('Données projet'!$B$15,Paramètres!$A$1:$I$89,5,0)</f>
        <v>250.22399999999999</v>
      </c>
      <c r="EL179" s="13">
        <f t="shared" si="179"/>
        <v>60.633904580527918</v>
      </c>
      <c r="EM179" s="20">
        <f t="shared" si="180"/>
        <v>541.41085047775289</v>
      </c>
      <c r="EN179" s="59">
        <f t="shared" si="128"/>
        <v>834.74418381108626</v>
      </c>
      <c r="EO179" s="59">
        <f ca="1">AVERAGE(OFFSET($EN$3,0,0,'Données projet'!$E$15+1,1))-AVERAGE(OFFSET($H$3,0,0,'Données projet'!$E$15+1,1))</f>
        <v>269.77739619445515</v>
      </c>
      <c r="EP179" s="59">
        <f t="shared" si="154"/>
        <v>347.56964743629885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7.698508626142238</v>
      </c>
      <c r="EW179" s="21">
        <f>EXP(-LN(2)/25)*EW178+(1-EXP(-LN(2)/25))/(LN(2)/25)*Calculateur!ER179*Calculateur!ET179*VLOOKUP('Données projet'!$B$15,Paramètres!$A$1:$I$89,3,0)*0.475*44/12</f>
        <v>1.6015995483899024</v>
      </c>
      <c r="EX179" s="21">
        <f>EXP(-LN(2)/2)*EX178+(1-EXP(-LN(2)/2))/(LN(2)/2)*ER179*EU179*VLOOKUP('Données projet'!$B$15,Paramètres!$A$1:$I$89,3,0)*0.475*44/12</f>
        <v>2.6298621800201021E-24</v>
      </c>
      <c r="EY179" s="22">
        <f t="shared" si="181"/>
        <v>9.3001081745321397</v>
      </c>
      <c r="EZ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367.99999999999972</v>
      </c>
      <c r="FF179" s="17">
        <f>FE179*VLOOKUP('Données projet'!$B$16,Paramètres!$A$1:$I$89,3,0)*VLOOKUP('Données projet'!$B$16,Paramètres!$A$1:$I$89,5,0)</f>
        <v>292.78079999999977</v>
      </c>
      <c r="FG179" s="13">
        <f t="shared" si="182"/>
        <v>69.660903052386217</v>
      </c>
      <c r="FH179" s="20">
        <f t="shared" si="183"/>
        <v>631.25263281623893</v>
      </c>
      <c r="FI179" s="59">
        <f t="shared" si="131"/>
        <v>924.58596614957219</v>
      </c>
      <c r="FJ179" s="59">
        <f ca="1">AVERAGE(OFFSET($FI$3,0,0,'Données projet'!$E$16+1,1))-AVERAGE(OFFSET($H$3,0,0,'Données projet'!$E$16+1,1))</f>
        <v>331.52724290297675</v>
      </c>
      <c r="FK179" s="59">
        <f t="shared" si="156"/>
        <v>322.79102610158054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9.2072268469788554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9.2072268469788554</v>
      </c>
      <c r="FU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852.00000000000011</v>
      </c>
      <c r="GA179" s="17">
        <f>FZ179*VLOOKUP('Données projet'!$B$17,Paramètres!$A$1:$I$89,3,0)*VLOOKUP('Données projet'!$B$17,Paramètres!$A$1:$I$89,5,0)</f>
        <v>420.88800000000009</v>
      </c>
      <c r="GB179" s="13">
        <f t="shared" si="185"/>
        <v>95.998759891259041</v>
      </c>
      <c r="GC179" s="20">
        <f t="shared" si="186"/>
        <v>900.24444014394294</v>
      </c>
      <c r="GD179" s="59">
        <f t="shared" si="134"/>
        <v>1193.5777734772762</v>
      </c>
      <c r="GE179" s="59">
        <f ca="1">AVERAGE(OFFSET($GD$3,0,0,'Données projet'!$E$17+1,1))-AVERAGE(OFFSET($H$3,0,0,'Données projet'!$E$17+1,1))</f>
        <v>434.08297999735811</v>
      </c>
      <c r="GF179" s="59">
        <f t="shared" si="158"/>
        <v>371.04090283546122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23.755203923428255</v>
      </c>
      <c r="GM179" s="21">
        <f>EXP(-LN(2)/25)*GM178+(1-EXP(-LN(2)/25))/(LN(2)/25)*Calculateur!GH179*Calculateur!GJ179*VLOOKUP('Données projet'!$B$17,Paramètres!$A$1:$I$89,3,0)*0.475*44/12</f>
        <v>0.90271288073653422</v>
      </c>
      <c r="GN179" s="21">
        <f>EXP(-LN(2)/2)*GN178+(1-EXP(-LN(2)/2))/(LN(2)/2)*GH179*GK179*VLOOKUP('Données projet'!$B$17,Paramètres!$A$1:$I$89,3,0)*0.475*44/12</f>
        <v>7.9577681521348997E-23</v>
      </c>
      <c r="GO179" s="21">
        <f t="shared" si="187"/>
        <v>24.657916804164788</v>
      </c>
      <c r="GP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614.99999999999989</v>
      </c>
      <c r="GV179" s="17">
        <f>GU179*VLOOKUP('Données projet'!$B$18,Paramètres!$A$1:$I$89,3,0)*VLOOKUP('Données projet'!$B$18,Paramètres!$A$1:$I$89,5,0)</f>
        <v>351.78</v>
      </c>
      <c r="GW179" s="13">
        <f t="shared" si="188"/>
        <v>81.92892344316067</v>
      </c>
      <c r="GX179" s="20">
        <f t="shared" si="189"/>
        <v>755.37637499683808</v>
      </c>
      <c r="GY179" s="59">
        <f t="shared" si="137"/>
        <v>1048.7097083301715</v>
      </c>
      <c r="GZ179" s="59">
        <f ca="1">AVERAGE(OFFSET($GY$3,0,0,'Données projet'!$E$18+1,1))-AVERAGE(OFFSET($H$3,0,0,'Données projet'!$E$18+1,1))</f>
        <v>362.57172983134313</v>
      </c>
      <c r="HA179" s="59">
        <f t="shared" si="160"/>
        <v>232.03250917542471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19.306575613131034</v>
      </c>
      <c r="HH179" s="21">
        <f>EXP(-LN(2)/25)*HH178+(1-EXP(-LN(2)/25))/(LN(2)/25)*Calculateur!HC179*Calculateur!HE179*VLOOKUP('Données projet'!$B$18,Paramètres!$A$1:$I$89,3,0)*0.475*44/12</f>
        <v>0.5442192486737002</v>
      </c>
      <c r="HI179" s="21">
        <f>EXP(-LN(2)/2)*HI178+(1-EXP(-LN(2)/2))/(LN(2)/2)*HC179*HF179*VLOOKUP('Données projet'!$B$18,Paramètres!$A$1:$I$89,3,0)*0.475*44/12</f>
        <v>7.9285474612457858E-23</v>
      </c>
      <c r="HJ179" s="22">
        <f t="shared" si="190"/>
        <v>19.850794861804733</v>
      </c>
    </row>
    <row r="180" spans="1:218" x14ac:dyDescent="0.3">
      <c r="A180" s="10">
        <f t="shared" si="161"/>
        <v>177</v>
      </c>
      <c r="B180" s="71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5">
        <f t="shared" si="110"/>
        <v>482.34879141635599</v>
      </c>
      <c r="I180" s="6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266.99999999999983</v>
      </c>
      <c r="O180" s="13">
        <f>N180*VLOOKUP('Données projet'!$B$9,Paramètres!$A$1:$I$89,3,0)*VLOOKUP('Données projet'!$B$9,Paramètres!$A$1:$I$89,5,0)</f>
        <v>212.42519999999985</v>
      </c>
      <c r="P180" s="13">
        <f t="shared" si="141"/>
        <v>52.465198231787184</v>
      </c>
      <c r="Q180" s="20">
        <f t="shared" si="162"/>
        <v>461.35077692036231</v>
      </c>
      <c r="R180" s="59">
        <f t="shared" si="109"/>
        <v>754.68411025369562</v>
      </c>
      <c r="S180" s="59">
        <f ca="1">AVERAGE(OFFSET($R$3,0,0,'Données projet'!$E$9+1,1))-AVERAGE(OFFSET($H$3,0,0,'Données projet'!$E$9+1,1))</f>
        <v>225.2323446080772</v>
      </c>
      <c r="T180" s="59">
        <f t="shared" si="142"/>
        <v>222.29030402759292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6.3543957314733301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6.3543957314733301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732.99999999999966</v>
      </c>
      <c r="AJ180" s="13">
        <f>AI180*VLOOKUP('Données projet'!$B$10,Paramètres!$A$1:$I$89,3,0)*VLOOKUP('Données projet'!$B$10,Paramètres!$A$1:$I$89,5,0)</f>
        <v>362.1019999999998</v>
      </c>
      <c r="AK180" s="13">
        <f t="shared" si="164"/>
        <v>84.049487364732272</v>
      </c>
      <c r="AL180" s="20">
        <f t="shared" si="165"/>
        <v>777.04717382690842</v>
      </c>
      <c r="AM180" s="59">
        <f t="shared" si="113"/>
        <v>1070.3805071602417</v>
      </c>
      <c r="AN180" s="59">
        <f ca="1">AVERAGE(OFFSET($AM$3,0,0,'Données projet'!$E$10+1,1))-AVERAGE(OFFSET($H$3,0,0,'Données projet'!$E$10+1,1))</f>
        <v>360.05819346986135</v>
      </c>
      <c r="AO180" s="59">
        <f t="shared" si="144"/>
        <v>300.47468388351081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19.029155231361003</v>
      </c>
      <c r="AV180" s="21">
        <f>EXP(-LN(2)/25)*AV179+(1-EXP(-LN(2)/25))/(LN(2)/25)*Calculateur!AQ180*Calculateur!AS180*VLOOKUP('Données projet'!$B$10,Paramètres!$A$1:$I$89,3,0)*0.475*44/12</f>
        <v>0.7183866678064238</v>
      </c>
      <c r="AW180" s="21">
        <f>EXP(-LN(2)/2)*AW179+(1-EXP(-LN(2)/2))/(LN(2)/2)*AQ180*AT180*VLOOKUP('Données projet'!$B$10,Paramètres!$A$1:$I$89,3,0)*0.475*44/12</f>
        <v>3.9258082489429732E-24</v>
      </c>
      <c r="AX180" s="21">
        <f t="shared" si="166"/>
        <v>19.747541899167427</v>
      </c>
      <c r="AY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465.00000000000006</v>
      </c>
      <c r="BE180" s="13">
        <f>BD180*VLOOKUP('Données projet'!$B$11,Paramètres!$A$1:$I$89,3,0)*VLOOKUP('Données projet'!$B$11,Paramètres!$A$1:$I$89,5,0)</f>
        <v>265.98</v>
      </c>
      <c r="BF180" s="13">
        <f t="shared" si="167"/>
        <v>63.995380422211589</v>
      </c>
      <c r="BG180" s="20">
        <f t="shared" si="168"/>
        <v>574.70712090201857</v>
      </c>
      <c r="BH180" s="59">
        <f t="shared" si="116"/>
        <v>868.04045423535194</v>
      </c>
      <c r="BI180" s="59">
        <f ca="1">AVERAGE(OFFSET($BH$3,0,0,'Données projet'!$E$11+1,1))-AVERAGE(OFFSET($H$3,0,0,'Données projet'!$E$11+1,1))</f>
        <v>250.90038883668348</v>
      </c>
      <c r="BJ180" s="59">
        <f t="shared" si="146"/>
        <v>141.96132114475608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14.574142858521842</v>
      </c>
      <c r="BQ180" s="21">
        <f>EXP(-LN(2)/25)*BQ179+(1-EXP(-LN(2)/25))/(LN(2)/25)*Calculateur!BL180*Calculateur!BN180*VLOOKUP('Données projet'!$B$11,Paramètres!$A$1:$I$89,3,0)*0.475*44/12</f>
        <v>0.20213206402058181</v>
      </c>
      <c r="BR180" s="21">
        <f>EXP(-LN(2)/2)*BR179+(1-EXP(-LN(2)/2))/(LN(2)/2)*BL180*BO180*VLOOKUP('Données projet'!$B$11,Paramètres!$A$1:$I$89,3,0)*0.475*44/12</f>
        <v>2.8285628780660766E-22</v>
      </c>
      <c r="BS180" s="22">
        <f t="shared" si="169"/>
        <v>14.776274922542424</v>
      </c>
      <c r="BT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319</v>
      </c>
      <c r="BZ180" s="13">
        <f>BY180*VLOOKUP('Données projet'!$B$12,Paramètres!$A$1:$I$89,3,0)*VLOOKUP('Données projet'!$B$12,Paramètres!$A$1:$I$89,5,0)</f>
        <v>253.79640000000001</v>
      </c>
      <c r="CA180" s="13">
        <f t="shared" si="170"/>
        <v>61.39816832228076</v>
      </c>
      <c r="CB180" s="20">
        <f t="shared" si="171"/>
        <v>548.96387316130563</v>
      </c>
      <c r="CC180" s="59">
        <f t="shared" si="119"/>
        <v>842.29720649463889</v>
      </c>
      <c r="CD180" s="59">
        <f ca="1">AVERAGE(OFFSET($CC$3,0,0,'Données projet'!$E$12+1,1))-AVERAGE(OFFSET($H$3,0,0,'Données projet'!$E$12+1,1))</f>
        <v>279.49721661620544</v>
      </c>
      <c r="CE180" s="59">
        <f t="shared" si="148"/>
        <v>275.18739333988754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7.7869813446657705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7.7869813446657705</v>
      </c>
      <c r="CO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789</v>
      </c>
      <c r="CU180" s="17">
        <f>CT180*VLOOKUP('Données projet'!$B$13,Paramètres!$A$1:$I$89,3,0)*VLOOKUP('Données projet'!$B$13,Paramètres!$A$1:$I$89,5,0)</f>
        <v>389.76600000000002</v>
      </c>
      <c r="CV180" s="13">
        <f t="shared" si="173"/>
        <v>89.698759503620408</v>
      </c>
      <c r="CW180" s="20">
        <f t="shared" si="174"/>
        <v>835.06778946880547</v>
      </c>
      <c r="CX180" s="59">
        <f t="shared" si="122"/>
        <v>1128.4011228021388</v>
      </c>
      <c r="CY180" s="59">
        <f ca="1">AVERAGE(OFFSET($CX$3,0,0,'Données projet'!$E$13+1,1))-AVERAGE(OFFSET($H$3,0,0,'Données projet'!$E$13+1,1))</f>
        <v>396.27049617044378</v>
      </c>
      <c r="CZ180" s="59">
        <f t="shared" si="150"/>
        <v>335.2680289568774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21.108967416995522</v>
      </c>
      <c r="DG180" s="21">
        <f>EXP(-LN(2)/25)*DG179+(1-EXP(-LN(2)/25))/(LN(2)/25)*Calculateur!DB180*Calculateur!DD180*VLOOKUP('Données projet'!$B$13,Paramètres!$A$1:$I$89,3,0)*0.475*44/12</f>
        <v>0.79820740867380546</v>
      </c>
      <c r="DH180" s="21">
        <f>EXP(-LN(2)/2)*DH179+(1-EXP(-LN(2)/2))/(LN(2)/2)*DB180*DE180*VLOOKUP('Données projet'!$B$13,Paramètres!$A$1:$I$89,3,0)*0.475*44/12</f>
        <v>2.878926049224849E-23</v>
      </c>
      <c r="DI180" s="22">
        <f t="shared" si="175"/>
        <v>21.907174825669326</v>
      </c>
      <c r="DJ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541.99999999999989</v>
      </c>
      <c r="DP180" s="17">
        <f>DO180*VLOOKUP('Données projet'!$B$14,Paramètres!$A$1:$I$89,3,0)*VLOOKUP('Données projet'!$B$14,Paramètres!$A$1:$I$89,5,0)</f>
        <v>310.02399999999994</v>
      </c>
      <c r="DQ180" s="13">
        <f t="shared" si="176"/>
        <v>73.27384230442388</v>
      </c>
      <c r="DR180" s="20">
        <f t="shared" si="177"/>
        <v>667.57707534687154</v>
      </c>
      <c r="DS180" s="59">
        <f t="shared" si="125"/>
        <v>960.91040868020491</v>
      </c>
      <c r="DT180" s="59">
        <f ca="1">AVERAGE(OFFSET($DS$3,0,0,'Données projet'!$E$14+1,1))-AVERAGE(OFFSET($H$3,0,0,'Données projet'!$E$14+1,1))</f>
        <v>307.43900954374504</v>
      </c>
      <c r="DU180" s="59">
        <f t="shared" si="152"/>
        <v>185.25270859048999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16.784668519982077</v>
      </c>
      <c r="EB180" s="21">
        <f>EXP(-LN(2)/25)*EB179+(1-EXP(-LN(2)/25))/(LN(2)/25)*Calculateur!DW180*Calculateur!DY180*VLOOKUP('Données projet'!$B$14,Paramètres!$A$1:$I$89,3,0)*0.475*44/12</f>
        <v>0.45371789545668922</v>
      </c>
      <c r="EC180" s="21">
        <f>EXP(-LN(2)/2)*EC179+(1-EXP(-LN(2)/2))/(LN(2)/2)*DW180*DZ180*VLOOKUP('Données projet'!$B$14,Paramètres!$A$1:$I$89,3,0)*0.475*44/12</f>
        <v>2.7274036255814346E-23</v>
      </c>
      <c r="ED180" s="22">
        <f t="shared" si="178"/>
        <v>17.238386415438764</v>
      </c>
      <c r="EE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401</v>
      </c>
      <c r="EK180" s="17">
        <f>EJ180*VLOOKUP('Données projet'!$B$15,Paramètres!$A$1:$I$89,3,0)*VLOOKUP('Données projet'!$B$15,Paramètres!$A$1:$I$89,5,0)</f>
        <v>250.22399999999999</v>
      </c>
      <c r="EL180" s="13">
        <f t="shared" si="179"/>
        <v>60.633904580527918</v>
      </c>
      <c r="EM180" s="20">
        <f t="shared" si="180"/>
        <v>541.41085047775289</v>
      </c>
      <c r="EN180" s="59">
        <f t="shared" si="128"/>
        <v>834.74418381108626</v>
      </c>
      <c r="EO180" s="59">
        <f ca="1">AVERAGE(OFFSET($EN$3,0,0,'Données projet'!$E$15+1,1))-AVERAGE(OFFSET($H$3,0,0,'Données projet'!$E$15+1,1))</f>
        <v>269.77739619445515</v>
      </c>
      <c r="EP180" s="59">
        <f t="shared" si="154"/>
        <v>347.56964743629885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7.5475455676101957</v>
      </c>
      <c r="EW180" s="21">
        <f>EXP(-LN(2)/25)*EW179+(1-EXP(-LN(2)/25))/(LN(2)/25)*Calculateur!ER180*Calculateur!ET180*VLOOKUP('Données projet'!$B$15,Paramètres!$A$1:$I$89,3,0)*0.475*44/12</f>
        <v>1.5578037245147207</v>
      </c>
      <c r="EX180" s="21">
        <f>EXP(-LN(2)/2)*EX179+(1-EXP(-LN(2)/2))/(LN(2)/2)*ER180*EU180*VLOOKUP('Données projet'!$B$15,Paramètres!$A$1:$I$89,3,0)*0.475*44/12</f>
        <v>1.8595933810782511E-24</v>
      </c>
      <c r="EY180" s="22">
        <f t="shared" si="181"/>
        <v>9.1053492921249166</v>
      </c>
      <c r="EZ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367.99999999999972</v>
      </c>
      <c r="FF180" s="17">
        <f>FE180*VLOOKUP('Données projet'!$B$16,Paramètres!$A$1:$I$89,3,0)*VLOOKUP('Données projet'!$B$16,Paramètres!$A$1:$I$89,5,0)</f>
        <v>292.78079999999977</v>
      </c>
      <c r="FG180" s="13">
        <f t="shared" si="182"/>
        <v>69.660903052386217</v>
      </c>
      <c r="FH180" s="20">
        <f t="shared" si="183"/>
        <v>631.25263281623893</v>
      </c>
      <c r="FI180" s="59">
        <f t="shared" si="131"/>
        <v>924.58596614957219</v>
      </c>
      <c r="FJ180" s="59">
        <f ca="1">AVERAGE(OFFSET($FI$3,0,0,'Données projet'!$E$16+1,1))-AVERAGE(OFFSET($H$3,0,0,'Données projet'!$E$16+1,1))</f>
        <v>331.52724290297675</v>
      </c>
      <c r="FK180" s="59">
        <f t="shared" si="156"/>
        <v>322.79102610158054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9.0266787443634566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9.0266787443634566</v>
      </c>
      <c r="FU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852.00000000000011</v>
      </c>
      <c r="GA180" s="17">
        <f>FZ180*VLOOKUP('Données projet'!$B$17,Paramètres!$A$1:$I$89,3,0)*VLOOKUP('Données projet'!$B$17,Paramètres!$A$1:$I$89,5,0)</f>
        <v>420.88800000000009</v>
      </c>
      <c r="GB180" s="13">
        <f t="shared" si="185"/>
        <v>95.998759891259041</v>
      </c>
      <c r="GC180" s="20">
        <f t="shared" si="186"/>
        <v>900.24444014394294</v>
      </c>
      <c r="GD180" s="59">
        <f t="shared" si="134"/>
        <v>1193.5777734772762</v>
      </c>
      <c r="GE180" s="59">
        <f ca="1">AVERAGE(OFFSET($GD$3,0,0,'Données projet'!$E$17+1,1))-AVERAGE(OFFSET($H$3,0,0,'Données projet'!$E$17+1,1))</f>
        <v>434.08297999735811</v>
      </c>
      <c r="GF180" s="59">
        <f t="shared" si="158"/>
        <v>371.04090283546122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23.289378863733525</v>
      </c>
      <c r="GM180" s="21">
        <f>EXP(-LN(2)/25)*GM179+(1-EXP(-LN(2)/25))/(LN(2)/25)*Calculateur!GH180*Calculateur!GJ180*VLOOKUP('Données projet'!$B$17,Paramètres!$A$1:$I$89,3,0)*0.475*44/12</f>
        <v>0.87802814954118646</v>
      </c>
      <c r="GN180" s="21">
        <f>EXP(-LN(2)/2)*GN179+(1-EXP(-LN(2)/2))/(LN(2)/2)*GH180*GK180*VLOOKUP('Données projet'!$B$17,Paramètres!$A$1:$I$89,3,0)*0.475*44/12</f>
        <v>5.626991823484929E-23</v>
      </c>
      <c r="GO180" s="21">
        <f t="shared" si="187"/>
        <v>24.167407013274712</v>
      </c>
      <c r="GP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614.99999999999989</v>
      </c>
      <c r="GV180" s="17">
        <f>GU180*VLOOKUP('Données projet'!$B$18,Paramètres!$A$1:$I$89,3,0)*VLOOKUP('Données projet'!$B$18,Paramètres!$A$1:$I$89,5,0)</f>
        <v>351.78</v>
      </c>
      <c r="GW180" s="13">
        <f t="shared" si="188"/>
        <v>81.92892344316067</v>
      </c>
      <c r="GX180" s="20">
        <f t="shared" si="189"/>
        <v>755.37637499683808</v>
      </c>
      <c r="GY180" s="59">
        <f t="shared" si="137"/>
        <v>1048.7097083301715</v>
      </c>
      <c r="GZ180" s="59">
        <f ca="1">AVERAGE(OFFSET($GY$3,0,0,'Données projet'!$E$18+1,1))-AVERAGE(OFFSET($H$3,0,0,'Données projet'!$E$18+1,1))</f>
        <v>362.57172983134313</v>
      </c>
      <c r="HA180" s="59">
        <f t="shared" si="160"/>
        <v>232.03250917542471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18.927985441205891</v>
      </c>
      <c r="HH180" s="21">
        <f>EXP(-LN(2)/25)*HH179+(1-EXP(-LN(2)/25))/(LN(2)/25)*Calculateur!HC180*Calculateur!HE180*VLOOKUP('Données projet'!$B$18,Paramètres!$A$1:$I$89,3,0)*0.475*44/12</f>
        <v>0.52933754469947136</v>
      </c>
      <c r="HI180" s="21">
        <f>EXP(-LN(2)/2)*HI179+(1-EXP(-LN(2)/2))/(LN(2)/2)*HC180*HF180*VLOOKUP('Données projet'!$B$18,Paramètres!$A$1:$I$89,3,0)*0.475*44/12</f>
        <v>5.6063296748062806E-23</v>
      </c>
      <c r="HJ180" s="22">
        <f t="shared" si="190"/>
        <v>19.457322985905364</v>
      </c>
    </row>
    <row r="181" spans="1:218" x14ac:dyDescent="0.3">
      <c r="A181" s="10">
        <f t="shared" si="161"/>
        <v>178</v>
      </c>
      <c r="B181" s="71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5">
        <f t="shared" si="110"/>
        <v>483.38982007395271</v>
      </c>
      <c r="I181" s="6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266.99999999999983</v>
      </c>
      <c r="O181" s="13">
        <f>N181*VLOOKUP('Données projet'!$B$9,Paramètres!$A$1:$I$89,3,0)*VLOOKUP('Données projet'!$B$9,Paramètres!$A$1:$I$89,5,0)</f>
        <v>212.42519999999985</v>
      </c>
      <c r="P181" s="13">
        <f t="shared" si="141"/>
        <v>52.465198231787184</v>
      </c>
      <c r="Q181" s="20">
        <f t="shared" si="162"/>
        <v>461.35077692036231</v>
      </c>
      <c r="R181" s="59">
        <f t="shared" si="109"/>
        <v>754.68411025369562</v>
      </c>
      <c r="S181" s="59">
        <f ca="1">AVERAGE(OFFSET($R$3,0,0,'Données projet'!$E$9+1,1))-AVERAGE(OFFSET($H$3,0,0,'Données projet'!$E$9+1,1))</f>
        <v>225.2323446080772</v>
      </c>
      <c r="T181" s="59">
        <f t="shared" si="142"/>
        <v>222.29030402759292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6.2297899069778309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6.2297899069778309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732.99999999999966</v>
      </c>
      <c r="AJ181" s="13">
        <f>AI181*VLOOKUP('Données projet'!$B$10,Paramètres!$A$1:$I$89,3,0)*VLOOKUP('Données projet'!$B$10,Paramètres!$A$1:$I$89,5,0)</f>
        <v>362.1019999999998</v>
      </c>
      <c r="AK181" s="13">
        <f t="shared" si="164"/>
        <v>84.049487364732272</v>
      </c>
      <c r="AL181" s="20">
        <f t="shared" si="165"/>
        <v>777.04717382690842</v>
      </c>
      <c r="AM181" s="59">
        <f t="shared" si="113"/>
        <v>1070.3805071602417</v>
      </c>
      <c r="AN181" s="59">
        <f ca="1">AVERAGE(OFFSET($AM$3,0,0,'Données projet'!$E$10+1,1))-AVERAGE(OFFSET($H$3,0,0,'Données projet'!$E$10+1,1))</f>
        <v>360.05819346986135</v>
      </c>
      <c r="AO181" s="59">
        <f t="shared" si="144"/>
        <v>300.47468388351081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18.656005103912644</v>
      </c>
      <c r="AV181" s="21">
        <f>EXP(-LN(2)/25)*AV180+(1-EXP(-LN(2)/25))/(LN(2)/25)*Calculateur!AQ181*Calculateur!AS181*VLOOKUP('Données projet'!$B$10,Paramètres!$A$1:$I$89,3,0)*0.475*44/12</f>
        <v>0.69874234659694412</v>
      </c>
      <c r="AW181" s="21">
        <f>EXP(-LN(2)/2)*AW180+(1-EXP(-LN(2)/2))/(LN(2)/2)*AQ181*AT181*VLOOKUP('Données projet'!$B$10,Paramètres!$A$1:$I$89,3,0)*0.475*44/12</f>
        <v>2.7759656344656623E-24</v>
      </c>
      <c r="AX181" s="21">
        <f t="shared" si="166"/>
        <v>19.354747450509588</v>
      </c>
      <c r="AY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465.00000000000006</v>
      </c>
      <c r="BE181" s="13">
        <f>BD181*VLOOKUP('Données projet'!$B$11,Paramètres!$A$1:$I$89,3,0)*VLOOKUP('Données projet'!$B$11,Paramètres!$A$1:$I$89,5,0)</f>
        <v>265.98</v>
      </c>
      <c r="BF181" s="13">
        <f t="shared" si="167"/>
        <v>63.995380422211589</v>
      </c>
      <c r="BG181" s="20">
        <f t="shared" si="168"/>
        <v>574.70712090201857</v>
      </c>
      <c r="BH181" s="59">
        <f t="shared" si="116"/>
        <v>868.04045423535194</v>
      </c>
      <c r="BI181" s="59">
        <f ca="1">AVERAGE(OFFSET($BH$3,0,0,'Données projet'!$E$11+1,1))-AVERAGE(OFFSET($H$3,0,0,'Données projet'!$E$11+1,1))</f>
        <v>250.90038883668348</v>
      </c>
      <c r="BJ181" s="59">
        <f t="shared" si="146"/>
        <v>141.96132114475608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14.288352806415622</v>
      </c>
      <c r="BQ181" s="21">
        <f>EXP(-LN(2)/25)*BQ180+(1-EXP(-LN(2)/25))/(LN(2)/25)*Calculateur!BL181*Calculateur!BN181*VLOOKUP('Données projet'!$B$11,Paramètres!$A$1:$I$89,3,0)*0.475*44/12</f>
        <v>0.19660475210027573</v>
      </c>
      <c r="BR181" s="21">
        <f>EXP(-LN(2)/2)*BR180+(1-EXP(-LN(2)/2))/(LN(2)/2)*BL181*BO181*VLOOKUP('Données projet'!$B$11,Paramètres!$A$1:$I$89,3,0)*0.475*44/12</f>
        <v>2.0000959920930604E-22</v>
      </c>
      <c r="BS181" s="22">
        <f t="shared" si="169"/>
        <v>14.484957558515898</v>
      </c>
      <c r="BT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319</v>
      </c>
      <c r="BZ181" s="13">
        <f>BY181*VLOOKUP('Données projet'!$B$12,Paramètres!$A$1:$I$89,3,0)*VLOOKUP('Données projet'!$B$12,Paramètres!$A$1:$I$89,5,0)</f>
        <v>253.79640000000001</v>
      </c>
      <c r="CA181" s="13">
        <f t="shared" si="170"/>
        <v>61.39816832228076</v>
      </c>
      <c r="CB181" s="20">
        <f t="shared" si="171"/>
        <v>548.96387316130563</v>
      </c>
      <c r="CC181" s="59">
        <f t="shared" si="119"/>
        <v>842.29720649463889</v>
      </c>
      <c r="CD181" s="59">
        <f ca="1">AVERAGE(OFFSET($CC$3,0,0,'Données projet'!$E$12+1,1))-AVERAGE(OFFSET($H$3,0,0,'Données projet'!$E$12+1,1))</f>
        <v>279.49721661620544</v>
      </c>
      <c r="CE181" s="59">
        <f t="shared" si="148"/>
        <v>275.18739333988754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7.6342833900865124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7.6342833900865124</v>
      </c>
      <c r="CO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789</v>
      </c>
      <c r="CU181" s="17">
        <f>CT181*VLOOKUP('Données projet'!$B$13,Paramètres!$A$1:$I$89,3,0)*VLOOKUP('Données projet'!$B$13,Paramètres!$A$1:$I$89,5,0)</f>
        <v>389.76600000000002</v>
      </c>
      <c r="CV181" s="13">
        <f t="shared" si="173"/>
        <v>89.698759503620408</v>
      </c>
      <c r="CW181" s="20">
        <f t="shared" si="174"/>
        <v>835.06778946880547</v>
      </c>
      <c r="CX181" s="59">
        <f t="shared" si="122"/>
        <v>1128.4011228021388</v>
      </c>
      <c r="CY181" s="59">
        <f ca="1">AVERAGE(OFFSET($CX$3,0,0,'Données projet'!$E$13+1,1))-AVERAGE(OFFSET($H$3,0,0,'Données projet'!$E$13+1,1))</f>
        <v>396.27049617044378</v>
      </c>
      <c r="CZ181" s="59">
        <f t="shared" si="150"/>
        <v>335.2680289568774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20.695033441147043</v>
      </c>
      <c r="DG181" s="21">
        <f>EXP(-LN(2)/25)*DG180+(1-EXP(-LN(2)/25))/(LN(2)/25)*Calculateur!DB181*Calculateur!DD181*VLOOKUP('Données projet'!$B$13,Paramètres!$A$1:$I$89,3,0)*0.475*44/12</f>
        <v>0.77638038510771701</v>
      </c>
      <c r="DH181" s="21">
        <f>EXP(-LN(2)/2)*DH180+(1-EXP(-LN(2)/2))/(LN(2)/2)*DB181*DE181*VLOOKUP('Données projet'!$B$13,Paramètres!$A$1:$I$89,3,0)*0.475*44/12</f>
        <v>2.035708131941487E-23</v>
      </c>
      <c r="DI181" s="22">
        <f t="shared" si="175"/>
        <v>21.471413826254761</v>
      </c>
      <c r="DJ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541.99999999999989</v>
      </c>
      <c r="DP181" s="17">
        <f>DO181*VLOOKUP('Données projet'!$B$14,Paramètres!$A$1:$I$89,3,0)*VLOOKUP('Données projet'!$B$14,Paramètres!$A$1:$I$89,5,0)</f>
        <v>310.02399999999994</v>
      </c>
      <c r="DQ181" s="13">
        <f t="shared" si="176"/>
        <v>73.27384230442388</v>
      </c>
      <c r="DR181" s="20">
        <f t="shared" si="177"/>
        <v>667.57707534687154</v>
      </c>
      <c r="DS181" s="59">
        <f t="shared" si="125"/>
        <v>960.91040868020491</v>
      </c>
      <c r="DT181" s="59">
        <f ca="1">AVERAGE(OFFSET($DS$3,0,0,'Données projet'!$E$14+1,1))-AVERAGE(OFFSET($H$3,0,0,'Données projet'!$E$14+1,1))</f>
        <v>307.43900954374504</v>
      </c>
      <c r="DU181" s="59">
        <f t="shared" si="152"/>
        <v>185.25270859048999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16.455531407942143</v>
      </c>
      <c r="EB181" s="21">
        <f>EXP(-LN(2)/25)*EB180+(1-EXP(-LN(2)/25))/(LN(2)/25)*Calculateur!DW181*Calculateur!DY181*VLOOKUP('Données projet'!$B$14,Paramètres!$A$1:$I$89,3,0)*0.475*44/12</f>
        <v>0.44131095574543894</v>
      </c>
      <c r="EC181" s="21">
        <f>EXP(-LN(2)/2)*EC180+(1-EXP(-LN(2)/2))/(LN(2)/2)*DW181*DZ181*VLOOKUP('Données projet'!$B$14,Paramètres!$A$1:$I$89,3,0)*0.475*44/12</f>
        <v>1.9285655986814079E-23</v>
      </c>
      <c r="ED181" s="22">
        <f t="shared" si="178"/>
        <v>16.896842363687583</v>
      </c>
      <c r="EE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401</v>
      </c>
      <c r="EK181" s="17">
        <f>EJ181*VLOOKUP('Données projet'!$B$15,Paramètres!$A$1:$I$89,3,0)*VLOOKUP('Données projet'!$B$15,Paramètres!$A$1:$I$89,5,0)</f>
        <v>250.22399999999999</v>
      </c>
      <c r="EL181" s="13">
        <f t="shared" si="179"/>
        <v>60.633904580527918</v>
      </c>
      <c r="EM181" s="20">
        <f t="shared" si="180"/>
        <v>541.41085047775289</v>
      </c>
      <c r="EN181" s="59">
        <f t="shared" si="128"/>
        <v>834.74418381108626</v>
      </c>
      <c r="EO181" s="59">
        <f ca="1">AVERAGE(OFFSET($EN$3,0,0,'Données projet'!$E$15+1,1))-AVERAGE(OFFSET($H$3,0,0,'Données projet'!$E$15+1,1))</f>
        <v>269.77739619445515</v>
      </c>
      <c r="EP181" s="59">
        <f t="shared" si="154"/>
        <v>347.56964743629885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7.3995428025775931</v>
      </c>
      <c r="EW181" s="21">
        <f>EXP(-LN(2)/25)*EW180+(1-EXP(-LN(2)/25))/(LN(2)/25)*Calculateur!ER181*Calculateur!ET181*VLOOKUP('Données projet'!$B$15,Paramètres!$A$1:$I$89,3,0)*0.475*44/12</f>
        <v>1.5152054997465283</v>
      </c>
      <c r="EX181" s="21">
        <f>EXP(-LN(2)/2)*EX180+(1-EXP(-LN(2)/2))/(LN(2)/2)*ER181*EU181*VLOOKUP('Données projet'!$B$15,Paramètres!$A$1:$I$89,3,0)*0.475*44/12</f>
        <v>1.314931090010051E-24</v>
      </c>
      <c r="EY181" s="22">
        <f t="shared" si="181"/>
        <v>8.9147483023241207</v>
      </c>
      <c r="EZ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367.99999999999972</v>
      </c>
      <c r="FF181" s="17">
        <f>FE181*VLOOKUP('Données projet'!$B$16,Paramètres!$A$1:$I$89,3,0)*VLOOKUP('Données projet'!$B$16,Paramètres!$A$1:$I$89,5,0)</f>
        <v>292.78079999999977</v>
      </c>
      <c r="FG181" s="13">
        <f t="shared" si="182"/>
        <v>69.660903052386217</v>
      </c>
      <c r="FH181" s="20">
        <f t="shared" si="183"/>
        <v>631.25263281623893</v>
      </c>
      <c r="FI181" s="59">
        <f t="shared" si="131"/>
        <v>924.58596614957219</v>
      </c>
      <c r="FJ181" s="59">
        <f ca="1">AVERAGE(OFFSET($FI$3,0,0,'Données projet'!$E$16+1,1))-AVERAGE(OFFSET($H$3,0,0,'Données projet'!$E$16+1,1))</f>
        <v>331.52724290297675</v>
      </c>
      <c r="FK181" s="59">
        <f t="shared" si="156"/>
        <v>322.79102610158054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8.8496710799168774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8.8496710799168774</v>
      </c>
      <c r="FU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852.00000000000011</v>
      </c>
      <c r="GA181" s="17">
        <f>FZ181*VLOOKUP('Données projet'!$B$17,Paramètres!$A$1:$I$89,3,0)*VLOOKUP('Données projet'!$B$17,Paramètres!$A$1:$I$89,5,0)</f>
        <v>420.88800000000009</v>
      </c>
      <c r="GB181" s="13">
        <f t="shared" si="185"/>
        <v>95.998759891259041</v>
      </c>
      <c r="GC181" s="20">
        <f t="shared" si="186"/>
        <v>900.24444014394294</v>
      </c>
      <c r="GD181" s="59">
        <f t="shared" si="134"/>
        <v>1193.5777734772762</v>
      </c>
      <c r="GE181" s="59">
        <f ca="1">AVERAGE(OFFSET($GD$3,0,0,'Données projet'!$E$17+1,1))-AVERAGE(OFFSET($H$3,0,0,'Données projet'!$E$17+1,1))</f>
        <v>434.08297999735811</v>
      </c>
      <c r="GF181" s="59">
        <f t="shared" si="158"/>
        <v>371.04090283546122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22.832688349334177</v>
      </c>
      <c r="GM181" s="21">
        <f>EXP(-LN(2)/25)*GM180+(1-EXP(-LN(2)/25))/(LN(2)/25)*Calculateur!GH181*Calculateur!GJ181*VLOOKUP('Données projet'!$B$17,Paramètres!$A$1:$I$89,3,0)*0.475*44/12</f>
        <v>0.85401842361848912</v>
      </c>
      <c r="GN181" s="21">
        <f>EXP(-LN(2)/2)*GN180+(1-EXP(-LN(2)/2))/(LN(2)/2)*GH181*GK181*VLOOKUP('Données projet'!$B$17,Paramètres!$A$1:$I$89,3,0)*0.475*44/12</f>
        <v>3.9788840760674499E-23</v>
      </c>
      <c r="GO181" s="21">
        <f t="shared" si="187"/>
        <v>23.686706772952665</v>
      </c>
      <c r="GP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614.99999999999989</v>
      </c>
      <c r="GV181" s="17">
        <f>GU181*VLOOKUP('Données projet'!$B$18,Paramètres!$A$1:$I$89,3,0)*VLOOKUP('Données projet'!$B$18,Paramètres!$A$1:$I$89,5,0)</f>
        <v>351.78</v>
      </c>
      <c r="GW181" s="13">
        <f t="shared" si="188"/>
        <v>81.92892344316067</v>
      </c>
      <c r="GX181" s="20">
        <f t="shared" si="189"/>
        <v>755.37637499683808</v>
      </c>
      <c r="GY181" s="59">
        <f t="shared" si="137"/>
        <v>1048.7097083301715</v>
      </c>
      <c r="GZ181" s="59">
        <f ca="1">AVERAGE(OFFSET($GY$3,0,0,'Données projet'!$E$18+1,1))-AVERAGE(OFFSET($H$3,0,0,'Données projet'!$E$18+1,1))</f>
        <v>362.57172983134313</v>
      </c>
      <c r="HA181" s="59">
        <f t="shared" si="160"/>
        <v>232.03250917542471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18.556819191634997</v>
      </c>
      <c r="HH181" s="21">
        <f>EXP(-LN(2)/25)*HH180+(1-EXP(-LN(2)/25))/(LN(2)/25)*Calculateur!HC181*Calculateur!HE181*VLOOKUP('Données projet'!$B$18,Paramètres!$A$1:$I$89,3,0)*0.475*44/12</f>
        <v>0.5148627817030127</v>
      </c>
      <c r="HI181" s="21">
        <f>EXP(-LN(2)/2)*HI180+(1-EXP(-LN(2)/2))/(LN(2)/2)*HC181*HF181*VLOOKUP('Données projet'!$B$18,Paramètres!$A$1:$I$89,3,0)*0.475*44/12</f>
        <v>3.9642737306228929E-23</v>
      </c>
      <c r="HJ181" s="22">
        <f t="shared" si="190"/>
        <v>19.071681973338009</v>
      </c>
    </row>
    <row r="182" spans="1:218" x14ac:dyDescent="0.3">
      <c r="A182" s="10">
        <f t="shared" si="161"/>
        <v>179</v>
      </c>
      <c r="B182" s="71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5">
        <f t="shared" si="110"/>
        <v>484.43071583827873</v>
      </c>
      <c r="I182" s="6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266.99999999999983</v>
      </c>
      <c r="O182" s="13">
        <f>N182*VLOOKUP('Données projet'!$B$9,Paramètres!$A$1:$I$89,3,0)*VLOOKUP('Données projet'!$B$9,Paramètres!$A$1:$I$89,5,0)</f>
        <v>212.42519999999985</v>
      </c>
      <c r="P182" s="13">
        <f t="shared" si="141"/>
        <v>52.465198231787184</v>
      </c>
      <c r="Q182" s="20">
        <f t="shared" si="162"/>
        <v>461.35077692036231</v>
      </c>
      <c r="R182" s="59">
        <f t="shared" si="109"/>
        <v>754.68411025369562</v>
      </c>
      <c r="S182" s="59">
        <f ca="1">AVERAGE(OFFSET($R$3,0,0,'Données projet'!$E$9+1,1))-AVERAGE(OFFSET($H$3,0,0,'Données projet'!$E$9+1,1))</f>
        <v>225.2323446080772</v>
      </c>
      <c r="T182" s="59">
        <f t="shared" si="142"/>
        <v>222.29030402759292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6.1076275266986402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6.1076275266986402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732.99999999999966</v>
      </c>
      <c r="AJ182" s="13">
        <f>AI182*VLOOKUP('Données projet'!$B$10,Paramètres!$A$1:$I$89,3,0)*VLOOKUP('Données projet'!$B$10,Paramètres!$A$1:$I$89,5,0)</f>
        <v>362.1019999999998</v>
      </c>
      <c r="AK182" s="13">
        <f t="shared" si="164"/>
        <v>84.049487364732272</v>
      </c>
      <c r="AL182" s="20">
        <f t="shared" si="165"/>
        <v>777.04717382690842</v>
      </c>
      <c r="AM182" s="59">
        <f t="shared" si="113"/>
        <v>1070.3805071602417</v>
      </c>
      <c r="AN182" s="59">
        <f ca="1">AVERAGE(OFFSET($AM$3,0,0,'Données projet'!$E$10+1,1))-AVERAGE(OFFSET($H$3,0,0,'Données projet'!$E$10+1,1))</f>
        <v>360.05819346986135</v>
      </c>
      <c r="AO182" s="59">
        <f t="shared" si="144"/>
        <v>300.47468388351081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18.290172222864445</v>
      </c>
      <c r="AV182" s="21">
        <f>EXP(-LN(2)/25)*AV181+(1-EXP(-LN(2)/25))/(LN(2)/25)*Calculateur!AQ182*Calculateur!AS182*VLOOKUP('Données projet'!$B$10,Paramètres!$A$1:$I$89,3,0)*0.475*44/12</f>
        <v>0.67963520038398773</v>
      </c>
      <c r="AW182" s="21">
        <f>EXP(-LN(2)/2)*AW181+(1-EXP(-LN(2)/2))/(LN(2)/2)*AQ182*AT182*VLOOKUP('Données projet'!$B$10,Paramètres!$A$1:$I$89,3,0)*0.475*44/12</f>
        <v>1.9629041244714866E-24</v>
      </c>
      <c r="AX182" s="21">
        <f t="shared" si="166"/>
        <v>18.969807423248433</v>
      </c>
      <c r="AY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465.00000000000006</v>
      </c>
      <c r="BE182" s="13">
        <f>BD182*VLOOKUP('Données projet'!$B$11,Paramètres!$A$1:$I$89,3,0)*VLOOKUP('Données projet'!$B$11,Paramètres!$A$1:$I$89,5,0)</f>
        <v>265.98</v>
      </c>
      <c r="BF182" s="13">
        <f t="shared" si="167"/>
        <v>63.995380422211589</v>
      </c>
      <c r="BG182" s="20">
        <f t="shared" si="168"/>
        <v>574.70712090201857</v>
      </c>
      <c r="BH182" s="59">
        <f t="shared" si="116"/>
        <v>868.04045423535194</v>
      </c>
      <c r="BI182" s="59">
        <f ca="1">AVERAGE(OFFSET($BH$3,0,0,'Données projet'!$E$11+1,1))-AVERAGE(OFFSET($H$3,0,0,'Données projet'!$E$11+1,1))</f>
        <v>250.90038883668348</v>
      </c>
      <c r="BJ182" s="59">
        <f t="shared" si="146"/>
        <v>141.96132114475608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14.008166922916486</v>
      </c>
      <c r="BQ182" s="21">
        <f>EXP(-LN(2)/25)*BQ181+(1-EXP(-LN(2)/25))/(LN(2)/25)*Calculateur!BL182*Calculateur!BN182*VLOOKUP('Données projet'!$B$11,Paramètres!$A$1:$I$89,3,0)*0.475*44/12</f>
        <v>0.19122858481509911</v>
      </c>
      <c r="BR182" s="21">
        <f>EXP(-LN(2)/2)*BR181+(1-EXP(-LN(2)/2))/(LN(2)/2)*BL182*BO182*VLOOKUP('Données projet'!$B$11,Paramètres!$A$1:$I$89,3,0)*0.475*44/12</f>
        <v>1.4142814390330383E-22</v>
      </c>
      <c r="BS182" s="22">
        <f t="shared" si="169"/>
        <v>14.199395507731584</v>
      </c>
      <c r="BT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319</v>
      </c>
      <c r="BZ182" s="13">
        <f>BY182*VLOOKUP('Données projet'!$B$12,Paramètres!$A$1:$I$89,3,0)*VLOOKUP('Données projet'!$B$12,Paramètres!$A$1:$I$89,5,0)</f>
        <v>253.79640000000001</v>
      </c>
      <c r="CA182" s="13">
        <f t="shared" si="170"/>
        <v>61.39816832228076</v>
      </c>
      <c r="CB182" s="20">
        <f t="shared" si="171"/>
        <v>548.96387316130563</v>
      </c>
      <c r="CC182" s="59">
        <f t="shared" si="119"/>
        <v>842.29720649463889</v>
      </c>
      <c r="CD182" s="59">
        <f ca="1">AVERAGE(OFFSET($CC$3,0,0,'Données projet'!$E$12+1,1))-AVERAGE(OFFSET($H$3,0,0,'Données projet'!$E$12+1,1))</f>
        <v>279.49721661620544</v>
      </c>
      <c r="CE182" s="59">
        <f t="shared" si="148"/>
        <v>275.18739333988754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7.4845797492599973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7.4845797492599973</v>
      </c>
      <c r="CO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789</v>
      </c>
      <c r="CU182" s="17">
        <f>CT182*VLOOKUP('Données projet'!$B$13,Paramètres!$A$1:$I$89,3,0)*VLOOKUP('Données projet'!$B$13,Paramètres!$A$1:$I$89,5,0)</f>
        <v>389.76600000000002</v>
      </c>
      <c r="CV182" s="13">
        <f t="shared" si="173"/>
        <v>89.698759503620408</v>
      </c>
      <c r="CW182" s="20">
        <f t="shared" si="174"/>
        <v>835.06778946880547</v>
      </c>
      <c r="CX182" s="59">
        <f t="shared" si="122"/>
        <v>1128.4011228021388</v>
      </c>
      <c r="CY182" s="59">
        <f ca="1">AVERAGE(OFFSET($CX$3,0,0,'Données projet'!$E$13+1,1))-AVERAGE(OFFSET($H$3,0,0,'Données projet'!$E$13+1,1))</f>
        <v>396.27049617044378</v>
      </c>
      <c r="CZ182" s="59">
        <f t="shared" si="150"/>
        <v>335.2680289568774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20.289216458090159</v>
      </c>
      <c r="DG182" s="21">
        <f>EXP(-LN(2)/25)*DG181+(1-EXP(-LN(2)/25))/(LN(2)/25)*Calculateur!DB182*Calculateur!DD182*VLOOKUP('Données projet'!$B$13,Paramètres!$A$1:$I$89,3,0)*0.475*44/12</f>
        <v>0.75515022264887643</v>
      </c>
      <c r="DH182" s="21">
        <f>EXP(-LN(2)/2)*DH181+(1-EXP(-LN(2)/2))/(LN(2)/2)*DB182*DE182*VLOOKUP('Données projet'!$B$13,Paramètres!$A$1:$I$89,3,0)*0.475*44/12</f>
        <v>1.4394630246124245E-23</v>
      </c>
      <c r="DI182" s="22">
        <f t="shared" si="175"/>
        <v>21.044366680739035</v>
      </c>
      <c r="DJ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541.99999999999989</v>
      </c>
      <c r="DP182" s="17">
        <f>DO182*VLOOKUP('Données projet'!$B$14,Paramètres!$A$1:$I$89,3,0)*VLOOKUP('Données projet'!$B$14,Paramètres!$A$1:$I$89,5,0)</f>
        <v>310.02399999999994</v>
      </c>
      <c r="DQ182" s="13">
        <f t="shared" si="176"/>
        <v>73.27384230442388</v>
      </c>
      <c r="DR182" s="20">
        <f t="shared" si="177"/>
        <v>667.57707534687154</v>
      </c>
      <c r="DS182" s="59">
        <f t="shared" si="125"/>
        <v>960.91040868020491</v>
      </c>
      <c r="DT182" s="59">
        <f ca="1">AVERAGE(OFFSET($DS$3,0,0,'Données projet'!$E$14+1,1))-AVERAGE(OFFSET($H$3,0,0,'Données projet'!$E$14+1,1))</f>
        <v>307.43900954374504</v>
      </c>
      <c r="DU182" s="59">
        <f t="shared" si="152"/>
        <v>185.25270859048999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16.132848473915498</v>
      </c>
      <c r="EB182" s="21">
        <f>EXP(-LN(2)/25)*EB181+(1-EXP(-LN(2)/25))/(LN(2)/25)*Calculateur!DW182*Calculateur!DY182*VLOOKUP('Données projet'!$B$14,Paramètres!$A$1:$I$89,3,0)*0.475*44/12</f>
        <v>0.42924328445304538</v>
      </c>
      <c r="EC182" s="21">
        <f>EXP(-LN(2)/2)*EC181+(1-EXP(-LN(2)/2))/(LN(2)/2)*DW182*DZ182*VLOOKUP('Données projet'!$B$14,Paramètres!$A$1:$I$89,3,0)*0.475*44/12</f>
        <v>1.3637018127907173E-23</v>
      </c>
      <c r="ED182" s="22">
        <f t="shared" si="178"/>
        <v>16.562091758368542</v>
      </c>
      <c r="EE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401</v>
      </c>
      <c r="EK182" s="17">
        <f>EJ182*VLOOKUP('Données projet'!$B$15,Paramètres!$A$1:$I$89,3,0)*VLOOKUP('Données projet'!$B$15,Paramètres!$A$1:$I$89,5,0)</f>
        <v>250.22399999999999</v>
      </c>
      <c r="EL182" s="13">
        <f t="shared" si="179"/>
        <v>60.633904580527918</v>
      </c>
      <c r="EM182" s="20">
        <f t="shared" si="180"/>
        <v>541.41085047775289</v>
      </c>
      <c r="EN182" s="59">
        <f t="shared" si="128"/>
        <v>834.74418381108626</v>
      </c>
      <c r="EO182" s="59">
        <f ca="1">AVERAGE(OFFSET($EN$3,0,0,'Données projet'!$E$15+1,1))-AVERAGE(OFFSET($H$3,0,0,'Données projet'!$E$15+1,1))</f>
        <v>269.77739619445515</v>
      </c>
      <c r="EP182" s="59">
        <f t="shared" si="154"/>
        <v>347.56964743629885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7.2544422814945069</v>
      </c>
      <c r="EW182" s="21">
        <f>EXP(-LN(2)/25)*EW181+(1-EXP(-LN(2)/25))/(LN(2)/25)*Calculateur!ER182*Calculateur!ET182*VLOOKUP('Données projet'!$B$15,Paramètres!$A$1:$I$89,3,0)*0.475*44/12</f>
        <v>1.4737721256747653</v>
      </c>
      <c r="EX182" s="21">
        <f>EXP(-LN(2)/2)*EX181+(1-EXP(-LN(2)/2))/(LN(2)/2)*ER182*EU182*VLOOKUP('Données projet'!$B$15,Paramètres!$A$1:$I$89,3,0)*0.475*44/12</f>
        <v>9.2979669053912557E-25</v>
      </c>
      <c r="EY182" s="22">
        <f t="shared" si="181"/>
        <v>8.728214407169272</v>
      </c>
      <c r="EZ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367.99999999999972</v>
      </c>
      <c r="FF182" s="17">
        <f>FE182*VLOOKUP('Données projet'!$B$16,Paramètres!$A$1:$I$89,3,0)*VLOOKUP('Données projet'!$B$16,Paramètres!$A$1:$I$89,5,0)</f>
        <v>292.78079999999977</v>
      </c>
      <c r="FG182" s="13">
        <f t="shared" si="182"/>
        <v>69.660903052386217</v>
      </c>
      <c r="FH182" s="20">
        <f t="shared" si="183"/>
        <v>631.25263281623893</v>
      </c>
      <c r="FI182" s="59">
        <f t="shared" si="131"/>
        <v>924.58596614957219</v>
      </c>
      <c r="FJ182" s="59">
        <f ca="1">AVERAGE(OFFSET($FI$3,0,0,'Données projet'!$E$16+1,1))-AVERAGE(OFFSET($H$3,0,0,'Données projet'!$E$16+1,1))</f>
        <v>331.52724290297675</v>
      </c>
      <c r="FK182" s="59">
        <f t="shared" si="156"/>
        <v>322.79102610158054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8.6761344278060815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8.6761344278060815</v>
      </c>
      <c r="FU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852.00000000000011</v>
      </c>
      <c r="GA182" s="17">
        <f>FZ182*VLOOKUP('Données projet'!$B$17,Paramètres!$A$1:$I$89,3,0)*VLOOKUP('Données projet'!$B$17,Paramètres!$A$1:$I$89,5,0)</f>
        <v>420.88800000000009</v>
      </c>
      <c r="GB182" s="13">
        <f t="shared" si="185"/>
        <v>95.998759891259041</v>
      </c>
      <c r="GC182" s="20">
        <f t="shared" si="186"/>
        <v>900.24444014394294</v>
      </c>
      <c r="GD182" s="59">
        <f t="shared" si="134"/>
        <v>1193.5777734772762</v>
      </c>
      <c r="GE182" s="59">
        <f ca="1">AVERAGE(OFFSET($GD$3,0,0,'Données projet'!$E$17+1,1))-AVERAGE(OFFSET($H$3,0,0,'Données projet'!$E$17+1,1))</f>
        <v>434.08297999735811</v>
      </c>
      <c r="GF182" s="59">
        <f t="shared" si="158"/>
        <v>371.04090283546122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22.384953257368494</v>
      </c>
      <c r="GM182" s="21">
        <f>EXP(-LN(2)/25)*GM181+(1-EXP(-LN(2)/25))/(LN(2)/25)*Calculateur!GH182*Calculateur!GJ182*VLOOKUP('Données projet'!$B$17,Paramètres!$A$1:$I$89,3,0)*0.475*44/12</f>
        <v>0.83066524491376448</v>
      </c>
      <c r="GN182" s="21">
        <f>EXP(-LN(2)/2)*GN181+(1-EXP(-LN(2)/2))/(LN(2)/2)*GH182*GK182*VLOOKUP('Données projet'!$B$17,Paramètres!$A$1:$I$89,3,0)*0.475*44/12</f>
        <v>2.8134959117424645E-23</v>
      </c>
      <c r="GO182" s="21">
        <f t="shared" si="187"/>
        <v>23.215618502282258</v>
      </c>
      <c r="GP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614.99999999999989</v>
      </c>
      <c r="GV182" s="17">
        <f>GU182*VLOOKUP('Données projet'!$B$18,Paramètres!$A$1:$I$89,3,0)*VLOOKUP('Données projet'!$B$18,Paramètres!$A$1:$I$89,5,0)</f>
        <v>351.78</v>
      </c>
      <c r="GW182" s="13">
        <f t="shared" si="188"/>
        <v>81.92892344316067</v>
      </c>
      <c r="GX182" s="20">
        <f t="shared" si="189"/>
        <v>755.37637499683808</v>
      </c>
      <c r="GY182" s="59">
        <f t="shared" si="137"/>
        <v>1048.7097083301715</v>
      </c>
      <c r="GZ182" s="59">
        <f ca="1">AVERAGE(OFFSET($GY$3,0,0,'Données projet'!$E$18+1,1))-AVERAGE(OFFSET($H$3,0,0,'Données projet'!$E$18+1,1))</f>
        <v>362.57172983134313</v>
      </c>
      <c r="HA182" s="59">
        <f t="shared" si="160"/>
        <v>232.03250917542471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18.192931285829129</v>
      </c>
      <c r="HH182" s="21">
        <f>EXP(-LN(2)/25)*HH181+(1-EXP(-LN(2)/25))/(LN(2)/25)*Calculateur!HC182*Calculateur!HE182*VLOOKUP('Données projet'!$B$18,Paramètres!$A$1:$I$89,3,0)*0.475*44/12</f>
        <v>0.50078383186188691</v>
      </c>
      <c r="HI182" s="21">
        <f>EXP(-LN(2)/2)*HI181+(1-EXP(-LN(2)/2))/(LN(2)/2)*HC182*HF182*VLOOKUP('Données projet'!$B$18,Paramètres!$A$1:$I$89,3,0)*0.475*44/12</f>
        <v>2.8031648374031403E-23</v>
      </c>
      <c r="HJ182" s="22">
        <f t="shared" si="190"/>
        <v>18.693715117691017</v>
      </c>
    </row>
    <row r="183" spans="1:218" x14ac:dyDescent="0.3">
      <c r="A183" s="10">
        <f t="shared" si="161"/>
        <v>180</v>
      </c>
      <c r="B183" s="71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5">
        <f t="shared" si="110"/>
        <v>485.47147953791148</v>
      </c>
      <c r="I183" s="6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266.99999999999983</v>
      </c>
      <c r="O183" s="13">
        <f>N183*VLOOKUP('Données projet'!$B$9,Paramètres!$A$1:$I$89,3,0)*VLOOKUP('Données projet'!$B$9,Paramètres!$A$1:$I$89,5,0)</f>
        <v>212.42519999999985</v>
      </c>
      <c r="P183" s="13">
        <f t="shared" si="141"/>
        <v>52.465198231787184</v>
      </c>
      <c r="Q183" s="20">
        <f t="shared" si="162"/>
        <v>461.35077692036231</v>
      </c>
      <c r="R183" s="59">
        <f t="shared" si="109"/>
        <v>754.68411025369562</v>
      </c>
      <c r="S183" s="59">
        <f ca="1">AVERAGE(OFFSET($R$3,0,0,'Données projet'!$E$9+1,1))-AVERAGE(OFFSET($H$3,0,0,'Données projet'!$E$9+1,1))</f>
        <v>225.2323446080772</v>
      </c>
      <c r="T183" s="59">
        <f t="shared" si="142"/>
        <v>222.29030402759292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5.9878606761850302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5.9878606761850302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732.99999999999966</v>
      </c>
      <c r="AJ183" s="13">
        <f>AI183*VLOOKUP('Données projet'!$B$10,Paramètres!$A$1:$I$89,3,0)*VLOOKUP('Données projet'!$B$10,Paramètres!$A$1:$I$89,5,0)</f>
        <v>362.1019999999998</v>
      </c>
      <c r="AK183" s="13">
        <f t="shared" si="164"/>
        <v>84.049487364732272</v>
      </c>
      <c r="AL183" s="20">
        <f t="shared" si="165"/>
        <v>777.04717382690842</v>
      </c>
      <c r="AM183" s="59">
        <f t="shared" si="113"/>
        <v>1070.3805071602417</v>
      </c>
      <c r="AN183" s="59">
        <f ca="1">AVERAGE(OFFSET($AM$3,0,0,'Données projet'!$E$10+1,1))-AVERAGE(OFFSET($H$3,0,0,'Données projet'!$E$10+1,1))</f>
        <v>360.05819346986135</v>
      </c>
      <c r="AO183" s="59">
        <f t="shared" si="144"/>
        <v>300.47468388351081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17.931513101477574</v>
      </c>
      <c r="AV183" s="21">
        <f>EXP(-LN(2)/25)*AV182+(1-EXP(-LN(2)/25))/(LN(2)/25)*Calculateur!AQ183*Calculateur!AS183*VLOOKUP('Données projet'!$B$10,Paramètres!$A$1:$I$89,3,0)*0.475*44/12</f>
        <v>0.66105054008902575</v>
      </c>
      <c r="AW183" s="21">
        <f>EXP(-LN(2)/2)*AW182+(1-EXP(-LN(2)/2))/(LN(2)/2)*AQ183*AT183*VLOOKUP('Données projet'!$B$10,Paramètres!$A$1:$I$89,3,0)*0.475*44/12</f>
        <v>1.3879828172328312E-24</v>
      </c>
      <c r="AX183" s="21">
        <f t="shared" si="166"/>
        <v>18.592563641566599</v>
      </c>
      <c r="AY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465.00000000000006</v>
      </c>
      <c r="BE183" s="13">
        <f>BD183*VLOOKUP('Données projet'!$B$11,Paramètres!$A$1:$I$89,3,0)*VLOOKUP('Données projet'!$B$11,Paramètres!$A$1:$I$89,5,0)</f>
        <v>265.98</v>
      </c>
      <c r="BF183" s="13">
        <f t="shared" si="167"/>
        <v>63.995380422211589</v>
      </c>
      <c r="BG183" s="20">
        <f t="shared" si="168"/>
        <v>574.70712090201857</v>
      </c>
      <c r="BH183" s="59">
        <f t="shared" si="116"/>
        <v>868.04045423535194</v>
      </c>
      <c r="BI183" s="59">
        <f ca="1">AVERAGE(OFFSET($BH$3,0,0,'Données projet'!$E$11+1,1))-AVERAGE(OFFSET($H$3,0,0,'Données projet'!$E$11+1,1))</f>
        <v>250.90038883668348</v>
      </c>
      <c r="BJ183" s="59">
        <f t="shared" si="146"/>
        <v>141.96132114475608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13.733475313696253</v>
      </c>
      <c r="BQ183" s="21">
        <f>EXP(-LN(2)/25)*BQ182+(1-EXP(-LN(2)/25))/(LN(2)/25)*Calculateur!BL183*Calculateur!BN183*VLOOKUP('Données projet'!$B$11,Paramètres!$A$1:$I$89,3,0)*0.475*44/12</f>
        <v>0.185999429107056</v>
      </c>
      <c r="BR183" s="21">
        <f>EXP(-LN(2)/2)*BR182+(1-EXP(-LN(2)/2))/(LN(2)/2)*BL183*BO183*VLOOKUP('Données projet'!$B$11,Paramètres!$A$1:$I$89,3,0)*0.475*44/12</f>
        <v>1.0000479960465302E-22</v>
      </c>
      <c r="BS183" s="22">
        <f t="shared" si="169"/>
        <v>13.91947474280331</v>
      </c>
      <c r="BT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319</v>
      </c>
      <c r="BZ183" s="13">
        <f>BY183*VLOOKUP('Données projet'!$B$12,Paramètres!$A$1:$I$89,3,0)*VLOOKUP('Données projet'!$B$12,Paramètres!$A$1:$I$89,5,0)</f>
        <v>253.79640000000001</v>
      </c>
      <c r="CA183" s="13">
        <f t="shared" si="170"/>
        <v>61.39816832228076</v>
      </c>
      <c r="CB183" s="20">
        <f t="shared" si="171"/>
        <v>548.96387316130563</v>
      </c>
      <c r="CC183" s="59">
        <f t="shared" si="119"/>
        <v>842.29720649463889</v>
      </c>
      <c r="CD183" s="59">
        <f ca="1">AVERAGE(OFFSET($CC$3,0,0,'Données projet'!$E$12+1,1))-AVERAGE(OFFSET($H$3,0,0,'Données projet'!$E$12+1,1))</f>
        <v>279.49721661620544</v>
      </c>
      <c r="CE183" s="59">
        <f t="shared" si="148"/>
        <v>275.18739333988754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7.3378117055198855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7.3378117055198855</v>
      </c>
      <c r="CO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789</v>
      </c>
      <c r="CU183" s="17">
        <f>CT183*VLOOKUP('Données projet'!$B$13,Paramètres!$A$1:$I$89,3,0)*VLOOKUP('Données projet'!$B$13,Paramètres!$A$1:$I$89,5,0)</f>
        <v>389.76600000000002</v>
      </c>
      <c r="CV183" s="13">
        <f t="shared" si="173"/>
        <v>89.698759503620408</v>
      </c>
      <c r="CW183" s="20">
        <f t="shared" si="174"/>
        <v>835.06778946880547</v>
      </c>
      <c r="CX183" s="59">
        <f t="shared" si="122"/>
        <v>1128.4011228021388</v>
      </c>
      <c r="CY183" s="59">
        <f ca="1">AVERAGE(OFFSET($CX$3,0,0,'Données projet'!$E$13+1,1))-AVERAGE(OFFSET($H$3,0,0,'Données projet'!$E$13+1,1))</f>
        <v>396.27049617044378</v>
      </c>
      <c r="CZ183" s="59">
        <f t="shared" si="150"/>
        <v>335.2680289568774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19.891357298547103</v>
      </c>
      <c r="DG183" s="21">
        <f>EXP(-LN(2)/25)*DG182+(1-EXP(-LN(2)/25))/(LN(2)/25)*Calculateur!DB183*Calculateur!DD183*VLOOKUP('Données projet'!$B$13,Paramètres!$A$1:$I$89,3,0)*0.475*44/12</f>
        <v>0.7345006000989186</v>
      </c>
      <c r="DH183" s="21">
        <f>EXP(-LN(2)/2)*DH182+(1-EXP(-LN(2)/2))/(LN(2)/2)*DB183*DE183*VLOOKUP('Données projet'!$B$13,Paramètres!$A$1:$I$89,3,0)*0.475*44/12</f>
        <v>1.0178540659707435E-23</v>
      </c>
      <c r="DI183" s="22">
        <f t="shared" si="175"/>
        <v>20.625857898646021</v>
      </c>
      <c r="DJ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541.99999999999989</v>
      </c>
      <c r="DP183" s="17">
        <f>DO183*VLOOKUP('Données projet'!$B$14,Paramètres!$A$1:$I$89,3,0)*VLOOKUP('Données projet'!$B$14,Paramètres!$A$1:$I$89,5,0)</f>
        <v>310.02399999999994</v>
      </c>
      <c r="DQ183" s="13">
        <f t="shared" si="176"/>
        <v>73.27384230442388</v>
      </c>
      <c r="DR183" s="20">
        <f t="shared" si="177"/>
        <v>667.57707534687154</v>
      </c>
      <c r="DS183" s="59">
        <f t="shared" si="125"/>
        <v>960.91040868020491</v>
      </c>
      <c r="DT183" s="59">
        <f ca="1">AVERAGE(OFFSET($DS$3,0,0,'Données projet'!$E$14+1,1))-AVERAGE(OFFSET($H$3,0,0,'Données projet'!$E$14+1,1))</f>
        <v>307.43900954374504</v>
      </c>
      <c r="DU183" s="59">
        <f t="shared" si="152"/>
        <v>185.25270859048999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15.816493155407958</v>
      </c>
      <c r="EB183" s="21">
        <f>EXP(-LN(2)/25)*EB182+(1-EXP(-LN(2)/25))/(LN(2)/25)*Calculateur!DW183*Calculateur!DY183*VLOOKUP('Données projet'!$B$14,Paramètres!$A$1:$I$89,3,0)*0.475*44/12</f>
        <v>0.41750560426675359</v>
      </c>
      <c r="EC183" s="21">
        <f>EXP(-LN(2)/2)*EC182+(1-EXP(-LN(2)/2))/(LN(2)/2)*DW183*DZ183*VLOOKUP('Données projet'!$B$14,Paramètres!$A$1:$I$89,3,0)*0.475*44/12</f>
        <v>9.6428279934070395E-24</v>
      </c>
      <c r="ED183" s="22">
        <f t="shared" si="178"/>
        <v>16.233998759674712</v>
      </c>
      <c r="EE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401</v>
      </c>
      <c r="EK183" s="17">
        <f>EJ183*VLOOKUP('Données projet'!$B$15,Paramètres!$A$1:$I$89,3,0)*VLOOKUP('Données projet'!$B$15,Paramètres!$A$1:$I$89,5,0)</f>
        <v>250.22399999999999</v>
      </c>
      <c r="EL183" s="13">
        <f t="shared" si="179"/>
        <v>60.633904580527918</v>
      </c>
      <c r="EM183" s="20">
        <f t="shared" si="180"/>
        <v>541.41085047775289</v>
      </c>
      <c r="EN183" s="59">
        <f t="shared" si="128"/>
        <v>834.74418381108626</v>
      </c>
      <c r="EO183" s="59">
        <f ca="1">AVERAGE(OFFSET($EN$3,0,0,'Données projet'!$E$15+1,1))-AVERAGE(OFFSET($H$3,0,0,'Données projet'!$E$15+1,1))</f>
        <v>269.77739619445515</v>
      </c>
      <c r="EP183" s="59">
        <f t="shared" si="154"/>
        <v>347.56964743629885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7.1121870931272815</v>
      </c>
      <c r="EW183" s="21">
        <f>EXP(-LN(2)/25)*EW182+(1-EXP(-LN(2)/25))/(LN(2)/25)*Calculateur!ER183*Calculateur!ET183*VLOOKUP('Données projet'!$B$15,Paramètres!$A$1:$I$89,3,0)*0.475*44/12</f>
        <v>1.4334717493958811</v>
      </c>
      <c r="EX183" s="21">
        <f>EXP(-LN(2)/2)*EX182+(1-EXP(-LN(2)/2))/(LN(2)/2)*ER183*EU183*VLOOKUP('Données projet'!$B$15,Paramètres!$A$1:$I$89,3,0)*0.475*44/12</f>
        <v>6.5746554500502552E-25</v>
      </c>
      <c r="EY183" s="22">
        <f t="shared" si="181"/>
        <v>8.5456588425231619</v>
      </c>
      <c r="EZ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367.99999999999972</v>
      </c>
      <c r="FF183" s="17">
        <f>FE183*VLOOKUP('Données projet'!$B$16,Paramètres!$A$1:$I$89,3,0)*VLOOKUP('Données projet'!$B$16,Paramètres!$A$1:$I$89,5,0)</f>
        <v>292.78079999999977</v>
      </c>
      <c r="FG183" s="13">
        <f t="shared" si="182"/>
        <v>69.660903052386217</v>
      </c>
      <c r="FH183" s="20">
        <f t="shared" si="183"/>
        <v>631.25263281623893</v>
      </c>
      <c r="FI183" s="59">
        <f t="shared" si="131"/>
        <v>924.58596614957219</v>
      </c>
      <c r="FJ183" s="59">
        <f ca="1">AVERAGE(OFFSET($FI$3,0,0,'Données projet'!$E$16+1,1))-AVERAGE(OFFSET($H$3,0,0,'Données projet'!$E$16+1,1))</f>
        <v>331.52724290297675</v>
      </c>
      <c r="FK183" s="59">
        <f t="shared" si="156"/>
        <v>322.79102610158054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8.5060007235962711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8.5060007235962711</v>
      </c>
      <c r="FU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852.00000000000011</v>
      </c>
      <c r="GA183" s="17">
        <f>FZ183*VLOOKUP('Données projet'!$B$17,Paramètres!$A$1:$I$89,3,0)*VLOOKUP('Données projet'!$B$17,Paramètres!$A$1:$I$89,5,0)</f>
        <v>420.88800000000009</v>
      </c>
      <c r="GB183" s="13">
        <f t="shared" si="185"/>
        <v>95.998759891259041</v>
      </c>
      <c r="GC183" s="20">
        <f t="shared" si="186"/>
        <v>900.24444014394294</v>
      </c>
      <c r="GD183" s="59">
        <f t="shared" si="134"/>
        <v>1193.5777734772762</v>
      </c>
      <c r="GE183" s="59">
        <f ca="1">AVERAGE(OFFSET($GD$3,0,0,'Données projet'!$E$17+1,1))-AVERAGE(OFFSET($H$3,0,0,'Données projet'!$E$17+1,1))</f>
        <v>434.08297999735811</v>
      </c>
      <c r="GF183" s="59">
        <f t="shared" si="158"/>
        <v>371.04090283546122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21.945997977464817</v>
      </c>
      <c r="GM183" s="21">
        <f>EXP(-LN(2)/25)*GM182+(1-EXP(-LN(2)/25))/(LN(2)/25)*Calculateur!GH183*Calculateur!GJ183*VLOOKUP('Données projet'!$B$17,Paramètres!$A$1:$I$89,3,0)*0.475*44/12</f>
        <v>0.80795066010881089</v>
      </c>
      <c r="GN183" s="21">
        <f>EXP(-LN(2)/2)*GN182+(1-EXP(-LN(2)/2))/(LN(2)/2)*GH183*GK183*VLOOKUP('Données projet'!$B$17,Paramètres!$A$1:$I$89,3,0)*0.475*44/12</f>
        <v>1.9894420380337249E-23</v>
      </c>
      <c r="GO183" s="21">
        <f t="shared" si="187"/>
        <v>22.753948637573629</v>
      </c>
      <c r="GP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614.99999999999989</v>
      </c>
      <c r="GV183" s="17">
        <f>GU183*VLOOKUP('Données projet'!$B$18,Paramètres!$A$1:$I$89,3,0)*VLOOKUP('Données projet'!$B$18,Paramètres!$A$1:$I$89,5,0)</f>
        <v>351.78</v>
      </c>
      <c r="GW183" s="13">
        <f t="shared" si="188"/>
        <v>81.92892344316067</v>
      </c>
      <c r="GX183" s="20">
        <f t="shared" si="189"/>
        <v>755.37637499683808</v>
      </c>
      <c r="GY183" s="59">
        <f t="shared" si="137"/>
        <v>1048.7097083301715</v>
      </c>
      <c r="GZ183" s="59">
        <f ca="1">AVERAGE(OFFSET($GY$3,0,0,'Données projet'!$E$18+1,1))-AVERAGE(OFFSET($H$3,0,0,'Données projet'!$E$18+1,1))</f>
        <v>362.57172983134313</v>
      </c>
      <c r="HA183" s="59">
        <f t="shared" si="160"/>
        <v>232.03250917542471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17.836178999906405</v>
      </c>
      <c r="HH183" s="21">
        <f>EXP(-LN(2)/25)*HH182+(1-EXP(-LN(2)/25))/(LN(2)/25)*Calculateur!HC183*Calculateur!HE183*VLOOKUP('Données projet'!$B$18,Paramètres!$A$1:$I$89,3,0)*0.475*44/12</f>
        <v>0.48708987164454642</v>
      </c>
      <c r="HI183" s="21">
        <f>EXP(-LN(2)/2)*HI182+(1-EXP(-LN(2)/2))/(LN(2)/2)*HC183*HF183*VLOOKUP('Données projet'!$B$18,Paramètres!$A$1:$I$89,3,0)*0.475*44/12</f>
        <v>1.9821368653114464E-23</v>
      </c>
      <c r="HJ183" s="22">
        <f t="shared" si="190"/>
        <v>18.323268871550951</v>
      </c>
    </row>
    <row r="184" spans="1:218" x14ac:dyDescent="0.3">
      <c r="A184" s="10">
        <f t="shared" si="161"/>
        <v>181</v>
      </c>
      <c r="B184" s="71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5">
        <f t="shared" si="110"/>
        <v>486.51211199168915</v>
      </c>
      <c r="I184" s="6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266.99999999999983</v>
      </c>
      <c r="O184" s="13">
        <f>N184*VLOOKUP('Données projet'!$B$9,Paramètres!$A$1:$I$89,3,0)*VLOOKUP('Données projet'!$B$9,Paramètres!$A$1:$I$89,5,0)</f>
        <v>212.42519999999985</v>
      </c>
      <c r="P184" s="13">
        <f t="shared" si="141"/>
        <v>52.465198231787184</v>
      </c>
      <c r="Q184" s="20">
        <f t="shared" si="162"/>
        <v>461.35077692036231</v>
      </c>
      <c r="R184" s="59">
        <f t="shared" si="109"/>
        <v>754.68411025369562</v>
      </c>
      <c r="S184" s="59">
        <f ca="1">AVERAGE(OFFSET($R$3,0,0,'Données projet'!$E$9+1,1))-AVERAGE(OFFSET($H$3,0,0,'Données projet'!$E$9+1,1))</f>
        <v>225.2323446080772</v>
      </c>
      <c r="T184" s="59">
        <f t="shared" si="142"/>
        <v>222.29030402759292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5.8704423805594264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5.8704423805594264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732.99999999999966</v>
      </c>
      <c r="AJ184" s="13">
        <f>AI184*VLOOKUP('Données projet'!$B$10,Paramètres!$A$1:$I$89,3,0)*VLOOKUP('Données projet'!$B$10,Paramètres!$A$1:$I$89,5,0)</f>
        <v>362.1019999999998</v>
      </c>
      <c r="AK184" s="13">
        <f t="shared" si="164"/>
        <v>84.049487364732272</v>
      </c>
      <c r="AL184" s="20">
        <f t="shared" si="165"/>
        <v>777.04717382690842</v>
      </c>
      <c r="AM184" s="59">
        <f t="shared" si="113"/>
        <v>1070.3805071602417</v>
      </c>
      <c r="AN184" s="59">
        <f ca="1">AVERAGE(OFFSET($AM$3,0,0,'Données projet'!$E$10+1,1))-AVERAGE(OFFSET($H$3,0,0,'Données projet'!$E$10+1,1))</f>
        <v>360.05819346986135</v>
      </c>
      <c r="AO184" s="59">
        <f t="shared" si="144"/>
        <v>300.47468388351081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17.579887066700636</v>
      </c>
      <c r="AV184" s="21">
        <f>EXP(-LN(2)/25)*AV183+(1-EXP(-LN(2)/25))/(LN(2)/25)*Calculateur!AQ184*Calculateur!AS184*VLOOKUP('Données projet'!$B$10,Paramètres!$A$1:$I$89,3,0)*0.475*44/12</f>
        <v>0.64297407830715425</v>
      </c>
      <c r="AW184" s="21">
        <f>EXP(-LN(2)/2)*AW183+(1-EXP(-LN(2)/2))/(LN(2)/2)*AQ184*AT184*VLOOKUP('Données projet'!$B$10,Paramètres!$A$1:$I$89,3,0)*0.475*44/12</f>
        <v>9.8145206223574331E-25</v>
      </c>
      <c r="AX184" s="21">
        <f t="shared" si="166"/>
        <v>18.222861145007791</v>
      </c>
      <c r="AY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465.00000000000006</v>
      </c>
      <c r="BE184" s="13">
        <f>BD184*VLOOKUP('Données projet'!$B$11,Paramètres!$A$1:$I$89,3,0)*VLOOKUP('Données projet'!$B$11,Paramètres!$A$1:$I$89,5,0)</f>
        <v>265.98</v>
      </c>
      <c r="BF184" s="13">
        <f t="shared" si="167"/>
        <v>63.995380422211589</v>
      </c>
      <c r="BG184" s="20">
        <f t="shared" si="168"/>
        <v>574.70712090201857</v>
      </c>
      <c r="BH184" s="59">
        <f t="shared" si="116"/>
        <v>868.04045423535194</v>
      </c>
      <c r="BI184" s="59">
        <f ca="1">AVERAGE(OFFSET($BH$3,0,0,'Données projet'!$E$11+1,1))-AVERAGE(OFFSET($H$3,0,0,'Données projet'!$E$11+1,1))</f>
        <v>250.90038883668348</v>
      </c>
      <c r="BJ184" s="59">
        <f t="shared" si="146"/>
        <v>141.96132114475608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13.46417023938749</v>
      </c>
      <c r="BQ184" s="21">
        <f>EXP(-LN(2)/25)*BQ183+(1-EXP(-LN(2)/25))/(LN(2)/25)*Calculateur!BL184*Calculateur!BN184*VLOOKUP('Données projet'!$B$11,Paramètres!$A$1:$I$89,3,0)*0.475*44/12</f>
        <v>0.18091326493683868</v>
      </c>
      <c r="BR184" s="21">
        <f>EXP(-LN(2)/2)*BR183+(1-EXP(-LN(2)/2))/(LN(2)/2)*BL184*BO184*VLOOKUP('Données projet'!$B$11,Paramètres!$A$1:$I$89,3,0)*0.475*44/12</f>
        <v>7.0714071951651915E-23</v>
      </c>
      <c r="BS184" s="22">
        <f t="shared" si="169"/>
        <v>13.645083504324329</v>
      </c>
      <c r="BT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319</v>
      </c>
      <c r="BZ184" s="13">
        <f>BY184*VLOOKUP('Données projet'!$B$12,Paramètres!$A$1:$I$89,3,0)*VLOOKUP('Données projet'!$B$12,Paramètres!$A$1:$I$89,5,0)</f>
        <v>253.79640000000001</v>
      </c>
      <c r="CA184" s="13">
        <f t="shared" si="170"/>
        <v>61.39816832228076</v>
      </c>
      <c r="CB184" s="20">
        <f t="shared" si="171"/>
        <v>548.96387316130563</v>
      </c>
      <c r="CC184" s="59">
        <f t="shared" si="119"/>
        <v>842.29720649463889</v>
      </c>
      <c r="CD184" s="59">
        <f ca="1">AVERAGE(OFFSET($CC$3,0,0,'Données projet'!$E$12+1,1))-AVERAGE(OFFSET($H$3,0,0,'Données projet'!$E$12+1,1))</f>
        <v>279.49721661620544</v>
      </c>
      <c r="CE184" s="59">
        <f t="shared" si="148"/>
        <v>275.18739333988754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7.1939216935978498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7.1939216935978498</v>
      </c>
      <c r="CO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789</v>
      </c>
      <c r="CU184" s="17">
        <f>CT184*VLOOKUP('Données projet'!$B$13,Paramètres!$A$1:$I$89,3,0)*VLOOKUP('Données projet'!$B$13,Paramètres!$A$1:$I$89,5,0)</f>
        <v>389.76600000000002</v>
      </c>
      <c r="CV184" s="13">
        <f t="shared" si="173"/>
        <v>89.698759503620408</v>
      </c>
      <c r="CW184" s="20">
        <f t="shared" si="174"/>
        <v>835.06778946880547</v>
      </c>
      <c r="CX184" s="59">
        <f t="shared" si="122"/>
        <v>1128.4011228021388</v>
      </c>
      <c r="CY184" s="59">
        <f ca="1">AVERAGE(OFFSET($CX$3,0,0,'Données projet'!$E$13+1,1))-AVERAGE(OFFSET($H$3,0,0,'Données projet'!$E$13+1,1))</f>
        <v>396.27049617044378</v>
      </c>
      <c r="CZ184" s="59">
        <f t="shared" si="150"/>
        <v>335.2680289568774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19.501299914452559</v>
      </c>
      <c r="DG184" s="21">
        <f>EXP(-LN(2)/25)*DG183+(1-EXP(-LN(2)/25))/(LN(2)/25)*Calculateur!DB184*Calculateur!DD184*VLOOKUP('Données projet'!$B$13,Paramètres!$A$1:$I$89,3,0)*0.475*44/12</f>
        <v>0.71441564256350587</v>
      </c>
      <c r="DH184" s="21">
        <f>EXP(-LN(2)/2)*DH183+(1-EXP(-LN(2)/2))/(LN(2)/2)*DB184*DE184*VLOOKUP('Données projet'!$B$13,Paramètres!$A$1:$I$89,3,0)*0.475*44/12</f>
        <v>7.1973151230621224E-24</v>
      </c>
      <c r="DI184" s="22">
        <f t="shared" si="175"/>
        <v>20.215715557016065</v>
      </c>
      <c r="DJ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541.99999999999989</v>
      </c>
      <c r="DP184" s="17">
        <f>DO184*VLOOKUP('Données projet'!$B$14,Paramètres!$A$1:$I$89,3,0)*VLOOKUP('Données projet'!$B$14,Paramètres!$A$1:$I$89,5,0)</f>
        <v>310.02399999999994</v>
      </c>
      <c r="DQ184" s="13">
        <f t="shared" si="176"/>
        <v>73.27384230442388</v>
      </c>
      <c r="DR184" s="20">
        <f t="shared" si="177"/>
        <v>667.57707534687154</v>
      </c>
      <c r="DS184" s="59">
        <f t="shared" si="125"/>
        <v>960.91040868020491</v>
      </c>
      <c r="DT184" s="59">
        <f ca="1">AVERAGE(OFFSET($DS$3,0,0,'Données projet'!$E$14+1,1))-AVERAGE(OFFSET($H$3,0,0,'Données projet'!$E$14+1,1))</f>
        <v>307.43900954374504</v>
      </c>
      <c r="DU184" s="59">
        <f t="shared" si="152"/>
        <v>185.25270859048999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15.50634137173866</v>
      </c>
      <c r="EB184" s="21">
        <f>EXP(-LN(2)/25)*EB183+(1-EXP(-LN(2)/25))/(LN(2)/25)*Calculateur!DW184*Calculateur!DY184*VLOOKUP('Données projet'!$B$14,Paramètres!$A$1:$I$89,3,0)*0.475*44/12</f>
        <v>0.40608889156241373</v>
      </c>
      <c r="EC184" s="21">
        <f>EXP(-LN(2)/2)*EC183+(1-EXP(-LN(2)/2))/(LN(2)/2)*DW184*DZ184*VLOOKUP('Données projet'!$B$14,Paramètres!$A$1:$I$89,3,0)*0.475*44/12</f>
        <v>6.8185090639535865E-24</v>
      </c>
      <c r="ED184" s="22">
        <f t="shared" si="178"/>
        <v>15.912430263301074</v>
      </c>
      <c r="EE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401</v>
      </c>
      <c r="EK184" s="17">
        <f>EJ184*VLOOKUP('Données projet'!$B$15,Paramètres!$A$1:$I$89,3,0)*VLOOKUP('Données projet'!$B$15,Paramètres!$A$1:$I$89,5,0)</f>
        <v>250.22399999999999</v>
      </c>
      <c r="EL184" s="13">
        <f t="shared" si="179"/>
        <v>60.633904580527918</v>
      </c>
      <c r="EM184" s="20">
        <f t="shared" si="180"/>
        <v>541.41085047775289</v>
      </c>
      <c r="EN184" s="59">
        <f t="shared" si="128"/>
        <v>834.74418381108626</v>
      </c>
      <c r="EO184" s="59">
        <f ca="1">AVERAGE(OFFSET($EN$3,0,0,'Données projet'!$E$15+1,1))-AVERAGE(OFFSET($H$3,0,0,'Données projet'!$E$15+1,1))</f>
        <v>269.77739619445515</v>
      </c>
      <c r="EP184" s="59">
        <f t="shared" si="154"/>
        <v>347.56964743629885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6.97272144223684</v>
      </c>
      <c r="EW184" s="21">
        <f>EXP(-LN(2)/25)*EW183+(1-EXP(-LN(2)/25))/(LN(2)/25)*Calculateur!ER184*Calculateur!ET184*VLOOKUP('Données projet'!$B$15,Paramètres!$A$1:$I$89,3,0)*0.475*44/12</f>
        <v>1.3942733890256476</v>
      </c>
      <c r="EX184" s="21">
        <f>EXP(-LN(2)/2)*EX183+(1-EXP(-LN(2)/2))/(LN(2)/2)*ER184*EU184*VLOOKUP('Données projet'!$B$15,Paramètres!$A$1:$I$89,3,0)*0.475*44/12</f>
        <v>4.6489834526956278E-25</v>
      </c>
      <c r="EY184" s="22">
        <f t="shared" si="181"/>
        <v>8.3669948312624882</v>
      </c>
      <c r="EZ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367.99999999999972</v>
      </c>
      <c r="FF184" s="17">
        <f>FE184*VLOOKUP('Données projet'!$B$16,Paramètres!$A$1:$I$89,3,0)*VLOOKUP('Données projet'!$B$16,Paramètres!$A$1:$I$89,5,0)</f>
        <v>292.78079999999977</v>
      </c>
      <c r="FG184" s="13">
        <f t="shared" si="182"/>
        <v>69.660903052386217</v>
      </c>
      <c r="FH184" s="20">
        <f t="shared" si="183"/>
        <v>631.25263281623893</v>
      </c>
      <c r="FI184" s="59">
        <f t="shared" si="131"/>
        <v>924.58596614957219</v>
      </c>
      <c r="FJ184" s="59">
        <f ca="1">AVERAGE(OFFSET($FI$3,0,0,'Données projet'!$E$16+1,1))-AVERAGE(OFFSET($H$3,0,0,'Données projet'!$E$16+1,1))</f>
        <v>331.52724290297675</v>
      </c>
      <c r="FK184" s="59">
        <f t="shared" si="156"/>
        <v>322.79102610158054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8.3392032375547025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8.3392032375547025</v>
      </c>
      <c r="FU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852.00000000000011</v>
      </c>
      <c r="GA184" s="17">
        <f>FZ184*VLOOKUP('Données projet'!$B$17,Paramètres!$A$1:$I$89,3,0)*VLOOKUP('Données projet'!$B$17,Paramètres!$A$1:$I$89,5,0)</f>
        <v>420.88800000000009</v>
      </c>
      <c r="GB184" s="13">
        <f t="shared" si="185"/>
        <v>95.998759891259041</v>
      </c>
      <c r="GC184" s="20">
        <f t="shared" si="186"/>
        <v>900.24444014394294</v>
      </c>
      <c r="GD184" s="59">
        <f t="shared" si="134"/>
        <v>1193.5777734772762</v>
      </c>
      <c r="GE184" s="59">
        <f ca="1">AVERAGE(OFFSET($GD$3,0,0,'Données projet'!$E$17+1,1))-AVERAGE(OFFSET($H$3,0,0,'Données projet'!$E$17+1,1))</f>
        <v>434.08297999735811</v>
      </c>
      <c r="GF184" s="59">
        <f t="shared" si="158"/>
        <v>371.04090283546122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21.515650342863765</v>
      </c>
      <c r="GM184" s="21">
        <f>EXP(-LN(2)/25)*GM183+(1-EXP(-LN(2)/25))/(LN(2)/25)*Calculateur!GH184*Calculateur!GJ184*VLOOKUP('Données projet'!$B$17,Paramètres!$A$1:$I$89,3,0)*0.475*44/12</f>
        <v>0.78585720681985682</v>
      </c>
      <c r="GN184" s="21">
        <f>EXP(-LN(2)/2)*GN183+(1-EXP(-LN(2)/2))/(LN(2)/2)*GH184*GK184*VLOOKUP('Données projet'!$B$17,Paramètres!$A$1:$I$89,3,0)*0.475*44/12</f>
        <v>1.4067479558712322E-23</v>
      </c>
      <c r="GO184" s="21">
        <f t="shared" si="187"/>
        <v>22.30150754968362</v>
      </c>
      <c r="GP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614.99999999999989</v>
      </c>
      <c r="GV184" s="17">
        <f>GU184*VLOOKUP('Données projet'!$B$18,Paramètres!$A$1:$I$89,3,0)*VLOOKUP('Données projet'!$B$18,Paramètres!$A$1:$I$89,5,0)</f>
        <v>351.78</v>
      </c>
      <c r="GW184" s="13">
        <f t="shared" si="188"/>
        <v>81.92892344316067</v>
      </c>
      <c r="GX184" s="20">
        <f t="shared" si="189"/>
        <v>755.37637499683808</v>
      </c>
      <c r="GY184" s="59">
        <f t="shared" si="137"/>
        <v>1048.7097083301715</v>
      </c>
      <c r="GZ184" s="59">
        <f ca="1">AVERAGE(OFFSET($GY$3,0,0,'Données projet'!$E$18+1,1))-AVERAGE(OFFSET($H$3,0,0,'Données projet'!$E$18+1,1))</f>
        <v>362.57172983134313</v>
      </c>
      <c r="HA184" s="59">
        <f t="shared" si="160"/>
        <v>232.03250917542471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17.486422408713217</v>
      </c>
      <c r="HH184" s="21">
        <f>EXP(-LN(2)/25)*HH183+(1-EXP(-LN(2)/25))/(LN(2)/25)*Calculateur!HC184*Calculateur!HE184*VLOOKUP('Données projet'!$B$18,Paramètres!$A$1:$I$89,3,0)*0.475*44/12</f>
        <v>0.4737703734894832</v>
      </c>
      <c r="HI184" s="21">
        <f>EXP(-LN(2)/2)*HI183+(1-EXP(-LN(2)/2))/(LN(2)/2)*HC184*HF184*VLOOKUP('Données projet'!$B$18,Paramètres!$A$1:$I$89,3,0)*0.475*44/12</f>
        <v>1.4015824187015702E-23</v>
      </c>
      <c r="HJ184" s="22">
        <f t="shared" si="190"/>
        <v>17.9601927822027</v>
      </c>
    </row>
    <row r="185" spans="1:218" x14ac:dyDescent="0.3">
      <c r="A185" s="10">
        <f t="shared" si="161"/>
        <v>182</v>
      </c>
      <c r="B185" s="71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5">
        <f t="shared" si="110"/>
        <v>487.55261400887855</v>
      </c>
      <c r="I185" s="6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266.99999999999983</v>
      </c>
      <c r="O185" s="13">
        <f>N185*VLOOKUP('Données projet'!$B$9,Paramètres!$A$1:$I$89,3,0)*VLOOKUP('Données projet'!$B$9,Paramètres!$A$1:$I$89,5,0)</f>
        <v>212.42519999999985</v>
      </c>
      <c r="P185" s="13">
        <f t="shared" si="141"/>
        <v>52.465198231787184</v>
      </c>
      <c r="Q185" s="20">
        <f t="shared" si="162"/>
        <v>461.35077692036231</v>
      </c>
      <c r="R185" s="59">
        <f t="shared" si="109"/>
        <v>754.68411025369562</v>
      </c>
      <c r="S185" s="59">
        <f ca="1">AVERAGE(OFFSET($R$3,0,0,'Données projet'!$E$9+1,1))-AVERAGE(OFFSET($H$3,0,0,'Données projet'!$E$9+1,1))</f>
        <v>225.2323446080772</v>
      </c>
      <c r="T185" s="59">
        <f t="shared" si="142"/>
        <v>222.29030402759292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5.7553265860929512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5.7553265860929512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732.99999999999966</v>
      </c>
      <c r="AJ185" s="13">
        <f>AI185*VLOOKUP('Données projet'!$B$10,Paramètres!$A$1:$I$89,3,0)*VLOOKUP('Données projet'!$B$10,Paramètres!$A$1:$I$89,5,0)</f>
        <v>362.1019999999998</v>
      </c>
      <c r="AK185" s="13">
        <f t="shared" si="164"/>
        <v>84.049487364732272</v>
      </c>
      <c r="AL185" s="20">
        <f t="shared" si="165"/>
        <v>777.04717382690842</v>
      </c>
      <c r="AM185" s="59">
        <f t="shared" si="113"/>
        <v>1070.3805071602417</v>
      </c>
      <c r="AN185" s="59">
        <f ca="1">AVERAGE(OFFSET($AM$3,0,0,'Données projet'!$E$10+1,1))-AVERAGE(OFFSET($H$3,0,0,'Données projet'!$E$10+1,1))</f>
        <v>360.05819346986135</v>
      </c>
      <c r="AO185" s="59">
        <f t="shared" si="144"/>
        <v>300.47468388351081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17.235156203994972</v>
      </c>
      <c r="AV185" s="21">
        <f>EXP(-LN(2)/25)*AV184+(1-EXP(-LN(2)/25))/(LN(2)/25)*Calculateur!AQ185*Calculateur!AS185*VLOOKUP('Données projet'!$B$10,Paramètres!$A$1:$I$89,3,0)*0.475*44/12</f>
        <v>0.62539191832330787</v>
      </c>
      <c r="AW185" s="21">
        <f>EXP(-LN(2)/2)*AW184+(1-EXP(-LN(2)/2))/(LN(2)/2)*AQ185*AT185*VLOOKUP('Données projet'!$B$10,Paramètres!$A$1:$I$89,3,0)*0.475*44/12</f>
        <v>6.9399140861641558E-25</v>
      </c>
      <c r="AX185" s="21">
        <f t="shared" si="166"/>
        <v>17.860548122318281</v>
      </c>
      <c r="AY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465.00000000000006</v>
      </c>
      <c r="BE185" s="13">
        <f>BD185*VLOOKUP('Données projet'!$B$11,Paramètres!$A$1:$I$89,3,0)*VLOOKUP('Données projet'!$B$11,Paramètres!$A$1:$I$89,5,0)</f>
        <v>265.98</v>
      </c>
      <c r="BF185" s="13">
        <f t="shared" si="167"/>
        <v>63.995380422211589</v>
      </c>
      <c r="BG185" s="20">
        <f t="shared" si="168"/>
        <v>574.70712090201857</v>
      </c>
      <c r="BH185" s="59">
        <f t="shared" si="116"/>
        <v>868.04045423535194</v>
      </c>
      <c r="BI185" s="59">
        <f ca="1">AVERAGE(OFFSET($BH$3,0,0,'Données projet'!$E$11+1,1))-AVERAGE(OFFSET($H$3,0,0,'Données projet'!$E$11+1,1))</f>
        <v>250.90038883668348</v>
      </c>
      <c r="BJ185" s="59">
        <f t="shared" si="146"/>
        <v>141.96132114475608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13.200146073326048</v>
      </c>
      <c r="BQ185" s="21">
        <f>EXP(-LN(2)/25)*BQ184+(1-EXP(-LN(2)/25))/(LN(2)/25)*Calculateur!BL185*Calculateur!BN185*VLOOKUP('Données projet'!$B$11,Paramètres!$A$1:$I$89,3,0)*0.475*44/12</f>
        <v>0.17596618219332572</v>
      </c>
      <c r="BR185" s="21">
        <f>EXP(-LN(2)/2)*BR184+(1-EXP(-LN(2)/2))/(LN(2)/2)*BL185*BO185*VLOOKUP('Données projet'!$B$11,Paramètres!$A$1:$I$89,3,0)*0.475*44/12</f>
        <v>5.0002399802326509E-23</v>
      </c>
      <c r="BS185" s="22">
        <f t="shared" si="169"/>
        <v>13.376112255519374</v>
      </c>
      <c r="BT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319</v>
      </c>
      <c r="BZ185" s="13">
        <f>BY185*VLOOKUP('Données projet'!$B$12,Paramètres!$A$1:$I$89,3,0)*VLOOKUP('Données projet'!$B$12,Paramètres!$A$1:$I$89,5,0)</f>
        <v>253.79640000000001</v>
      </c>
      <c r="CA185" s="13">
        <f t="shared" si="170"/>
        <v>61.39816832228076</v>
      </c>
      <c r="CB185" s="20">
        <f t="shared" si="171"/>
        <v>548.96387316130563</v>
      </c>
      <c r="CC185" s="59">
        <f t="shared" si="119"/>
        <v>842.29720649463889</v>
      </c>
      <c r="CD185" s="59">
        <f ca="1">AVERAGE(OFFSET($CC$3,0,0,'Données projet'!$E$12+1,1))-AVERAGE(OFFSET($H$3,0,0,'Données projet'!$E$12+1,1))</f>
        <v>279.49721661620544</v>
      </c>
      <c r="CE185" s="59">
        <f t="shared" si="148"/>
        <v>275.18739333988754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7.0528532770453642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7.0528532770453642</v>
      </c>
      <c r="CO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789</v>
      </c>
      <c r="CU185" s="17">
        <f>CT185*VLOOKUP('Données projet'!$B$13,Paramètres!$A$1:$I$89,3,0)*VLOOKUP('Données projet'!$B$13,Paramètres!$A$1:$I$89,5,0)</f>
        <v>389.76600000000002</v>
      </c>
      <c r="CV185" s="13">
        <f t="shared" si="173"/>
        <v>89.698759503620408</v>
      </c>
      <c r="CW185" s="20">
        <f t="shared" si="174"/>
        <v>835.06778946880547</v>
      </c>
      <c r="CX185" s="59">
        <f t="shared" si="122"/>
        <v>1128.4011228021388</v>
      </c>
      <c r="CY185" s="59">
        <f ca="1">AVERAGE(OFFSET($CX$3,0,0,'Données projet'!$E$13+1,1))-AVERAGE(OFFSET($H$3,0,0,'Données projet'!$E$13+1,1))</f>
        <v>396.27049617044378</v>
      </c>
      <c r="CZ185" s="59">
        <f t="shared" si="150"/>
        <v>335.2680289568774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19.118891317748595</v>
      </c>
      <c r="DG185" s="21">
        <f>EXP(-LN(2)/25)*DG184+(1-EXP(-LN(2)/25))/(LN(2)/25)*Calculateur!DB185*Calculateur!DD185*VLOOKUP('Données projet'!$B$13,Paramètres!$A$1:$I$89,3,0)*0.475*44/12</f>
        <v>0.69487990924812093</v>
      </c>
      <c r="DH185" s="21">
        <f>EXP(-LN(2)/2)*DH184+(1-EXP(-LN(2)/2))/(LN(2)/2)*DB185*DE185*VLOOKUP('Données projet'!$B$13,Paramètres!$A$1:$I$89,3,0)*0.475*44/12</f>
        <v>5.0892703298537176E-24</v>
      </c>
      <c r="DI185" s="22">
        <f t="shared" si="175"/>
        <v>19.813771226996717</v>
      </c>
      <c r="DJ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541.99999999999989</v>
      </c>
      <c r="DP185" s="17">
        <f>DO185*VLOOKUP('Données projet'!$B$14,Paramètres!$A$1:$I$89,3,0)*VLOOKUP('Données projet'!$B$14,Paramètres!$A$1:$I$89,5,0)</f>
        <v>310.02399999999994</v>
      </c>
      <c r="DQ185" s="13">
        <f t="shared" si="176"/>
        <v>73.27384230442388</v>
      </c>
      <c r="DR185" s="20">
        <f t="shared" si="177"/>
        <v>667.57707534687154</v>
      </c>
      <c r="DS185" s="59">
        <f t="shared" si="125"/>
        <v>960.91040868020491</v>
      </c>
      <c r="DT185" s="59">
        <f ca="1">AVERAGE(OFFSET($DS$3,0,0,'Données projet'!$E$14+1,1))-AVERAGE(OFFSET($H$3,0,0,'Données projet'!$E$14+1,1))</f>
        <v>307.43900954374504</v>
      </c>
      <c r="DU185" s="59">
        <f t="shared" si="152"/>
        <v>185.25270859048999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15.202271475373209</v>
      </c>
      <c r="EB185" s="21">
        <f>EXP(-LN(2)/25)*EB184+(1-EXP(-LN(2)/25))/(LN(2)/25)*Calculateur!DW185*Calculateur!DY185*VLOOKUP('Données projet'!$B$14,Paramètres!$A$1:$I$89,3,0)*0.475*44/12</f>
        <v>0.39498436946735282</v>
      </c>
      <c r="EC185" s="21">
        <f>EXP(-LN(2)/2)*EC184+(1-EXP(-LN(2)/2))/(LN(2)/2)*DW185*DZ185*VLOOKUP('Données projet'!$B$14,Paramètres!$A$1:$I$89,3,0)*0.475*44/12</f>
        <v>4.8214139967035198E-24</v>
      </c>
      <c r="ED185" s="22">
        <f t="shared" si="178"/>
        <v>15.597255844840562</v>
      </c>
      <c r="EE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401</v>
      </c>
      <c r="EK185" s="17">
        <f>EJ185*VLOOKUP('Données projet'!$B$15,Paramètres!$A$1:$I$89,3,0)*VLOOKUP('Données projet'!$B$15,Paramètres!$A$1:$I$89,5,0)</f>
        <v>250.22399999999999</v>
      </c>
      <c r="EL185" s="13">
        <f t="shared" si="179"/>
        <v>60.633904580527918</v>
      </c>
      <c r="EM185" s="20">
        <f t="shared" si="180"/>
        <v>541.41085047775289</v>
      </c>
      <c r="EN185" s="59">
        <f t="shared" si="128"/>
        <v>834.74418381108626</v>
      </c>
      <c r="EO185" s="59">
        <f ca="1">AVERAGE(OFFSET($EN$3,0,0,'Données projet'!$E$15+1,1))-AVERAGE(OFFSET($H$3,0,0,'Données projet'!$E$15+1,1))</f>
        <v>269.77739619445515</v>
      </c>
      <c r="EP185" s="59">
        <f t="shared" si="154"/>
        <v>347.56964743629885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6.835990627694712</v>
      </c>
      <c r="EW185" s="21">
        <f>EXP(-LN(2)/25)*EW184+(1-EXP(-LN(2)/25))/(LN(2)/25)*Calculateur!ER185*Calculateur!ET185*VLOOKUP('Données projet'!$B$15,Paramètres!$A$1:$I$89,3,0)*0.475*44/12</f>
        <v>1.3561469098810903</v>
      </c>
      <c r="EX185" s="21">
        <f>EXP(-LN(2)/2)*EX184+(1-EXP(-LN(2)/2))/(LN(2)/2)*ER185*EU185*VLOOKUP('Données projet'!$B$15,Paramètres!$A$1:$I$89,3,0)*0.475*44/12</f>
        <v>3.2873277250251276E-25</v>
      </c>
      <c r="EY185" s="22">
        <f t="shared" si="181"/>
        <v>8.1921375375758032</v>
      </c>
      <c r="EZ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367.99999999999972</v>
      </c>
      <c r="FF185" s="17">
        <f>FE185*VLOOKUP('Données projet'!$B$16,Paramètres!$A$1:$I$89,3,0)*VLOOKUP('Données projet'!$B$16,Paramètres!$A$1:$I$89,5,0)</f>
        <v>292.78079999999977</v>
      </c>
      <c r="FG185" s="13">
        <f t="shared" si="182"/>
        <v>69.660903052386217</v>
      </c>
      <c r="FH185" s="20">
        <f t="shared" si="183"/>
        <v>631.25263281623893</v>
      </c>
      <c r="FI185" s="59">
        <f t="shared" si="131"/>
        <v>924.58596614957219</v>
      </c>
      <c r="FJ185" s="59">
        <f ca="1">AVERAGE(OFFSET($FI$3,0,0,'Données projet'!$E$16+1,1))-AVERAGE(OFFSET($H$3,0,0,'Données projet'!$E$16+1,1))</f>
        <v>331.52724290297675</v>
      </c>
      <c r="FK185" s="59">
        <f t="shared" si="156"/>
        <v>322.79102610158054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8.1756765484779876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8.1756765484779876</v>
      </c>
      <c r="FU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852.00000000000011</v>
      </c>
      <c r="GA185" s="17">
        <f>FZ185*VLOOKUP('Données projet'!$B$17,Paramètres!$A$1:$I$89,3,0)*VLOOKUP('Données projet'!$B$17,Paramètres!$A$1:$I$89,5,0)</f>
        <v>420.88800000000009</v>
      </c>
      <c r="GB185" s="13">
        <f t="shared" si="185"/>
        <v>95.998759891259041</v>
      </c>
      <c r="GC185" s="20">
        <f t="shared" si="186"/>
        <v>900.24444014394294</v>
      </c>
      <c r="GD185" s="59">
        <f t="shared" si="134"/>
        <v>1193.5777734772762</v>
      </c>
      <c r="GE185" s="59">
        <f ca="1">AVERAGE(OFFSET($GD$3,0,0,'Données projet'!$E$17+1,1))-AVERAGE(OFFSET($H$3,0,0,'Données projet'!$E$17+1,1))</f>
        <v>434.08297999735811</v>
      </c>
      <c r="GF185" s="59">
        <f t="shared" si="158"/>
        <v>371.04090283546122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21.0937415628911</v>
      </c>
      <c r="GM185" s="21">
        <f>EXP(-LN(2)/25)*GM184+(1-EXP(-LN(2)/25))/(LN(2)/25)*Calculateur!GH185*Calculateur!GJ185*VLOOKUP('Données projet'!$B$17,Paramètres!$A$1:$I$89,3,0)*0.475*44/12</f>
        <v>0.76436790017293343</v>
      </c>
      <c r="GN185" s="21">
        <f>EXP(-LN(2)/2)*GN184+(1-EXP(-LN(2)/2))/(LN(2)/2)*GH185*GK185*VLOOKUP('Données projet'!$B$17,Paramètres!$A$1:$I$89,3,0)*0.475*44/12</f>
        <v>9.9472101901686246E-24</v>
      </c>
      <c r="GO185" s="21">
        <f t="shared" si="187"/>
        <v>21.858109463064032</v>
      </c>
      <c r="GP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614.99999999999989</v>
      </c>
      <c r="GV185" s="17">
        <f>GU185*VLOOKUP('Données projet'!$B$18,Paramètres!$A$1:$I$89,3,0)*VLOOKUP('Données projet'!$B$18,Paramètres!$A$1:$I$89,5,0)</f>
        <v>351.78</v>
      </c>
      <c r="GW185" s="13">
        <f t="shared" si="188"/>
        <v>81.92892344316067</v>
      </c>
      <c r="GX185" s="20">
        <f t="shared" si="189"/>
        <v>755.37637499683808</v>
      </c>
      <c r="GY185" s="59">
        <f t="shared" si="137"/>
        <v>1048.7097083301715</v>
      </c>
      <c r="GZ185" s="59">
        <f ca="1">AVERAGE(OFFSET($GY$3,0,0,'Données projet'!$E$18+1,1))-AVERAGE(OFFSET($H$3,0,0,'Données projet'!$E$18+1,1))</f>
        <v>362.57172983134313</v>
      </c>
      <c r="HA185" s="59">
        <f t="shared" si="160"/>
        <v>232.03250917542471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17.143524330942874</v>
      </c>
      <c r="HH185" s="21">
        <f>EXP(-LN(2)/25)*HH184+(1-EXP(-LN(2)/25))/(LN(2)/25)*Calculateur!HC185*Calculateur!HE185*VLOOKUP('Données projet'!$B$18,Paramètres!$A$1:$I$89,3,0)*0.475*44/12</f>
        <v>0.46081509771191215</v>
      </c>
      <c r="HI185" s="21">
        <f>EXP(-LN(2)/2)*HI184+(1-EXP(-LN(2)/2))/(LN(2)/2)*HC185*HF185*VLOOKUP('Données projet'!$B$18,Paramètres!$A$1:$I$89,3,0)*0.475*44/12</f>
        <v>9.9106843265572322E-24</v>
      </c>
      <c r="HJ185" s="22">
        <f t="shared" si="190"/>
        <v>17.604339428654786</v>
      </c>
    </row>
    <row r="186" spans="1:218" x14ac:dyDescent="0.3">
      <c r="A186" s="10">
        <f t="shared" si="161"/>
        <v>183</v>
      </c>
      <c r="B186" s="71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5">
        <f t="shared" si="110"/>
        <v>488.59298638933842</v>
      </c>
      <c r="I186" s="6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266.99999999999983</v>
      </c>
      <c r="O186" s="13">
        <f>N186*VLOOKUP('Données projet'!$B$9,Paramètres!$A$1:$I$89,3,0)*VLOOKUP('Données projet'!$B$9,Paramètres!$A$1:$I$89,5,0)</f>
        <v>212.42519999999985</v>
      </c>
      <c r="P186" s="13">
        <f t="shared" si="141"/>
        <v>52.465198231787184</v>
      </c>
      <c r="Q186" s="20">
        <f t="shared" si="162"/>
        <v>461.35077692036231</v>
      </c>
      <c r="R186" s="59">
        <f t="shared" si="109"/>
        <v>754.68411025369562</v>
      </c>
      <c r="S186" s="59">
        <f ca="1">AVERAGE(OFFSET($R$3,0,0,'Données projet'!$E$9+1,1))-AVERAGE(OFFSET($H$3,0,0,'Données projet'!$E$9+1,1))</f>
        <v>225.2323446080772</v>
      </c>
      <c r="T186" s="59">
        <f t="shared" si="142"/>
        <v>222.29030402759292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5.6424681421422624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5.6424681421422624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732.99999999999966</v>
      </c>
      <c r="AJ186" s="13">
        <f>AI186*VLOOKUP('Données projet'!$B$10,Paramètres!$A$1:$I$89,3,0)*VLOOKUP('Données projet'!$B$10,Paramètres!$A$1:$I$89,5,0)</f>
        <v>362.1019999999998</v>
      </c>
      <c r="AK186" s="13">
        <f t="shared" si="164"/>
        <v>84.049487364732272</v>
      </c>
      <c r="AL186" s="20">
        <f t="shared" si="165"/>
        <v>777.04717382690842</v>
      </c>
      <c r="AM186" s="59">
        <f t="shared" si="113"/>
        <v>1070.3805071602417</v>
      </c>
      <c r="AN186" s="59">
        <f ca="1">AVERAGE(OFFSET($AM$3,0,0,'Données projet'!$E$10+1,1))-AVERAGE(OFFSET($H$3,0,0,'Données projet'!$E$10+1,1))</f>
        <v>360.05819346986135</v>
      </c>
      <c r="AO186" s="59">
        <f t="shared" si="144"/>
        <v>300.47468388351081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16.897185303241901</v>
      </c>
      <c r="AV186" s="21">
        <f>EXP(-LN(2)/25)*AV185+(1-EXP(-LN(2)/25))/(LN(2)/25)*Calculateur!AQ186*Calculateur!AS186*VLOOKUP('Données projet'!$B$10,Paramètres!$A$1:$I$89,3,0)*0.475*44/12</f>
        <v>0.60829054342882538</v>
      </c>
      <c r="AW186" s="21">
        <f>EXP(-LN(2)/2)*AW185+(1-EXP(-LN(2)/2))/(LN(2)/2)*AQ186*AT186*VLOOKUP('Données projet'!$B$10,Paramètres!$A$1:$I$89,3,0)*0.475*44/12</f>
        <v>4.9072603111787166E-25</v>
      </c>
      <c r="AX186" s="21">
        <f t="shared" si="166"/>
        <v>17.505475846670727</v>
      </c>
      <c r="AY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465.00000000000006</v>
      </c>
      <c r="BE186" s="13">
        <f>BD186*VLOOKUP('Données projet'!$B$11,Paramètres!$A$1:$I$89,3,0)*VLOOKUP('Données projet'!$B$11,Paramètres!$A$1:$I$89,5,0)</f>
        <v>265.98</v>
      </c>
      <c r="BF186" s="13">
        <f t="shared" si="167"/>
        <v>63.995380422211589</v>
      </c>
      <c r="BG186" s="20">
        <f t="shared" si="168"/>
        <v>574.70712090201857</v>
      </c>
      <c r="BH186" s="59">
        <f t="shared" si="116"/>
        <v>868.04045423535194</v>
      </c>
      <c r="BI186" s="59">
        <f ca="1">AVERAGE(OFFSET($BH$3,0,0,'Données projet'!$E$11+1,1))-AVERAGE(OFFSET($H$3,0,0,'Données projet'!$E$11+1,1))</f>
        <v>250.90038883668348</v>
      </c>
      <c r="BJ186" s="59">
        <f t="shared" si="146"/>
        <v>141.96132114475608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12.941299260122229</v>
      </c>
      <c r="BQ186" s="21">
        <f>EXP(-LN(2)/25)*BQ185+(1-EXP(-LN(2)/25))/(LN(2)/25)*Calculateur!BL186*Calculateur!BN186*VLOOKUP('Données projet'!$B$11,Paramètres!$A$1:$I$89,3,0)*0.475*44/12</f>
        <v>0.17115437768758987</v>
      </c>
      <c r="BR186" s="21">
        <f>EXP(-LN(2)/2)*BR185+(1-EXP(-LN(2)/2))/(LN(2)/2)*BL186*BO186*VLOOKUP('Données projet'!$B$11,Paramètres!$A$1:$I$89,3,0)*0.475*44/12</f>
        <v>3.5357035975825957E-23</v>
      </c>
      <c r="BS186" s="22">
        <f t="shared" si="169"/>
        <v>13.112453637809818</v>
      </c>
      <c r="BT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319</v>
      </c>
      <c r="BZ186" s="13">
        <f>BY186*VLOOKUP('Données projet'!$B$12,Paramètres!$A$1:$I$89,3,0)*VLOOKUP('Données projet'!$B$12,Paramètres!$A$1:$I$89,5,0)</f>
        <v>253.79640000000001</v>
      </c>
      <c r="CA186" s="13">
        <f t="shared" si="170"/>
        <v>61.39816832228076</v>
      </c>
      <c r="CB186" s="20">
        <f t="shared" si="171"/>
        <v>548.96387316130563</v>
      </c>
      <c r="CC186" s="59">
        <f t="shared" si="119"/>
        <v>842.29720649463889</v>
      </c>
      <c r="CD186" s="59">
        <f ca="1">AVERAGE(OFFSET($CC$3,0,0,'Données projet'!$E$12+1,1))-AVERAGE(OFFSET($H$3,0,0,'Données projet'!$E$12+1,1))</f>
        <v>279.49721661620544</v>
      </c>
      <c r="CE186" s="59">
        <f t="shared" si="148"/>
        <v>275.18739333988754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6.9145511260982344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6.9145511260982344</v>
      </c>
      <c r="CO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789</v>
      </c>
      <c r="CU186" s="17">
        <f>CT186*VLOOKUP('Données projet'!$B$13,Paramètres!$A$1:$I$89,3,0)*VLOOKUP('Données projet'!$B$13,Paramètres!$A$1:$I$89,5,0)</f>
        <v>389.76600000000002</v>
      </c>
      <c r="CV186" s="13">
        <f t="shared" si="173"/>
        <v>89.698759503620408</v>
      </c>
      <c r="CW186" s="20">
        <f t="shared" si="174"/>
        <v>835.06778946880547</v>
      </c>
      <c r="CX186" s="59">
        <f t="shared" si="122"/>
        <v>1128.4011228021388</v>
      </c>
      <c r="CY186" s="59">
        <f ca="1">AVERAGE(OFFSET($CX$3,0,0,'Données projet'!$E$13+1,1))-AVERAGE(OFFSET($H$3,0,0,'Données projet'!$E$13+1,1))</f>
        <v>396.27049617044378</v>
      </c>
      <c r="CZ186" s="59">
        <f t="shared" si="150"/>
        <v>335.2680289568774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18.743981520379783</v>
      </c>
      <c r="DG186" s="21">
        <f>EXP(-LN(2)/25)*DG185+(1-EXP(-LN(2)/25))/(LN(2)/25)*Calculateur!DB186*Calculateur!DD186*VLOOKUP('Données projet'!$B$13,Paramètres!$A$1:$I$89,3,0)*0.475*44/12</f>
        <v>0.67587838158758484</v>
      </c>
      <c r="DH186" s="21">
        <f>EXP(-LN(2)/2)*DH185+(1-EXP(-LN(2)/2))/(LN(2)/2)*DB186*DE186*VLOOKUP('Données projet'!$B$13,Paramètres!$A$1:$I$89,3,0)*0.475*44/12</f>
        <v>3.5986575615310612E-24</v>
      </c>
      <c r="DI186" s="22">
        <f t="shared" si="175"/>
        <v>19.419859901967367</v>
      </c>
      <c r="DJ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541.99999999999989</v>
      </c>
      <c r="DP186" s="17">
        <f>DO186*VLOOKUP('Données projet'!$B$14,Paramètres!$A$1:$I$89,3,0)*VLOOKUP('Données projet'!$B$14,Paramètres!$A$1:$I$89,5,0)</f>
        <v>310.02399999999994</v>
      </c>
      <c r="DQ186" s="13">
        <f t="shared" si="176"/>
        <v>73.27384230442388</v>
      </c>
      <c r="DR186" s="20">
        <f t="shared" si="177"/>
        <v>667.57707534687154</v>
      </c>
      <c r="DS186" s="59">
        <f t="shared" si="125"/>
        <v>960.91040868020491</v>
      </c>
      <c r="DT186" s="59">
        <f ca="1">AVERAGE(OFFSET($DS$3,0,0,'Données projet'!$E$14+1,1))-AVERAGE(OFFSET($H$3,0,0,'Données projet'!$E$14+1,1))</f>
        <v>307.43900954374504</v>
      </c>
      <c r="DU186" s="59">
        <f t="shared" si="152"/>
        <v>185.25270859048999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14.90416420421116</v>
      </c>
      <c r="EB186" s="21">
        <f>EXP(-LN(2)/25)*EB185+(1-EXP(-LN(2)/25))/(LN(2)/25)*Calculateur!DW186*Calculateur!DY186*VLOOKUP('Données projet'!$B$14,Paramètres!$A$1:$I$89,3,0)*0.475*44/12</f>
        <v>0.3841835011129428</v>
      </c>
      <c r="EC186" s="21">
        <f>EXP(-LN(2)/2)*EC185+(1-EXP(-LN(2)/2))/(LN(2)/2)*DW186*DZ186*VLOOKUP('Données projet'!$B$14,Paramètres!$A$1:$I$89,3,0)*0.475*44/12</f>
        <v>3.4092545319767933E-24</v>
      </c>
      <c r="ED186" s="22">
        <f t="shared" si="178"/>
        <v>15.288347705324103</v>
      </c>
      <c r="EE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401</v>
      </c>
      <c r="EK186" s="17">
        <f>EJ186*VLOOKUP('Données projet'!$B$15,Paramètres!$A$1:$I$89,3,0)*VLOOKUP('Données projet'!$B$15,Paramètres!$A$1:$I$89,5,0)</f>
        <v>250.22399999999999</v>
      </c>
      <c r="EL186" s="13">
        <f t="shared" si="179"/>
        <v>60.633904580527918</v>
      </c>
      <c r="EM186" s="20">
        <f t="shared" si="180"/>
        <v>541.41085047775289</v>
      </c>
      <c r="EN186" s="59">
        <f t="shared" si="128"/>
        <v>834.74418381108626</v>
      </c>
      <c r="EO186" s="59">
        <f ca="1">AVERAGE(OFFSET($EN$3,0,0,'Données projet'!$E$15+1,1))-AVERAGE(OFFSET($H$3,0,0,'Données projet'!$E$15+1,1))</f>
        <v>269.77739619445515</v>
      </c>
      <c r="EP186" s="59">
        <f t="shared" si="154"/>
        <v>347.56964743629885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6.7019410210281931</v>
      </c>
      <c r="EW186" s="21">
        <f>EXP(-LN(2)/25)*EW185+(1-EXP(-LN(2)/25))/(LN(2)/25)*Calculateur!ER186*Calculateur!ET186*VLOOKUP('Données projet'!$B$15,Paramètres!$A$1:$I$89,3,0)*0.475*44/12</f>
        <v>1.3190630013137254</v>
      </c>
      <c r="EX186" s="21">
        <f>EXP(-LN(2)/2)*EX185+(1-EXP(-LN(2)/2))/(LN(2)/2)*ER186*EU186*VLOOKUP('Données projet'!$B$15,Paramètres!$A$1:$I$89,3,0)*0.475*44/12</f>
        <v>2.3244917263478139E-25</v>
      </c>
      <c r="EY186" s="22">
        <f t="shared" si="181"/>
        <v>8.0210040223419181</v>
      </c>
      <c r="EZ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367.99999999999972</v>
      </c>
      <c r="FF186" s="17">
        <f>FE186*VLOOKUP('Données projet'!$B$16,Paramètres!$A$1:$I$89,3,0)*VLOOKUP('Données projet'!$B$16,Paramètres!$A$1:$I$89,5,0)</f>
        <v>292.78079999999977</v>
      </c>
      <c r="FG186" s="13">
        <f t="shared" si="182"/>
        <v>69.660903052386217</v>
      </c>
      <c r="FH186" s="20">
        <f t="shared" si="183"/>
        <v>631.25263281623893</v>
      </c>
      <c r="FI186" s="59">
        <f t="shared" si="131"/>
        <v>924.58596614957219</v>
      </c>
      <c r="FJ186" s="59">
        <f ca="1">AVERAGE(OFFSET($FI$3,0,0,'Données projet'!$E$16+1,1))-AVERAGE(OFFSET($H$3,0,0,'Données projet'!$E$16+1,1))</f>
        <v>331.52724290297675</v>
      </c>
      <c r="FK186" s="59">
        <f t="shared" si="156"/>
        <v>322.79102610158054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8.015356518032636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8.015356518032636</v>
      </c>
      <c r="FU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852.00000000000011</v>
      </c>
      <c r="GA186" s="17">
        <f>FZ186*VLOOKUP('Données projet'!$B$17,Paramètres!$A$1:$I$89,3,0)*VLOOKUP('Données projet'!$B$17,Paramètres!$A$1:$I$89,5,0)</f>
        <v>420.88800000000009</v>
      </c>
      <c r="GB186" s="13">
        <f t="shared" si="185"/>
        <v>95.998759891259041</v>
      </c>
      <c r="GC186" s="20">
        <f t="shared" si="186"/>
        <v>900.24444014394294</v>
      </c>
      <c r="GD186" s="59">
        <f t="shared" si="134"/>
        <v>1193.5777734772762</v>
      </c>
      <c r="GE186" s="59">
        <f ca="1">AVERAGE(OFFSET($GD$3,0,0,'Données projet'!$E$17+1,1))-AVERAGE(OFFSET($H$3,0,0,'Données projet'!$E$17+1,1))</f>
        <v>434.08297999735811</v>
      </c>
      <c r="GF186" s="59">
        <f t="shared" si="158"/>
        <v>371.04090283546122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20.680106156754757</v>
      </c>
      <c r="GM186" s="21">
        <f>EXP(-LN(2)/25)*GM185+(1-EXP(-LN(2)/25))/(LN(2)/25)*Calculateur!GH186*Calculateur!GJ186*VLOOKUP('Données projet'!$B$17,Paramètres!$A$1:$I$89,3,0)*0.475*44/12</f>
        <v>0.74346621974634364</v>
      </c>
      <c r="GN186" s="21">
        <f>EXP(-LN(2)/2)*GN185+(1-EXP(-LN(2)/2))/(LN(2)/2)*GH186*GK186*VLOOKUP('Données projet'!$B$17,Paramètres!$A$1:$I$89,3,0)*0.475*44/12</f>
        <v>7.0337397793561612E-24</v>
      </c>
      <c r="GO186" s="21">
        <f t="shared" si="187"/>
        <v>21.423572376501102</v>
      </c>
      <c r="GP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614.99999999999989</v>
      </c>
      <c r="GV186" s="17">
        <f>GU186*VLOOKUP('Données projet'!$B$18,Paramètres!$A$1:$I$89,3,0)*VLOOKUP('Données projet'!$B$18,Paramètres!$A$1:$I$89,5,0)</f>
        <v>351.78</v>
      </c>
      <c r="GW186" s="13">
        <f t="shared" si="188"/>
        <v>81.92892344316067</v>
      </c>
      <c r="GX186" s="20">
        <f t="shared" si="189"/>
        <v>755.37637499683808</v>
      </c>
      <c r="GY186" s="59">
        <f t="shared" si="137"/>
        <v>1048.7097083301715</v>
      </c>
      <c r="GZ186" s="59">
        <f ca="1">AVERAGE(OFFSET($GY$3,0,0,'Données projet'!$E$18+1,1))-AVERAGE(OFFSET($H$3,0,0,'Données projet'!$E$18+1,1))</f>
        <v>362.57172983134313</v>
      </c>
      <c r="HA186" s="59">
        <f t="shared" si="160"/>
        <v>232.03250917542471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16.807350275330432</v>
      </c>
      <c r="HH186" s="21">
        <f>EXP(-LN(2)/25)*HH185+(1-EXP(-LN(2)/25))/(LN(2)/25)*Calculateur!HC186*Calculateur!HE186*VLOOKUP('Données projet'!$B$18,Paramètres!$A$1:$I$89,3,0)*0.475*44/12</f>
        <v>0.44821408463176715</v>
      </c>
      <c r="HI186" s="21">
        <f>EXP(-LN(2)/2)*HI185+(1-EXP(-LN(2)/2))/(LN(2)/2)*HC186*HF186*VLOOKUP('Données projet'!$B$18,Paramètres!$A$1:$I$89,3,0)*0.475*44/12</f>
        <v>7.0079120935078508E-24</v>
      </c>
      <c r="HJ186" s="22">
        <f t="shared" si="190"/>
        <v>17.2555643599622</v>
      </c>
    </row>
    <row r="187" spans="1:218" x14ac:dyDescent="0.3">
      <c r="A187" s="10">
        <f t="shared" si="161"/>
        <v>184</v>
      </c>
      <c r="B187" s="71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5">
        <f t="shared" si="110"/>
        <v>489.63322992368012</v>
      </c>
      <c r="I187" s="6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266.99999999999983</v>
      </c>
      <c r="O187" s="13">
        <f>N187*VLOOKUP('Données projet'!$B$9,Paramètres!$A$1:$I$89,3,0)*VLOOKUP('Données projet'!$B$9,Paramètres!$A$1:$I$89,5,0)</f>
        <v>212.42519999999985</v>
      </c>
      <c r="P187" s="13">
        <f t="shared" si="141"/>
        <v>52.465198231787184</v>
      </c>
      <c r="Q187" s="20">
        <f t="shared" si="162"/>
        <v>461.35077692036231</v>
      </c>
      <c r="R187" s="59">
        <f t="shared" si="109"/>
        <v>754.68411025369562</v>
      </c>
      <c r="S187" s="59">
        <f ca="1">AVERAGE(OFFSET($R$3,0,0,'Données projet'!$E$9+1,1))-AVERAGE(OFFSET($H$3,0,0,'Données projet'!$E$9+1,1))</f>
        <v>225.2323446080772</v>
      </c>
      <c r="T187" s="59">
        <f t="shared" si="142"/>
        <v>222.29030402759292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5.5318227834405933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5.5318227834405933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732.99999999999966</v>
      </c>
      <c r="AJ187" s="13">
        <f>AI187*VLOOKUP('Données projet'!$B$10,Paramètres!$A$1:$I$89,3,0)*VLOOKUP('Données projet'!$B$10,Paramètres!$A$1:$I$89,5,0)</f>
        <v>362.1019999999998</v>
      </c>
      <c r="AK187" s="13">
        <f t="shared" si="164"/>
        <v>84.049487364732272</v>
      </c>
      <c r="AL187" s="20">
        <f t="shared" si="165"/>
        <v>777.04717382690842</v>
      </c>
      <c r="AM187" s="59">
        <f t="shared" si="113"/>
        <v>1070.3805071602417</v>
      </c>
      <c r="AN187" s="59">
        <f ca="1">AVERAGE(OFFSET($AM$3,0,0,'Données projet'!$E$10+1,1))-AVERAGE(OFFSET($H$3,0,0,'Données projet'!$E$10+1,1))</f>
        <v>360.05819346986135</v>
      </c>
      <c r="AO187" s="59">
        <f t="shared" si="144"/>
        <v>300.47468388351081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16.565841805710704</v>
      </c>
      <c r="AV187" s="21">
        <f>EXP(-LN(2)/25)*AV186+(1-EXP(-LN(2)/25))/(LN(2)/25)*Calculateur!AQ187*Calculateur!AS187*VLOOKUP('Données projet'!$B$10,Paramètres!$A$1:$I$89,3,0)*0.475*44/12</f>
        <v>0.59165680653015473</v>
      </c>
      <c r="AW187" s="21">
        <f>EXP(-LN(2)/2)*AW186+(1-EXP(-LN(2)/2))/(LN(2)/2)*AQ187*AT187*VLOOKUP('Données projet'!$B$10,Paramètres!$A$1:$I$89,3,0)*0.475*44/12</f>
        <v>3.4699570430820779E-25</v>
      </c>
      <c r="AX187" s="21">
        <f t="shared" si="166"/>
        <v>17.157498612240857</v>
      </c>
      <c r="AY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465.00000000000006</v>
      </c>
      <c r="BE187" s="13">
        <f>BD187*VLOOKUP('Données projet'!$B$11,Paramètres!$A$1:$I$89,3,0)*VLOOKUP('Données projet'!$B$11,Paramètres!$A$1:$I$89,5,0)</f>
        <v>265.98</v>
      </c>
      <c r="BF187" s="13">
        <f t="shared" si="167"/>
        <v>63.995380422211589</v>
      </c>
      <c r="BG187" s="20">
        <f t="shared" si="168"/>
        <v>574.70712090201857</v>
      </c>
      <c r="BH187" s="59">
        <f t="shared" si="116"/>
        <v>868.04045423535194</v>
      </c>
      <c r="BI187" s="59">
        <f ca="1">AVERAGE(OFFSET($BH$3,0,0,'Données projet'!$E$11+1,1))-AVERAGE(OFFSET($H$3,0,0,'Données projet'!$E$11+1,1))</f>
        <v>250.90038883668348</v>
      </c>
      <c r="BJ187" s="59">
        <f t="shared" si="146"/>
        <v>141.96132114475608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12.68752827504437</v>
      </c>
      <c r="BQ187" s="21">
        <f>EXP(-LN(2)/25)*BQ186+(1-EXP(-LN(2)/25))/(LN(2)/25)*Calculateur!BL187*Calculateur!BN187*VLOOKUP('Données projet'!$B$11,Paramètres!$A$1:$I$89,3,0)*0.475*44/12</f>
        <v>0.16647415222910519</v>
      </c>
      <c r="BR187" s="21">
        <f>EXP(-LN(2)/2)*BR186+(1-EXP(-LN(2)/2))/(LN(2)/2)*BL187*BO187*VLOOKUP('Données projet'!$B$11,Paramètres!$A$1:$I$89,3,0)*0.475*44/12</f>
        <v>2.5001199901163254E-23</v>
      </c>
      <c r="BS187" s="22">
        <f t="shared" si="169"/>
        <v>12.854002427273475</v>
      </c>
      <c r="BT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319</v>
      </c>
      <c r="BZ187" s="13">
        <f>BY187*VLOOKUP('Données projet'!$B$12,Paramètres!$A$1:$I$89,3,0)*VLOOKUP('Données projet'!$B$12,Paramètres!$A$1:$I$89,5,0)</f>
        <v>253.79640000000001</v>
      </c>
      <c r="CA187" s="13">
        <f t="shared" si="170"/>
        <v>61.39816832228076</v>
      </c>
      <c r="CB187" s="20">
        <f t="shared" si="171"/>
        <v>548.96387316130563</v>
      </c>
      <c r="CC187" s="59">
        <f t="shared" si="119"/>
        <v>842.29720649463889</v>
      </c>
      <c r="CD187" s="59">
        <f ca="1">AVERAGE(OFFSET($CC$3,0,0,'Données projet'!$E$12+1,1))-AVERAGE(OFFSET($H$3,0,0,'Données projet'!$E$12+1,1))</f>
        <v>279.49721661620544</v>
      </c>
      <c r="CE187" s="59">
        <f t="shared" si="148"/>
        <v>275.18739333988754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6.7789609959751953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6.7789609959751953</v>
      </c>
      <c r="CO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789</v>
      </c>
      <c r="CU187" s="17">
        <f>CT187*VLOOKUP('Données projet'!$B$13,Paramètres!$A$1:$I$89,3,0)*VLOOKUP('Données projet'!$B$13,Paramètres!$A$1:$I$89,5,0)</f>
        <v>389.76600000000002</v>
      </c>
      <c r="CV187" s="13">
        <f t="shared" si="173"/>
        <v>89.698759503620408</v>
      </c>
      <c r="CW187" s="20">
        <f t="shared" si="174"/>
        <v>835.06778946880547</v>
      </c>
      <c r="CX187" s="59">
        <f t="shared" si="122"/>
        <v>1128.4011228021388</v>
      </c>
      <c r="CY187" s="59">
        <f ca="1">AVERAGE(OFFSET($CX$3,0,0,'Données projet'!$E$13+1,1))-AVERAGE(OFFSET($H$3,0,0,'Données projet'!$E$13+1,1))</f>
        <v>396.27049617044378</v>
      </c>
      <c r="CZ187" s="59">
        <f t="shared" si="150"/>
        <v>335.2680289568774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18.376423475464978</v>
      </c>
      <c r="DG187" s="21">
        <f>EXP(-LN(2)/25)*DG186+(1-EXP(-LN(2)/25))/(LN(2)/25)*Calculateur!DB187*Calculateur!DD187*VLOOKUP('Données projet'!$B$13,Paramètres!$A$1:$I$89,3,0)*0.475*44/12</f>
        <v>0.65739645170017302</v>
      </c>
      <c r="DH187" s="21">
        <f>EXP(-LN(2)/2)*DH186+(1-EXP(-LN(2)/2))/(LN(2)/2)*DB187*DE187*VLOOKUP('Données projet'!$B$13,Paramètres!$A$1:$I$89,3,0)*0.475*44/12</f>
        <v>2.5446351649268588E-24</v>
      </c>
      <c r="DI187" s="22">
        <f t="shared" si="175"/>
        <v>19.033819927165151</v>
      </c>
      <c r="DJ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541.99999999999989</v>
      </c>
      <c r="DP187" s="17">
        <f>DO187*VLOOKUP('Données projet'!$B$14,Paramètres!$A$1:$I$89,3,0)*VLOOKUP('Données projet'!$B$14,Paramètres!$A$1:$I$89,5,0)</f>
        <v>310.02399999999994</v>
      </c>
      <c r="DQ187" s="13">
        <f t="shared" si="176"/>
        <v>73.27384230442388</v>
      </c>
      <c r="DR187" s="20">
        <f t="shared" si="177"/>
        <v>667.57707534687154</v>
      </c>
      <c r="DS187" s="59">
        <f t="shared" si="125"/>
        <v>960.91040868020491</v>
      </c>
      <c r="DT187" s="59">
        <f ca="1">AVERAGE(OFFSET($DS$3,0,0,'Données projet'!$E$14+1,1))-AVERAGE(OFFSET($H$3,0,0,'Données projet'!$E$14+1,1))</f>
        <v>307.43900954374504</v>
      </c>
      <c r="DU187" s="59">
        <f t="shared" si="152"/>
        <v>185.25270859048999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14.611902634809118</v>
      </c>
      <c r="EB187" s="21">
        <f>EXP(-LN(2)/25)*EB186+(1-EXP(-LN(2)/25))/(LN(2)/25)*Calculateur!DW187*Calculateur!DY187*VLOOKUP('Données projet'!$B$14,Paramètres!$A$1:$I$89,3,0)*0.475*44/12</f>
        <v>0.3736779830716771</v>
      </c>
      <c r="EC187" s="21">
        <f>EXP(-LN(2)/2)*EC186+(1-EXP(-LN(2)/2))/(LN(2)/2)*DW187*DZ187*VLOOKUP('Données projet'!$B$14,Paramètres!$A$1:$I$89,3,0)*0.475*44/12</f>
        <v>2.4107069983517599E-24</v>
      </c>
      <c r="ED187" s="22">
        <f t="shared" si="178"/>
        <v>14.985580617880794</v>
      </c>
      <c r="EE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401</v>
      </c>
      <c r="EK187" s="17">
        <f>EJ187*VLOOKUP('Données projet'!$B$15,Paramètres!$A$1:$I$89,3,0)*VLOOKUP('Données projet'!$B$15,Paramètres!$A$1:$I$89,5,0)</f>
        <v>250.22399999999999</v>
      </c>
      <c r="EL187" s="13">
        <f t="shared" si="179"/>
        <v>60.633904580527918</v>
      </c>
      <c r="EM187" s="20">
        <f t="shared" si="180"/>
        <v>541.41085047775289</v>
      </c>
      <c r="EN187" s="59">
        <f t="shared" si="128"/>
        <v>834.74418381108626</v>
      </c>
      <c r="EO187" s="59">
        <f ca="1">AVERAGE(OFFSET($EN$3,0,0,'Données projet'!$E$15+1,1))-AVERAGE(OFFSET($H$3,0,0,'Données projet'!$E$15+1,1))</f>
        <v>269.77739619445515</v>
      </c>
      <c r="EP187" s="59">
        <f t="shared" si="154"/>
        <v>347.56964743629885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6.5705200453862185</v>
      </c>
      <c r="EW187" s="21">
        <f>EXP(-LN(2)/25)*EW186+(1-EXP(-LN(2)/25))/(LN(2)/25)*Calculateur!ER187*Calculateur!ET187*VLOOKUP('Données projet'!$B$15,Paramètres!$A$1:$I$89,3,0)*0.475*44/12</f>
        <v>1.2829931541762931</v>
      </c>
      <c r="EX187" s="21">
        <f>EXP(-LN(2)/2)*EX186+(1-EXP(-LN(2)/2))/(LN(2)/2)*ER187*EU187*VLOOKUP('Données projet'!$B$15,Paramètres!$A$1:$I$89,3,0)*0.475*44/12</f>
        <v>1.6436638625125638E-25</v>
      </c>
      <c r="EY187" s="22">
        <f t="shared" si="181"/>
        <v>7.8535131995625118</v>
      </c>
      <c r="EZ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367.99999999999972</v>
      </c>
      <c r="FF187" s="17">
        <f>FE187*VLOOKUP('Données projet'!$B$16,Paramètres!$A$1:$I$89,3,0)*VLOOKUP('Données projet'!$B$16,Paramètres!$A$1:$I$89,5,0)</f>
        <v>292.78079999999977</v>
      </c>
      <c r="FG187" s="13">
        <f t="shared" si="182"/>
        <v>69.660903052386217</v>
      </c>
      <c r="FH187" s="20">
        <f t="shared" si="183"/>
        <v>631.25263281623893</v>
      </c>
      <c r="FI187" s="59">
        <f t="shared" si="131"/>
        <v>924.58596614957219</v>
      </c>
      <c r="FJ187" s="59">
        <f ca="1">AVERAGE(OFFSET($FI$3,0,0,'Données projet'!$E$16+1,1))-AVERAGE(OFFSET($H$3,0,0,'Données projet'!$E$16+1,1))</f>
        <v>331.52724290297675</v>
      </c>
      <c r="FK187" s="59">
        <f t="shared" si="156"/>
        <v>322.79102610158054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7.8581802655987545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7.8581802655987545</v>
      </c>
      <c r="FU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852.00000000000011</v>
      </c>
      <c r="GA187" s="17">
        <f>FZ187*VLOOKUP('Données projet'!$B$17,Paramètres!$A$1:$I$89,3,0)*VLOOKUP('Données projet'!$B$17,Paramètres!$A$1:$I$89,5,0)</f>
        <v>420.88800000000009</v>
      </c>
      <c r="GB187" s="13">
        <f t="shared" si="185"/>
        <v>95.998759891259041</v>
      </c>
      <c r="GC187" s="20">
        <f t="shared" si="186"/>
        <v>900.24444014394294</v>
      </c>
      <c r="GD187" s="59">
        <f t="shared" si="134"/>
        <v>1193.5777734772762</v>
      </c>
      <c r="GE187" s="59">
        <f ca="1">AVERAGE(OFFSET($GD$3,0,0,'Données projet'!$E$17+1,1))-AVERAGE(OFFSET($H$3,0,0,'Données projet'!$E$17+1,1))</f>
        <v>434.08297999735811</v>
      </c>
      <c r="GF187" s="59">
        <f t="shared" si="158"/>
        <v>371.04090283546122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20.274581888640061</v>
      </c>
      <c r="GM187" s="21">
        <f>EXP(-LN(2)/25)*GM186+(1-EXP(-LN(2)/25))/(LN(2)/25)*Calculateur!GH187*Calculateur!GJ187*VLOOKUP('Données projet'!$B$17,Paramètres!$A$1:$I$89,3,0)*0.475*44/12</f>
        <v>0.72313609687019054</v>
      </c>
      <c r="GN187" s="21">
        <f>EXP(-LN(2)/2)*GN186+(1-EXP(-LN(2)/2))/(LN(2)/2)*GH187*GK187*VLOOKUP('Données projet'!$B$17,Paramètres!$A$1:$I$89,3,0)*0.475*44/12</f>
        <v>4.9736050950843123E-24</v>
      </c>
      <c r="GO187" s="21">
        <f t="shared" si="187"/>
        <v>20.997717985510253</v>
      </c>
      <c r="GP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614.99999999999989</v>
      </c>
      <c r="GV187" s="17">
        <f>GU187*VLOOKUP('Données projet'!$B$18,Paramètres!$A$1:$I$89,3,0)*VLOOKUP('Données projet'!$B$18,Paramètres!$A$1:$I$89,5,0)</f>
        <v>351.78</v>
      </c>
      <c r="GW187" s="13">
        <f t="shared" si="188"/>
        <v>81.92892344316067</v>
      </c>
      <c r="GX187" s="20">
        <f t="shared" si="189"/>
        <v>755.37637499683808</v>
      </c>
      <c r="GY187" s="59">
        <f t="shared" si="137"/>
        <v>1048.7097083301715</v>
      </c>
      <c r="GZ187" s="59">
        <f ca="1">AVERAGE(OFFSET($GY$3,0,0,'Données projet'!$E$18+1,1))-AVERAGE(OFFSET($H$3,0,0,'Données projet'!$E$18+1,1))</f>
        <v>362.57172983134313</v>
      </c>
      <c r="HA187" s="59">
        <f t="shared" si="160"/>
        <v>232.03250917542471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16.477768387902621</v>
      </c>
      <c r="HH187" s="21">
        <f>EXP(-LN(2)/25)*HH186+(1-EXP(-LN(2)/25))/(LN(2)/25)*Calculateur!HC187*Calculateur!HE187*VLOOKUP('Données projet'!$B$18,Paramètres!$A$1:$I$89,3,0)*0.475*44/12</f>
        <v>0.43595764691695715</v>
      </c>
      <c r="HI187" s="21">
        <f>EXP(-LN(2)/2)*HI186+(1-EXP(-LN(2)/2))/(LN(2)/2)*HC187*HF187*VLOOKUP('Données projet'!$B$18,Paramètres!$A$1:$I$89,3,0)*0.475*44/12</f>
        <v>4.9553421632786161E-24</v>
      </c>
      <c r="HJ187" s="22">
        <f t="shared" si="190"/>
        <v>16.913726034819579</v>
      </c>
    </row>
    <row r="188" spans="1:218" x14ac:dyDescent="0.3">
      <c r="A188" s="10">
        <f t="shared" si="161"/>
        <v>185</v>
      </c>
      <c r="B188" s="71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5">
        <f t="shared" si="110"/>
        <v>490.67334539342403</v>
      </c>
      <c r="I188" s="6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266.99999999999983</v>
      </c>
      <c r="O188" s="13">
        <f>N188*VLOOKUP('Données projet'!$B$9,Paramètres!$A$1:$I$89,3,0)*VLOOKUP('Données projet'!$B$9,Paramètres!$A$1:$I$89,5,0)</f>
        <v>212.42519999999985</v>
      </c>
      <c r="P188" s="13">
        <f t="shared" si="141"/>
        <v>52.465198231787184</v>
      </c>
      <c r="Q188" s="20">
        <f t="shared" si="162"/>
        <v>461.35077692036231</v>
      </c>
      <c r="R188" s="59">
        <f t="shared" si="109"/>
        <v>754.68411025369562</v>
      </c>
      <c r="S188" s="59">
        <f ca="1">AVERAGE(OFFSET($R$3,0,0,'Données projet'!$E$9+1,1))-AVERAGE(OFFSET($H$3,0,0,'Données projet'!$E$9+1,1))</f>
        <v>225.2323446080772</v>
      </c>
      <c r="T188" s="59">
        <f t="shared" si="142"/>
        <v>222.29030402759292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5.4233471127360584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5.4233471127360584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732.99999999999966</v>
      </c>
      <c r="AJ188" s="13">
        <f>AI188*VLOOKUP('Données projet'!$B$10,Paramètres!$A$1:$I$89,3,0)*VLOOKUP('Données projet'!$B$10,Paramètres!$A$1:$I$89,5,0)</f>
        <v>362.1019999999998</v>
      </c>
      <c r="AK188" s="13">
        <f t="shared" si="164"/>
        <v>84.049487364732272</v>
      </c>
      <c r="AL188" s="20">
        <f t="shared" si="165"/>
        <v>777.04717382690842</v>
      </c>
      <c r="AM188" s="59">
        <f t="shared" si="113"/>
        <v>1070.3805071602417</v>
      </c>
      <c r="AN188" s="59">
        <f ca="1">AVERAGE(OFFSET($AM$3,0,0,'Données projet'!$E$10+1,1))-AVERAGE(OFFSET($H$3,0,0,'Données projet'!$E$10+1,1))</f>
        <v>360.05819346986135</v>
      </c>
      <c r="AO188" s="59">
        <f t="shared" si="144"/>
        <v>300.47468388351081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16.240995752066514</v>
      </c>
      <c r="AV188" s="21">
        <f>EXP(-LN(2)/25)*AV187+(1-EXP(-LN(2)/25))/(LN(2)/25)*Calculateur!AQ188*Calculateur!AS188*VLOOKUP('Données projet'!$B$10,Paramètres!$A$1:$I$89,3,0)*0.475*44/12</f>
        <v>0.5754779200417085</v>
      </c>
      <c r="AW188" s="21">
        <f>EXP(-LN(2)/2)*AW187+(1-EXP(-LN(2)/2))/(LN(2)/2)*AQ188*AT188*VLOOKUP('Données projet'!$B$10,Paramètres!$A$1:$I$89,3,0)*0.475*44/12</f>
        <v>2.4536301555893583E-25</v>
      </c>
      <c r="AX188" s="21">
        <f t="shared" si="166"/>
        <v>16.816473672108224</v>
      </c>
      <c r="AY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465.00000000000006</v>
      </c>
      <c r="BE188" s="13">
        <f>BD188*VLOOKUP('Données projet'!$B$11,Paramètres!$A$1:$I$89,3,0)*VLOOKUP('Données projet'!$B$11,Paramètres!$A$1:$I$89,5,0)</f>
        <v>265.98</v>
      </c>
      <c r="BF188" s="13">
        <f t="shared" si="167"/>
        <v>63.995380422211589</v>
      </c>
      <c r="BG188" s="20">
        <f t="shared" si="168"/>
        <v>574.70712090201857</v>
      </c>
      <c r="BH188" s="59">
        <f t="shared" si="116"/>
        <v>868.04045423535194</v>
      </c>
      <c r="BI188" s="59">
        <f ca="1">AVERAGE(OFFSET($BH$3,0,0,'Données projet'!$E$11+1,1))-AVERAGE(OFFSET($H$3,0,0,'Données projet'!$E$11+1,1))</f>
        <v>250.90038883668348</v>
      </c>
      <c r="BJ188" s="59">
        <f t="shared" si="146"/>
        <v>141.96132114475608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12.438733584198872</v>
      </c>
      <c r="BQ188" s="21">
        <f>EXP(-LN(2)/25)*BQ187+(1-EXP(-LN(2)/25))/(LN(2)/25)*Calculateur!BL188*Calculateur!BN188*VLOOKUP('Données projet'!$B$11,Paramètres!$A$1:$I$89,3,0)*0.475*44/12</f>
        <v>0.16192190778190513</v>
      </c>
      <c r="BR188" s="21">
        <f>EXP(-LN(2)/2)*BR187+(1-EXP(-LN(2)/2))/(LN(2)/2)*BL188*BO188*VLOOKUP('Données projet'!$B$11,Paramètres!$A$1:$I$89,3,0)*0.475*44/12</f>
        <v>1.7678517987912979E-23</v>
      </c>
      <c r="BS188" s="22">
        <f t="shared" si="169"/>
        <v>12.600655491980776</v>
      </c>
      <c r="BT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319</v>
      </c>
      <c r="BZ188" s="13">
        <f>BY188*VLOOKUP('Données projet'!$B$12,Paramètres!$A$1:$I$89,3,0)*VLOOKUP('Données projet'!$B$12,Paramètres!$A$1:$I$89,5,0)</f>
        <v>253.79640000000001</v>
      </c>
      <c r="CA188" s="13">
        <f t="shared" si="170"/>
        <v>61.39816832228076</v>
      </c>
      <c r="CB188" s="20">
        <f t="shared" si="171"/>
        <v>548.96387316130563</v>
      </c>
      <c r="CC188" s="59">
        <f t="shared" si="119"/>
        <v>842.29720649463889</v>
      </c>
      <c r="CD188" s="59">
        <f ca="1">AVERAGE(OFFSET($CC$3,0,0,'Données projet'!$E$12+1,1))-AVERAGE(OFFSET($H$3,0,0,'Données projet'!$E$12+1,1))</f>
        <v>279.49721661620544</v>
      </c>
      <c r="CE188" s="59">
        <f t="shared" si="148"/>
        <v>275.18739333988754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6.6460297056020554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6.6460297056020554</v>
      </c>
      <c r="CO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789</v>
      </c>
      <c r="CU188" s="17">
        <f>CT188*VLOOKUP('Données projet'!$B$13,Paramètres!$A$1:$I$89,3,0)*VLOOKUP('Données projet'!$B$13,Paramètres!$A$1:$I$89,5,0)</f>
        <v>389.76600000000002</v>
      </c>
      <c r="CV188" s="13">
        <f t="shared" si="173"/>
        <v>89.698759503620408</v>
      </c>
      <c r="CW188" s="20">
        <f t="shared" si="174"/>
        <v>835.06778946880547</v>
      </c>
      <c r="CX188" s="59">
        <f t="shared" si="122"/>
        <v>1128.4011228021388</v>
      </c>
      <c r="CY188" s="59">
        <f ca="1">AVERAGE(OFFSET($CX$3,0,0,'Données projet'!$E$13+1,1))-AVERAGE(OFFSET($H$3,0,0,'Données projet'!$E$13+1,1))</f>
        <v>396.27049617044378</v>
      </c>
      <c r="CZ188" s="59">
        <f t="shared" si="150"/>
        <v>335.2680289568774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18.016073019622681</v>
      </c>
      <c r="DG188" s="21">
        <f>EXP(-LN(2)/25)*DG187+(1-EXP(-LN(2)/25))/(LN(2)/25)*Calculateur!DB188*Calculateur!DD188*VLOOKUP('Données projet'!$B$13,Paramètres!$A$1:$I$89,3,0)*0.475*44/12</f>
        <v>0.63941991115745489</v>
      </c>
      <c r="DH188" s="21">
        <f>EXP(-LN(2)/2)*DH187+(1-EXP(-LN(2)/2))/(LN(2)/2)*DB188*DE188*VLOOKUP('Données projet'!$B$13,Paramètres!$A$1:$I$89,3,0)*0.475*44/12</f>
        <v>1.7993287807655306E-24</v>
      </c>
      <c r="DI188" s="22">
        <f t="shared" si="175"/>
        <v>18.655492930780134</v>
      </c>
      <c r="DJ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541.99999999999989</v>
      </c>
      <c r="DP188" s="17">
        <f>DO188*VLOOKUP('Données projet'!$B$14,Paramètres!$A$1:$I$89,3,0)*VLOOKUP('Données projet'!$B$14,Paramètres!$A$1:$I$89,5,0)</f>
        <v>310.02399999999994</v>
      </c>
      <c r="DQ188" s="13">
        <f t="shared" si="176"/>
        <v>73.27384230442388</v>
      </c>
      <c r="DR188" s="20">
        <f t="shared" si="177"/>
        <v>667.57707534687154</v>
      </c>
      <c r="DS188" s="59">
        <f t="shared" si="125"/>
        <v>960.91040868020491</v>
      </c>
      <c r="DT188" s="59">
        <f ca="1">AVERAGE(OFFSET($DS$3,0,0,'Données projet'!$E$14+1,1))-AVERAGE(OFFSET($H$3,0,0,'Données projet'!$E$14+1,1))</f>
        <v>307.43900954374504</v>
      </c>
      <c r="DU188" s="59">
        <f t="shared" si="152"/>
        <v>185.25270859048999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14.325372136521095</v>
      </c>
      <c r="EB188" s="21">
        <f>EXP(-LN(2)/25)*EB187+(1-EXP(-LN(2)/25))/(LN(2)/25)*Calculateur!DW188*Calculateur!DY188*VLOOKUP('Données projet'!$B$14,Paramètres!$A$1:$I$89,3,0)*0.475*44/12</f>
        <v>0.36345973897371103</v>
      </c>
      <c r="EC188" s="21">
        <f>EXP(-LN(2)/2)*EC187+(1-EXP(-LN(2)/2))/(LN(2)/2)*DW188*DZ188*VLOOKUP('Données projet'!$B$14,Paramètres!$A$1:$I$89,3,0)*0.475*44/12</f>
        <v>1.7046272659883966E-24</v>
      </c>
      <c r="ED188" s="22">
        <f t="shared" si="178"/>
        <v>14.688831875494806</v>
      </c>
      <c r="EE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401</v>
      </c>
      <c r="EK188" s="17">
        <f>EJ188*VLOOKUP('Données projet'!$B$15,Paramètres!$A$1:$I$89,3,0)*VLOOKUP('Données projet'!$B$15,Paramètres!$A$1:$I$89,5,0)</f>
        <v>250.22399999999999</v>
      </c>
      <c r="EL188" s="13">
        <f t="shared" si="179"/>
        <v>60.633904580527918</v>
      </c>
      <c r="EM188" s="20">
        <f t="shared" si="180"/>
        <v>541.41085047775289</v>
      </c>
      <c r="EN188" s="59">
        <f t="shared" si="128"/>
        <v>834.74418381108626</v>
      </c>
      <c r="EO188" s="59">
        <f ca="1">AVERAGE(OFFSET($EN$3,0,0,'Données projet'!$E$15+1,1))-AVERAGE(OFFSET($H$3,0,0,'Données projet'!$E$15+1,1))</f>
        <v>269.77739619445515</v>
      </c>
      <c r="EP188" s="59">
        <f t="shared" si="154"/>
        <v>347.56964743629885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6.4416761549177028</v>
      </c>
      <c r="EW188" s="21">
        <f>EXP(-LN(2)/25)*EW187+(1-EXP(-LN(2)/25))/(LN(2)/25)*Calculateur!ER188*Calculateur!ET188*VLOOKUP('Données projet'!$B$15,Paramètres!$A$1:$I$89,3,0)*0.475*44/12</f>
        <v>1.2479096389056648</v>
      </c>
      <c r="EX188" s="21">
        <f>EXP(-LN(2)/2)*EX187+(1-EXP(-LN(2)/2))/(LN(2)/2)*ER188*EU188*VLOOKUP('Données projet'!$B$15,Paramètres!$A$1:$I$89,3,0)*0.475*44/12</f>
        <v>1.162245863173907E-25</v>
      </c>
      <c r="EY188" s="22">
        <f t="shared" si="181"/>
        <v>7.6895857938233672</v>
      </c>
      <c r="EZ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367.99999999999972</v>
      </c>
      <c r="FF188" s="17">
        <f>FE188*VLOOKUP('Données projet'!$B$16,Paramètres!$A$1:$I$89,3,0)*VLOOKUP('Données projet'!$B$16,Paramètres!$A$1:$I$89,5,0)</f>
        <v>292.78079999999977</v>
      </c>
      <c r="FG188" s="13">
        <f t="shared" si="182"/>
        <v>69.660903052386217</v>
      </c>
      <c r="FH188" s="20">
        <f t="shared" si="183"/>
        <v>631.25263281623893</v>
      </c>
      <c r="FI188" s="59">
        <f t="shared" si="131"/>
        <v>924.58596614957219</v>
      </c>
      <c r="FJ188" s="59">
        <f ca="1">AVERAGE(OFFSET($FI$3,0,0,'Données projet'!$E$16+1,1))-AVERAGE(OFFSET($H$3,0,0,'Données projet'!$E$16+1,1))</f>
        <v>331.52724290297675</v>
      </c>
      <c r="FK188" s="59">
        <f t="shared" si="156"/>
        <v>322.79102610158054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7.7040861436070536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7.7040861436070536</v>
      </c>
      <c r="FU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852.00000000000011</v>
      </c>
      <c r="GA188" s="17">
        <f>FZ188*VLOOKUP('Données projet'!$B$17,Paramètres!$A$1:$I$89,3,0)*VLOOKUP('Données projet'!$B$17,Paramètres!$A$1:$I$89,5,0)</f>
        <v>420.88800000000009</v>
      </c>
      <c r="GB188" s="13">
        <f t="shared" si="185"/>
        <v>95.998759891259041</v>
      </c>
      <c r="GC188" s="20">
        <f t="shared" si="186"/>
        <v>900.24444014394294</v>
      </c>
      <c r="GD188" s="59">
        <f t="shared" si="134"/>
        <v>1193.5777734772762</v>
      </c>
      <c r="GE188" s="59">
        <f ca="1">AVERAGE(OFFSET($GD$3,0,0,'Données projet'!$E$17+1,1))-AVERAGE(OFFSET($H$3,0,0,'Données projet'!$E$17+1,1))</f>
        <v>434.08297999735811</v>
      </c>
      <c r="GF188" s="59">
        <f t="shared" si="158"/>
        <v>371.04090283546122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19.877009704077715</v>
      </c>
      <c r="GM188" s="21">
        <f>EXP(-LN(2)/25)*GM187+(1-EXP(-LN(2)/25))/(LN(2)/25)*Calculateur!GH188*Calculateur!GJ188*VLOOKUP('Données projet'!$B$17,Paramètres!$A$1:$I$89,3,0)*0.475*44/12</f>
        <v>0.70336190227320061</v>
      </c>
      <c r="GN188" s="21">
        <f>EXP(-LN(2)/2)*GN187+(1-EXP(-LN(2)/2))/(LN(2)/2)*GH188*GK188*VLOOKUP('Données projet'!$B$17,Paramètres!$A$1:$I$89,3,0)*0.475*44/12</f>
        <v>3.5168698896780806E-24</v>
      </c>
      <c r="GO188" s="21">
        <f t="shared" si="187"/>
        <v>20.580371606350916</v>
      </c>
      <c r="GP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614.99999999999989</v>
      </c>
      <c r="GV188" s="17">
        <f>GU188*VLOOKUP('Données projet'!$B$18,Paramètres!$A$1:$I$89,3,0)*VLOOKUP('Données projet'!$B$18,Paramètres!$A$1:$I$89,5,0)</f>
        <v>351.78</v>
      </c>
      <c r="GW188" s="13">
        <f t="shared" si="188"/>
        <v>81.92892344316067</v>
      </c>
      <c r="GX188" s="20">
        <f t="shared" si="189"/>
        <v>755.37637499683808</v>
      </c>
      <c r="GY188" s="59">
        <f t="shared" si="137"/>
        <v>1048.7097083301715</v>
      </c>
      <c r="GZ188" s="59">
        <f ca="1">AVERAGE(OFFSET($GY$3,0,0,'Données projet'!$E$18+1,1))-AVERAGE(OFFSET($H$3,0,0,'Données projet'!$E$18+1,1))</f>
        <v>362.57172983134313</v>
      </c>
      <c r="HA188" s="59">
        <f t="shared" si="160"/>
        <v>232.03250917542471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16.154649400262169</v>
      </c>
      <c r="HH188" s="21">
        <f>EXP(-LN(2)/25)*HH187+(1-EXP(-LN(2)/25))/(LN(2)/25)*Calculateur!HC188*Calculateur!HE188*VLOOKUP('Données projet'!$B$18,Paramètres!$A$1:$I$89,3,0)*0.475*44/12</f>
        <v>0.42403636213599671</v>
      </c>
      <c r="HI188" s="21">
        <f>EXP(-LN(2)/2)*HI187+(1-EXP(-LN(2)/2))/(LN(2)/2)*HC188*HF188*VLOOKUP('Données projet'!$B$18,Paramètres!$A$1:$I$89,3,0)*0.475*44/12</f>
        <v>3.5039560467539254E-24</v>
      </c>
      <c r="HJ188" s="22">
        <f t="shared" si="190"/>
        <v>16.578685762398166</v>
      </c>
    </row>
    <row r="189" spans="1:218" x14ac:dyDescent="0.3">
      <c r="A189" s="10">
        <f t="shared" si="161"/>
        <v>186</v>
      </c>
      <c r="B189" s="71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5">
        <f t="shared" si="110"/>
        <v>491.71333357115242</v>
      </c>
      <c r="I189" s="6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266.99999999999983</v>
      </c>
      <c r="O189" s="13">
        <f>N189*VLOOKUP('Données projet'!$B$9,Paramètres!$A$1:$I$89,3,0)*VLOOKUP('Données projet'!$B$9,Paramètres!$A$1:$I$89,5,0)</f>
        <v>212.42519999999985</v>
      </c>
      <c r="P189" s="13">
        <f t="shared" si="141"/>
        <v>52.465198231787184</v>
      </c>
      <c r="Q189" s="20">
        <f t="shared" si="162"/>
        <v>461.35077692036231</v>
      </c>
      <c r="R189" s="59">
        <f t="shared" si="109"/>
        <v>754.68411025369562</v>
      </c>
      <c r="S189" s="59">
        <f ca="1">AVERAGE(OFFSET($R$3,0,0,'Données projet'!$E$9+1,1))-AVERAGE(OFFSET($H$3,0,0,'Données projet'!$E$9+1,1))</f>
        <v>225.2323446080772</v>
      </c>
      <c r="T189" s="59">
        <f t="shared" si="142"/>
        <v>222.29030402759292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5.3169985837704132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5.3169985837704132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732.99999999999966</v>
      </c>
      <c r="AJ189" s="13">
        <f>AI189*VLOOKUP('Données projet'!$B$10,Paramètres!$A$1:$I$89,3,0)*VLOOKUP('Données projet'!$B$10,Paramètres!$A$1:$I$89,5,0)</f>
        <v>362.1019999999998</v>
      </c>
      <c r="AK189" s="13">
        <f t="shared" si="164"/>
        <v>84.049487364732272</v>
      </c>
      <c r="AL189" s="20">
        <f t="shared" si="165"/>
        <v>777.04717382690842</v>
      </c>
      <c r="AM189" s="59">
        <f t="shared" si="113"/>
        <v>1070.3805071602417</v>
      </c>
      <c r="AN189" s="59">
        <f ca="1">AVERAGE(OFFSET($AM$3,0,0,'Données projet'!$E$10+1,1))-AVERAGE(OFFSET($H$3,0,0,'Données projet'!$E$10+1,1))</f>
        <v>360.05819346986135</v>
      </c>
      <c r="AO189" s="59">
        <f t="shared" si="144"/>
        <v>300.47468388351081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15.92251973139776</v>
      </c>
      <c r="AV189" s="21">
        <f>EXP(-LN(2)/25)*AV188+(1-EXP(-LN(2)/25))/(LN(2)/25)*Calculateur!AQ189*Calculateur!AS189*VLOOKUP('Données projet'!$B$10,Paramètres!$A$1:$I$89,3,0)*0.475*44/12</f>
        <v>0.55974144605509946</v>
      </c>
      <c r="AW189" s="21">
        <f>EXP(-LN(2)/2)*AW188+(1-EXP(-LN(2)/2))/(LN(2)/2)*AQ189*AT189*VLOOKUP('Données projet'!$B$10,Paramètres!$A$1:$I$89,3,0)*0.475*44/12</f>
        <v>1.734978521541039E-25</v>
      </c>
      <c r="AX189" s="21">
        <f t="shared" si="166"/>
        <v>16.482261177452859</v>
      </c>
      <c r="AY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465.00000000000006</v>
      </c>
      <c r="BE189" s="13">
        <f>BD189*VLOOKUP('Données projet'!$B$11,Paramètres!$A$1:$I$89,3,0)*VLOOKUP('Données projet'!$B$11,Paramètres!$A$1:$I$89,5,0)</f>
        <v>265.98</v>
      </c>
      <c r="BF189" s="13">
        <f t="shared" si="167"/>
        <v>63.995380422211589</v>
      </c>
      <c r="BG189" s="20">
        <f t="shared" si="168"/>
        <v>574.70712090201857</v>
      </c>
      <c r="BH189" s="59">
        <f t="shared" si="116"/>
        <v>868.04045423535194</v>
      </c>
      <c r="BI189" s="59">
        <f ca="1">AVERAGE(OFFSET($BH$3,0,0,'Données projet'!$E$11+1,1))-AVERAGE(OFFSET($H$3,0,0,'Données projet'!$E$11+1,1))</f>
        <v>250.90038883668348</v>
      </c>
      <c r="BJ189" s="59">
        <f t="shared" si="146"/>
        <v>141.96132114475608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12.194817605491076</v>
      </c>
      <c r="BQ189" s="21">
        <f>EXP(-LN(2)/25)*BQ188+(1-EXP(-LN(2)/25))/(LN(2)/25)*Calculateur!BL189*Calculateur!BN189*VLOOKUP('Données projet'!$B$11,Paramètres!$A$1:$I$89,3,0)*0.475*44/12</f>
        <v>0.15749414469850587</v>
      </c>
      <c r="BR189" s="21">
        <f>EXP(-LN(2)/2)*BR188+(1-EXP(-LN(2)/2))/(LN(2)/2)*BL189*BO189*VLOOKUP('Données projet'!$B$11,Paramètres!$A$1:$I$89,3,0)*0.475*44/12</f>
        <v>1.2500599950581627E-23</v>
      </c>
      <c r="BS189" s="22">
        <f t="shared" si="169"/>
        <v>12.352311750189582</v>
      </c>
      <c r="BT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319</v>
      </c>
      <c r="BZ189" s="13">
        <f>BY189*VLOOKUP('Données projet'!$B$12,Paramètres!$A$1:$I$89,3,0)*VLOOKUP('Données projet'!$B$12,Paramètres!$A$1:$I$89,5,0)</f>
        <v>253.79640000000001</v>
      </c>
      <c r="CA189" s="13">
        <f t="shared" si="170"/>
        <v>61.39816832228076</v>
      </c>
      <c r="CB189" s="20">
        <f t="shared" si="171"/>
        <v>548.96387316130563</v>
      </c>
      <c r="CC189" s="59">
        <f t="shared" si="119"/>
        <v>842.29720649463889</v>
      </c>
      <c r="CD189" s="59">
        <f ca="1">AVERAGE(OFFSET($CC$3,0,0,'Données projet'!$E$12+1,1))-AVERAGE(OFFSET($H$3,0,0,'Données projet'!$E$12+1,1))</f>
        <v>279.49721661620544</v>
      </c>
      <c r="CE189" s="59">
        <f t="shared" si="148"/>
        <v>275.18739333988754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6.5157051167530522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6.5157051167530522</v>
      </c>
      <c r="CO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789</v>
      </c>
      <c r="CU189" s="17">
        <f>CT189*VLOOKUP('Données projet'!$B$13,Paramètres!$A$1:$I$89,3,0)*VLOOKUP('Données projet'!$B$13,Paramètres!$A$1:$I$89,5,0)</f>
        <v>389.76600000000002</v>
      </c>
      <c r="CV189" s="13">
        <f t="shared" si="173"/>
        <v>89.698759503620408</v>
      </c>
      <c r="CW189" s="20">
        <f t="shared" si="174"/>
        <v>835.06778946880547</v>
      </c>
      <c r="CX189" s="59">
        <f t="shared" si="122"/>
        <v>1128.4011228021388</v>
      </c>
      <c r="CY189" s="59">
        <f ca="1">AVERAGE(OFFSET($CX$3,0,0,'Données projet'!$E$13+1,1))-AVERAGE(OFFSET($H$3,0,0,'Données projet'!$E$13+1,1))</f>
        <v>396.27049617044378</v>
      </c>
      <c r="CZ189" s="59">
        <f t="shared" si="150"/>
        <v>335.2680289568774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17.662788816427376</v>
      </c>
      <c r="DG189" s="21">
        <f>EXP(-LN(2)/25)*DG188+(1-EXP(-LN(2)/25))/(LN(2)/25)*Calculateur!DB189*Calculateur!DD189*VLOOKUP('Données projet'!$B$13,Paramètres!$A$1:$I$89,3,0)*0.475*44/12</f>
        <v>0.62193494006122252</v>
      </c>
      <c r="DH189" s="21">
        <f>EXP(-LN(2)/2)*DH188+(1-EXP(-LN(2)/2))/(LN(2)/2)*DB189*DE189*VLOOKUP('Données projet'!$B$13,Paramètres!$A$1:$I$89,3,0)*0.475*44/12</f>
        <v>1.2723175824634294E-24</v>
      </c>
      <c r="DI189" s="22">
        <f t="shared" si="175"/>
        <v>18.284723756488599</v>
      </c>
      <c r="DJ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541.99999999999989</v>
      </c>
      <c r="DP189" s="17">
        <f>DO189*VLOOKUP('Données projet'!$B$14,Paramètres!$A$1:$I$89,3,0)*VLOOKUP('Données projet'!$B$14,Paramètres!$A$1:$I$89,5,0)</f>
        <v>310.02399999999994</v>
      </c>
      <c r="DQ189" s="13">
        <f t="shared" si="176"/>
        <v>73.27384230442388</v>
      </c>
      <c r="DR189" s="20">
        <f t="shared" si="177"/>
        <v>667.57707534687154</v>
      </c>
      <c r="DS189" s="59">
        <f t="shared" si="125"/>
        <v>960.91040868020491</v>
      </c>
      <c r="DT189" s="59">
        <f ca="1">AVERAGE(OFFSET($DS$3,0,0,'Données projet'!$E$14+1,1))-AVERAGE(OFFSET($H$3,0,0,'Données projet'!$E$14+1,1))</f>
        <v>307.43900954374504</v>
      </c>
      <c r="DU189" s="59">
        <f t="shared" si="152"/>
        <v>185.25270859048999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14.044460326538152</v>
      </c>
      <c r="EB189" s="21">
        <f>EXP(-LN(2)/25)*EB188+(1-EXP(-LN(2)/25))/(LN(2)/25)*Calculateur!DW189*Calculateur!DY189*VLOOKUP('Données projet'!$B$14,Paramètres!$A$1:$I$89,3,0)*0.475*44/12</f>
        <v>0.35352091329795793</v>
      </c>
      <c r="EC189" s="21">
        <f>EXP(-LN(2)/2)*EC188+(1-EXP(-LN(2)/2))/(LN(2)/2)*DW189*DZ189*VLOOKUP('Données projet'!$B$14,Paramètres!$A$1:$I$89,3,0)*0.475*44/12</f>
        <v>1.2053534991758799E-24</v>
      </c>
      <c r="ED189" s="22">
        <f t="shared" si="178"/>
        <v>14.39798123983611</v>
      </c>
      <c r="EE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401</v>
      </c>
      <c r="EK189" s="17">
        <f>EJ189*VLOOKUP('Données projet'!$B$15,Paramètres!$A$1:$I$89,3,0)*VLOOKUP('Données projet'!$B$15,Paramètres!$A$1:$I$89,5,0)</f>
        <v>250.22399999999999</v>
      </c>
      <c r="EL189" s="13">
        <f t="shared" si="179"/>
        <v>60.633904580527918</v>
      </c>
      <c r="EM189" s="20">
        <f t="shared" si="180"/>
        <v>541.41085047775289</v>
      </c>
      <c r="EN189" s="59">
        <f t="shared" si="128"/>
        <v>834.74418381108626</v>
      </c>
      <c r="EO189" s="59">
        <f ca="1">AVERAGE(OFFSET($EN$3,0,0,'Données projet'!$E$15+1,1))-AVERAGE(OFFSET($H$3,0,0,'Données projet'!$E$15+1,1))</f>
        <v>269.77739619445515</v>
      </c>
      <c r="EP189" s="59">
        <f t="shared" si="154"/>
        <v>347.56964743629885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6.3153588145542612</v>
      </c>
      <c r="EW189" s="21">
        <f>EXP(-LN(2)/25)*EW188+(1-EXP(-LN(2)/25))/(LN(2)/25)*Calculateur!ER189*Calculateur!ET189*VLOOKUP('Données projet'!$B$15,Paramètres!$A$1:$I$89,3,0)*0.475*44/12</f>
        <v>1.2137854842050735</v>
      </c>
      <c r="EX189" s="21">
        <f>EXP(-LN(2)/2)*EX188+(1-EXP(-LN(2)/2))/(LN(2)/2)*ER189*EU189*VLOOKUP('Données projet'!$B$15,Paramètres!$A$1:$I$89,3,0)*0.475*44/12</f>
        <v>8.218319312562819E-26</v>
      </c>
      <c r="EY189" s="22">
        <f t="shared" si="181"/>
        <v>7.5291442987593342</v>
      </c>
      <c r="EZ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367.99999999999972</v>
      </c>
      <c r="FF189" s="17">
        <f>FE189*VLOOKUP('Données projet'!$B$16,Paramètres!$A$1:$I$89,3,0)*VLOOKUP('Données projet'!$B$16,Paramètres!$A$1:$I$89,5,0)</f>
        <v>292.78079999999977</v>
      </c>
      <c r="FG189" s="13">
        <f t="shared" si="182"/>
        <v>69.660903052386217</v>
      </c>
      <c r="FH189" s="20">
        <f t="shared" si="183"/>
        <v>631.25263281623893</v>
      </c>
      <c r="FI189" s="59">
        <f t="shared" si="131"/>
        <v>924.58596614957219</v>
      </c>
      <c r="FJ189" s="59">
        <f ca="1">AVERAGE(OFFSET($FI$3,0,0,'Données projet'!$E$16+1,1))-AVERAGE(OFFSET($H$3,0,0,'Données projet'!$E$16+1,1))</f>
        <v>331.52724290297675</v>
      </c>
      <c r="FK189" s="59">
        <f t="shared" si="156"/>
        <v>322.79102610158054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7.5530137133594764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7.5530137133594764</v>
      </c>
      <c r="FU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852.00000000000011</v>
      </c>
      <c r="GA189" s="17">
        <f>FZ189*VLOOKUP('Données projet'!$B$17,Paramètres!$A$1:$I$89,3,0)*VLOOKUP('Données projet'!$B$17,Paramètres!$A$1:$I$89,5,0)</f>
        <v>420.88800000000009</v>
      </c>
      <c r="GB189" s="13">
        <f t="shared" si="185"/>
        <v>95.998759891259041</v>
      </c>
      <c r="GC189" s="20">
        <f t="shared" si="186"/>
        <v>900.24444014394294</v>
      </c>
      <c r="GD189" s="59">
        <f t="shared" si="134"/>
        <v>1193.5777734772762</v>
      </c>
      <c r="GE189" s="59">
        <f ca="1">AVERAGE(OFFSET($GD$3,0,0,'Données projet'!$E$17+1,1))-AVERAGE(OFFSET($H$3,0,0,'Données projet'!$E$17+1,1))</f>
        <v>434.08297999735811</v>
      </c>
      <c r="GF189" s="59">
        <f t="shared" si="158"/>
        <v>371.04090283546122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19.487233667559547</v>
      </c>
      <c r="GM189" s="21">
        <f>EXP(-LN(2)/25)*GM188+(1-EXP(-LN(2)/25))/(LN(2)/25)*Calculateur!GH189*Calculateur!GJ189*VLOOKUP('Données projet'!$B$17,Paramètres!$A$1:$I$89,3,0)*0.475*44/12</f>
        <v>0.68412843406734503</v>
      </c>
      <c r="GN189" s="21">
        <f>EXP(-LN(2)/2)*GN188+(1-EXP(-LN(2)/2))/(LN(2)/2)*GH189*GK189*VLOOKUP('Données projet'!$B$17,Paramètres!$A$1:$I$89,3,0)*0.475*44/12</f>
        <v>2.4868025475421562E-24</v>
      </c>
      <c r="GO189" s="21">
        <f t="shared" si="187"/>
        <v>20.17136210162689</v>
      </c>
      <c r="GP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614.99999999999989</v>
      </c>
      <c r="GV189" s="17">
        <f>GU189*VLOOKUP('Données projet'!$B$18,Paramètres!$A$1:$I$89,3,0)*VLOOKUP('Données projet'!$B$18,Paramètres!$A$1:$I$89,5,0)</f>
        <v>351.78</v>
      </c>
      <c r="GW189" s="13">
        <f t="shared" si="188"/>
        <v>81.92892344316067</v>
      </c>
      <c r="GX189" s="20">
        <f t="shared" si="189"/>
        <v>755.37637499683808</v>
      </c>
      <c r="GY189" s="59">
        <f t="shared" si="137"/>
        <v>1048.7097083301715</v>
      </c>
      <c r="GZ189" s="59">
        <f ca="1">AVERAGE(OFFSET($GY$3,0,0,'Données projet'!$E$18+1,1))-AVERAGE(OFFSET($H$3,0,0,'Données projet'!$E$18+1,1))</f>
        <v>362.57172983134313</v>
      </c>
      <c r="HA189" s="59">
        <f t="shared" si="160"/>
        <v>232.03250917542471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15.837866578886224</v>
      </c>
      <c r="HH189" s="21">
        <f>EXP(-LN(2)/25)*HH188+(1-EXP(-LN(2)/25))/(LN(2)/25)*Calculateur!HC189*Calculateur!HE189*VLOOKUP('Données projet'!$B$18,Paramètres!$A$1:$I$89,3,0)*0.475*44/12</f>
        <v>0.41244106551428472</v>
      </c>
      <c r="HI189" s="21">
        <f>EXP(-LN(2)/2)*HI188+(1-EXP(-LN(2)/2))/(LN(2)/2)*HC189*HF189*VLOOKUP('Données projet'!$B$18,Paramètres!$A$1:$I$89,3,0)*0.475*44/12</f>
        <v>2.477671081639308E-24</v>
      </c>
      <c r="HJ189" s="22">
        <f t="shared" si="190"/>
        <v>16.250307644400507</v>
      </c>
    </row>
    <row r="190" spans="1:218" x14ac:dyDescent="0.3">
      <c r="A190" s="10">
        <f t="shared" si="161"/>
        <v>187</v>
      </c>
      <c r="B190" s="71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5">
        <f t="shared" si="110"/>
        <v>492.75319522065962</v>
      </c>
      <c r="I190" s="6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266.99999999999983</v>
      </c>
      <c r="O190" s="13">
        <f>N190*VLOOKUP('Données projet'!$B$9,Paramètres!$A$1:$I$89,3,0)*VLOOKUP('Données projet'!$B$9,Paramètres!$A$1:$I$89,5,0)</f>
        <v>212.42519999999985</v>
      </c>
      <c r="P190" s="13">
        <f t="shared" si="141"/>
        <v>52.465198231787184</v>
      </c>
      <c r="Q190" s="20">
        <f t="shared" si="162"/>
        <v>461.35077692036231</v>
      </c>
      <c r="R190" s="59">
        <f t="shared" si="109"/>
        <v>754.68411025369562</v>
      </c>
      <c r="S190" s="59">
        <f ca="1">AVERAGE(OFFSET($R$3,0,0,'Données projet'!$E$9+1,1))-AVERAGE(OFFSET($H$3,0,0,'Données projet'!$E$9+1,1))</f>
        <v>225.2323446080772</v>
      </c>
      <c r="T190" s="59">
        <f t="shared" si="142"/>
        <v>222.29030402759292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5.2127354845915868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5.2127354845915868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732.99999999999966</v>
      </c>
      <c r="AJ190" s="13">
        <f>AI190*VLOOKUP('Données projet'!$B$10,Paramètres!$A$1:$I$89,3,0)*VLOOKUP('Données projet'!$B$10,Paramètres!$A$1:$I$89,5,0)</f>
        <v>362.1019999999998</v>
      </c>
      <c r="AK190" s="13">
        <f t="shared" si="164"/>
        <v>84.049487364732272</v>
      </c>
      <c r="AL190" s="20">
        <f t="shared" si="165"/>
        <v>777.04717382690842</v>
      </c>
      <c r="AM190" s="59">
        <f t="shared" si="113"/>
        <v>1070.3805071602417</v>
      </c>
      <c r="AN190" s="59">
        <f ca="1">AVERAGE(OFFSET($AM$3,0,0,'Données projet'!$E$10+1,1))-AVERAGE(OFFSET($H$3,0,0,'Données projet'!$E$10+1,1))</f>
        <v>360.05819346986135</v>
      </c>
      <c r="AO190" s="59">
        <f t="shared" si="144"/>
        <v>300.47468388351081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15.610288831243126</v>
      </c>
      <c r="AV190" s="21">
        <f>EXP(-LN(2)/25)*AV189+(1-EXP(-LN(2)/25))/(LN(2)/25)*Calculateur!AQ190*Calculateur!AS190*VLOOKUP('Données projet'!$B$10,Paramètres!$A$1:$I$89,3,0)*0.475*44/12</f>
        <v>0.54443528677719943</v>
      </c>
      <c r="AW190" s="21">
        <f>EXP(-LN(2)/2)*AW189+(1-EXP(-LN(2)/2))/(LN(2)/2)*AQ190*AT190*VLOOKUP('Données projet'!$B$10,Paramètres!$A$1:$I$89,3,0)*0.475*44/12</f>
        <v>1.2268150777946791E-25</v>
      </c>
      <c r="AX190" s="21">
        <f t="shared" si="166"/>
        <v>16.154724118020326</v>
      </c>
      <c r="AY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465.00000000000006</v>
      </c>
      <c r="BE190" s="13">
        <f>BD190*VLOOKUP('Données projet'!$B$11,Paramètres!$A$1:$I$89,3,0)*VLOOKUP('Données projet'!$B$11,Paramètres!$A$1:$I$89,5,0)</f>
        <v>265.98</v>
      </c>
      <c r="BF190" s="13">
        <f t="shared" si="167"/>
        <v>63.995380422211589</v>
      </c>
      <c r="BG190" s="20">
        <f t="shared" si="168"/>
        <v>574.70712090201857</v>
      </c>
      <c r="BH190" s="59">
        <f t="shared" si="116"/>
        <v>868.04045423535194</v>
      </c>
      <c r="BI190" s="59">
        <f ca="1">AVERAGE(OFFSET($BH$3,0,0,'Données projet'!$E$11+1,1))-AVERAGE(OFFSET($H$3,0,0,'Données projet'!$E$11+1,1))</f>
        <v>250.90038883668348</v>
      </c>
      <c r="BJ190" s="59">
        <f t="shared" si="146"/>
        <v>141.96132114475608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11.955684670351683</v>
      </c>
      <c r="BQ190" s="21">
        <f>EXP(-LN(2)/25)*BQ189+(1-EXP(-LN(2)/25))/(LN(2)/25)*Calculateur!BL190*Calculateur!BN190*VLOOKUP('Données projet'!$B$11,Paramètres!$A$1:$I$89,3,0)*0.475*44/12</f>
        <v>0.15318745902946812</v>
      </c>
      <c r="BR190" s="21">
        <f>EXP(-LN(2)/2)*BR189+(1-EXP(-LN(2)/2))/(LN(2)/2)*BL190*BO190*VLOOKUP('Données projet'!$B$11,Paramètres!$A$1:$I$89,3,0)*0.475*44/12</f>
        <v>8.8392589939564894E-24</v>
      </c>
      <c r="BS190" s="22">
        <f t="shared" si="169"/>
        <v>12.108872129381151</v>
      </c>
      <c r="BT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319</v>
      </c>
      <c r="BZ190" s="13">
        <f>BY190*VLOOKUP('Données projet'!$B$12,Paramètres!$A$1:$I$89,3,0)*VLOOKUP('Données projet'!$B$12,Paramètres!$A$1:$I$89,5,0)</f>
        <v>253.79640000000001</v>
      </c>
      <c r="CA190" s="13">
        <f t="shared" si="170"/>
        <v>61.39816832228076</v>
      </c>
      <c r="CB190" s="20">
        <f t="shared" si="171"/>
        <v>548.96387316130563</v>
      </c>
      <c r="CC190" s="59">
        <f t="shared" si="119"/>
        <v>842.29720649463889</v>
      </c>
      <c r="CD190" s="59">
        <f ca="1">AVERAGE(OFFSET($CC$3,0,0,'Données projet'!$E$12+1,1))-AVERAGE(OFFSET($H$3,0,0,'Données projet'!$E$12+1,1))</f>
        <v>279.49721661620544</v>
      </c>
      <c r="CE190" s="59">
        <f t="shared" si="148"/>
        <v>275.18739333988754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6.3879361136012278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6.3879361136012278</v>
      </c>
      <c r="CO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789</v>
      </c>
      <c r="CU190" s="17">
        <f>CT190*VLOOKUP('Données projet'!$B$13,Paramètres!$A$1:$I$89,3,0)*VLOOKUP('Données projet'!$B$13,Paramètres!$A$1:$I$89,5,0)</f>
        <v>389.76600000000002</v>
      </c>
      <c r="CV190" s="13">
        <f t="shared" si="173"/>
        <v>89.698759503620408</v>
      </c>
      <c r="CW190" s="20">
        <f t="shared" si="174"/>
        <v>835.06778946880547</v>
      </c>
      <c r="CX190" s="59">
        <f t="shared" si="122"/>
        <v>1128.4011228021388</v>
      </c>
      <c r="CY190" s="59">
        <f ca="1">AVERAGE(OFFSET($CX$3,0,0,'Données projet'!$E$13+1,1))-AVERAGE(OFFSET($H$3,0,0,'Données projet'!$E$13+1,1))</f>
        <v>396.27049617044378</v>
      </c>
      <c r="CZ190" s="59">
        <f t="shared" si="150"/>
        <v>335.2680289568774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17.316432300974643</v>
      </c>
      <c r="DG190" s="21">
        <f>EXP(-LN(2)/25)*DG189+(1-EXP(-LN(2)/25))/(LN(2)/25)*Calculateur!DB190*Calculateur!DD190*VLOOKUP('Données projet'!$B$13,Paramètres!$A$1:$I$89,3,0)*0.475*44/12</f>
        <v>0.60492809641911138</v>
      </c>
      <c r="DH190" s="21">
        <f>EXP(-LN(2)/2)*DH189+(1-EXP(-LN(2)/2))/(LN(2)/2)*DB190*DE190*VLOOKUP('Données projet'!$B$13,Paramètres!$A$1:$I$89,3,0)*0.475*44/12</f>
        <v>8.996643903827653E-25</v>
      </c>
      <c r="DI190" s="22">
        <f t="shared" si="175"/>
        <v>17.921360397393755</v>
      </c>
      <c r="DJ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541.99999999999989</v>
      </c>
      <c r="DP190" s="17">
        <f>DO190*VLOOKUP('Données projet'!$B$14,Paramètres!$A$1:$I$89,3,0)*VLOOKUP('Données projet'!$B$14,Paramètres!$A$1:$I$89,5,0)</f>
        <v>310.02399999999994</v>
      </c>
      <c r="DQ190" s="13">
        <f t="shared" si="176"/>
        <v>73.27384230442388</v>
      </c>
      <c r="DR190" s="20">
        <f t="shared" si="177"/>
        <v>667.57707534687154</v>
      </c>
      <c r="DS190" s="59">
        <f t="shared" si="125"/>
        <v>960.91040868020491</v>
      </c>
      <c r="DT190" s="59">
        <f ca="1">AVERAGE(OFFSET($DS$3,0,0,'Données projet'!$E$14+1,1))-AVERAGE(OFFSET($H$3,0,0,'Données projet'!$E$14+1,1))</f>
        <v>307.43900954374504</v>
      </c>
      <c r="DU190" s="59">
        <f t="shared" si="152"/>
        <v>185.25270859048999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13.769057025809689</v>
      </c>
      <c r="EB190" s="21">
        <f>EXP(-LN(2)/25)*EB189+(1-EXP(-LN(2)/25))/(LN(2)/25)*Calculateur!DW190*Calculateur!DY190*VLOOKUP('Données projet'!$B$14,Paramètres!$A$1:$I$89,3,0)*0.475*44/12</f>
        <v>0.34385386533296841</v>
      </c>
      <c r="EC190" s="21">
        <f>EXP(-LN(2)/2)*EC189+(1-EXP(-LN(2)/2))/(LN(2)/2)*DW190*DZ190*VLOOKUP('Données projet'!$B$14,Paramètres!$A$1:$I$89,3,0)*0.475*44/12</f>
        <v>8.5231363299419832E-25</v>
      </c>
      <c r="ED190" s="22">
        <f t="shared" si="178"/>
        <v>14.112910891142658</v>
      </c>
      <c r="EE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401</v>
      </c>
      <c r="EK190" s="17">
        <f>EJ190*VLOOKUP('Données projet'!$B$15,Paramètres!$A$1:$I$89,3,0)*VLOOKUP('Données projet'!$B$15,Paramètres!$A$1:$I$89,5,0)</f>
        <v>250.22399999999999</v>
      </c>
      <c r="EL190" s="13">
        <f t="shared" si="179"/>
        <v>60.633904580527918</v>
      </c>
      <c r="EM190" s="20">
        <f t="shared" si="180"/>
        <v>541.41085047775289</v>
      </c>
      <c r="EN190" s="59">
        <f t="shared" si="128"/>
        <v>834.74418381108626</v>
      </c>
      <c r="EO190" s="59">
        <f ca="1">AVERAGE(OFFSET($EN$3,0,0,'Données projet'!$E$15+1,1))-AVERAGE(OFFSET($H$3,0,0,'Données projet'!$E$15+1,1))</f>
        <v>269.77739619445515</v>
      </c>
      <c r="EP190" s="59">
        <f t="shared" si="154"/>
        <v>347.56964743629885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6.1915184801893766</v>
      </c>
      <c r="EW190" s="21">
        <f>EXP(-LN(2)/25)*EW189+(1-EXP(-LN(2)/25))/(LN(2)/25)*Calculateur!ER190*Calculateur!ET190*VLOOKUP('Données projet'!$B$15,Paramètres!$A$1:$I$89,3,0)*0.475*44/12</f>
        <v>1.1805944563092812</v>
      </c>
      <c r="EX190" s="21">
        <f>EXP(-LN(2)/2)*EX189+(1-EXP(-LN(2)/2))/(LN(2)/2)*ER190*EU190*VLOOKUP('Données projet'!$B$15,Paramètres!$A$1:$I$89,3,0)*0.475*44/12</f>
        <v>5.8112293158695348E-26</v>
      </c>
      <c r="EY190" s="22">
        <f t="shared" si="181"/>
        <v>7.3721129364986577</v>
      </c>
      <c r="EZ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367.99999999999972</v>
      </c>
      <c r="FF190" s="17">
        <f>FE190*VLOOKUP('Données projet'!$B$16,Paramètres!$A$1:$I$89,3,0)*VLOOKUP('Données projet'!$B$16,Paramètres!$A$1:$I$89,5,0)</f>
        <v>292.78079999999977</v>
      </c>
      <c r="FG190" s="13">
        <f t="shared" si="182"/>
        <v>69.660903052386217</v>
      </c>
      <c r="FH190" s="20">
        <f t="shared" si="183"/>
        <v>631.25263281623893</v>
      </c>
      <c r="FI190" s="59">
        <f t="shared" si="131"/>
        <v>924.58596614957219</v>
      </c>
      <c r="FJ190" s="59">
        <f ca="1">AVERAGE(OFFSET($FI$3,0,0,'Données projet'!$E$16+1,1))-AVERAGE(OFFSET($H$3,0,0,'Données projet'!$E$16+1,1))</f>
        <v>331.52724290297675</v>
      </c>
      <c r="FK190" s="59">
        <f t="shared" si="156"/>
        <v>322.79102610158054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7.4049037213239703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7.4049037213239703</v>
      </c>
      <c r="FU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852.00000000000011</v>
      </c>
      <c r="GA190" s="17">
        <f>FZ190*VLOOKUP('Données projet'!$B$17,Paramètres!$A$1:$I$89,3,0)*VLOOKUP('Données projet'!$B$17,Paramètres!$A$1:$I$89,5,0)</f>
        <v>420.88800000000009</v>
      </c>
      <c r="GB190" s="13">
        <f t="shared" si="185"/>
        <v>95.998759891259041</v>
      </c>
      <c r="GC190" s="20">
        <f t="shared" si="186"/>
        <v>900.24444014394294</v>
      </c>
      <c r="GD190" s="59">
        <f t="shared" si="134"/>
        <v>1193.5777734772762</v>
      </c>
      <c r="GE190" s="59">
        <f ca="1">AVERAGE(OFFSET($GD$3,0,0,'Données projet'!$E$17+1,1))-AVERAGE(OFFSET($H$3,0,0,'Données projet'!$E$17+1,1))</f>
        <v>434.08297999735811</v>
      </c>
      <c r="GF190" s="59">
        <f t="shared" si="158"/>
        <v>371.04090283546122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19.105100901377593</v>
      </c>
      <c r="GM190" s="21">
        <f>EXP(-LN(2)/25)*GM189+(1-EXP(-LN(2)/25))/(LN(2)/25)*Calculateur!GH190*Calculateur!GJ190*VLOOKUP('Données projet'!$B$17,Paramètres!$A$1:$I$89,3,0)*0.475*44/12</f>
        <v>0.66542090606102278</v>
      </c>
      <c r="GN190" s="21">
        <f>EXP(-LN(2)/2)*GN189+(1-EXP(-LN(2)/2))/(LN(2)/2)*GH190*GK190*VLOOKUP('Données projet'!$B$17,Paramètres!$A$1:$I$89,3,0)*0.475*44/12</f>
        <v>1.7584349448390403E-24</v>
      </c>
      <c r="GO190" s="21">
        <f t="shared" si="187"/>
        <v>19.770521807438616</v>
      </c>
      <c r="GP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614.99999999999989</v>
      </c>
      <c r="GV190" s="17">
        <f>GU190*VLOOKUP('Données projet'!$B$18,Paramètres!$A$1:$I$89,3,0)*VLOOKUP('Données projet'!$B$18,Paramètres!$A$1:$I$89,5,0)</f>
        <v>351.78</v>
      </c>
      <c r="GW190" s="13">
        <f t="shared" si="188"/>
        <v>81.92892344316067</v>
      </c>
      <c r="GX190" s="20">
        <f t="shared" si="189"/>
        <v>755.37637499683808</v>
      </c>
      <c r="GY190" s="59">
        <f t="shared" si="137"/>
        <v>1048.7097083301715</v>
      </c>
      <c r="GZ190" s="59">
        <f ca="1">AVERAGE(OFFSET($GY$3,0,0,'Données projet'!$E$18+1,1))-AVERAGE(OFFSET($H$3,0,0,'Données projet'!$E$18+1,1))</f>
        <v>362.57172983134313</v>
      </c>
      <c r="HA190" s="59">
        <f t="shared" si="160"/>
        <v>232.03250917542471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15.527295675419019</v>
      </c>
      <c r="HH190" s="21">
        <f>EXP(-LN(2)/25)*HH189+(1-EXP(-LN(2)/25))/(LN(2)/25)*Calculateur!HC190*Calculateur!HE190*VLOOKUP('Données projet'!$B$18,Paramètres!$A$1:$I$89,3,0)*0.475*44/12</f>
        <v>0.4011628428884636</v>
      </c>
      <c r="HI190" s="21">
        <f>EXP(-LN(2)/2)*HI189+(1-EXP(-LN(2)/2))/(LN(2)/2)*HC190*HF190*VLOOKUP('Données projet'!$B$18,Paramètres!$A$1:$I$89,3,0)*0.475*44/12</f>
        <v>1.7519780233769627E-24</v>
      </c>
      <c r="HJ190" s="22">
        <f t="shared" si="190"/>
        <v>15.928458518307483</v>
      </c>
    </row>
    <row r="191" spans="1:218" x14ac:dyDescent="0.3">
      <c r="A191" s="10">
        <f t="shared" si="161"/>
        <v>188</v>
      </c>
      <c r="B191" s="71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5">
        <f t="shared" si="110"/>
        <v>493.79293109709795</v>
      </c>
      <c r="I191" s="6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266.99999999999983</v>
      </c>
      <c r="O191" s="13">
        <f>N191*VLOOKUP('Données projet'!$B$9,Paramètres!$A$1:$I$89,3,0)*VLOOKUP('Données projet'!$B$9,Paramètres!$A$1:$I$89,5,0)</f>
        <v>212.42519999999985</v>
      </c>
      <c r="P191" s="13">
        <f t="shared" si="141"/>
        <v>52.465198231787184</v>
      </c>
      <c r="Q191" s="20">
        <f t="shared" si="162"/>
        <v>461.35077692036231</v>
      </c>
      <c r="R191" s="59">
        <f t="shared" si="109"/>
        <v>754.68411025369562</v>
      </c>
      <c r="S191" s="59">
        <f ca="1">AVERAGE(OFFSET($R$3,0,0,'Données projet'!$E$9+1,1))-AVERAGE(OFFSET($H$3,0,0,'Données projet'!$E$9+1,1))</f>
        <v>225.2323446080772</v>
      </c>
      <c r="T191" s="59">
        <f t="shared" si="142"/>
        <v>222.29030402759292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5.1105169211934465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5.1105169211934465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732.99999999999966</v>
      </c>
      <c r="AJ191" s="13">
        <f>AI191*VLOOKUP('Données projet'!$B$10,Paramètres!$A$1:$I$89,3,0)*VLOOKUP('Données projet'!$B$10,Paramètres!$A$1:$I$89,5,0)</f>
        <v>362.1019999999998</v>
      </c>
      <c r="AK191" s="13">
        <f t="shared" si="164"/>
        <v>84.049487364732272</v>
      </c>
      <c r="AL191" s="20">
        <f t="shared" si="165"/>
        <v>777.04717382690842</v>
      </c>
      <c r="AM191" s="59">
        <f t="shared" si="113"/>
        <v>1070.3805071602417</v>
      </c>
      <c r="AN191" s="59">
        <f ca="1">AVERAGE(OFFSET($AM$3,0,0,'Données projet'!$E$10+1,1))-AVERAGE(OFFSET($H$3,0,0,'Données projet'!$E$10+1,1))</f>
        <v>360.05819346986135</v>
      </c>
      <c r="AO191" s="59">
        <f t="shared" si="144"/>
        <v>300.47468388351081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15.304180588598483</v>
      </c>
      <c r="AV191" s="21">
        <f>EXP(-LN(2)/25)*AV190+(1-EXP(-LN(2)/25))/(LN(2)/25)*Calculateur!AQ191*Calculateur!AS191*VLOOKUP('Données projet'!$B$10,Paramètres!$A$1:$I$89,3,0)*0.475*44/12</f>
        <v>0.5295476752296695</v>
      </c>
      <c r="AW191" s="21">
        <f>EXP(-LN(2)/2)*AW190+(1-EXP(-LN(2)/2))/(LN(2)/2)*AQ191*AT191*VLOOKUP('Données projet'!$B$10,Paramètres!$A$1:$I$89,3,0)*0.475*44/12</f>
        <v>8.6748926077051948E-26</v>
      </c>
      <c r="AX191" s="21">
        <f t="shared" si="166"/>
        <v>15.833728263828153</v>
      </c>
      <c r="AY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465.00000000000006</v>
      </c>
      <c r="BE191" s="13">
        <f>BD191*VLOOKUP('Données projet'!$B$11,Paramètres!$A$1:$I$89,3,0)*VLOOKUP('Données projet'!$B$11,Paramètres!$A$1:$I$89,5,0)</f>
        <v>265.98</v>
      </c>
      <c r="BF191" s="13">
        <f t="shared" si="167"/>
        <v>63.995380422211589</v>
      </c>
      <c r="BG191" s="20">
        <f t="shared" si="168"/>
        <v>574.70712090201857</v>
      </c>
      <c r="BH191" s="59">
        <f t="shared" si="116"/>
        <v>868.04045423535194</v>
      </c>
      <c r="BI191" s="59">
        <f ca="1">AVERAGE(OFFSET($BH$3,0,0,'Données projet'!$E$11+1,1))-AVERAGE(OFFSET($H$3,0,0,'Données projet'!$E$11+1,1))</f>
        <v>250.90038883668348</v>
      </c>
      <c r="BJ191" s="59">
        <f t="shared" si="146"/>
        <v>141.96132114475608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11.721240986213687</v>
      </c>
      <c r="BQ191" s="21">
        <f>EXP(-LN(2)/25)*BQ190+(1-EXP(-LN(2)/25))/(LN(2)/25)*Calculateur!BL191*Calculateur!BN191*VLOOKUP('Données projet'!$B$11,Paramètres!$A$1:$I$89,3,0)*0.475*44/12</f>
        <v>0.14899853990652895</v>
      </c>
      <c r="BR191" s="21">
        <f>EXP(-LN(2)/2)*BR190+(1-EXP(-LN(2)/2))/(LN(2)/2)*BL191*BO191*VLOOKUP('Données projet'!$B$11,Paramètres!$A$1:$I$89,3,0)*0.475*44/12</f>
        <v>6.2502999752908136E-24</v>
      </c>
      <c r="BS191" s="22">
        <f t="shared" si="169"/>
        <v>11.870239526120216</v>
      </c>
      <c r="BT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319</v>
      </c>
      <c r="BZ191" s="13">
        <f>BY191*VLOOKUP('Données projet'!$B$12,Paramètres!$A$1:$I$89,3,0)*VLOOKUP('Données projet'!$B$12,Paramètres!$A$1:$I$89,5,0)</f>
        <v>253.79640000000001</v>
      </c>
      <c r="CA191" s="13">
        <f t="shared" si="170"/>
        <v>61.39816832228076</v>
      </c>
      <c r="CB191" s="20">
        <f t="shared" si="171"/>
        <v>548.96387316130563</v>
      </c>
      <c r="CC191" s="59">
        <f t="shared" si="119"/>
        <v>842.29720649463889</v>
      </c>
      <c r="CD191" s="59">
        <f ca="1">AVERAGE(OFFSET($CC$3,0,0,'Données projet'!$E$12+1,1))-AVERAGE(OFFSET($H$3,0,0,'Données projet'!$E$12+1,1))</f>
        <v>279.49721661620544</v>
      </c>
      <c r="CE191" s="59">
        <f t="shared" si="148"/>
        <v>275.18739333988754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6.262672582669814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6.262672582669814</v>
      </c>
      <c r="CO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789</v>
      </c>
      <c r="CU191" s="17">
        <f>CT191*VLOOKUP('Données projet'!$B$13,Paramètres!$A$1:$I$89,3,0)*VLOOKUP('Données projet'!$B$13,Paramètres!$A$1:$I$89,5,0)</f>
        <v>389.76600000000002</v>
      </c>
      <c r="CV191" s="13">
        <f t="shared" si="173"/>
        <v>89.698759503620408</v>
      </c>
      <c r="CW191" s="20">
        <f t="shared" si="174"/>
        <v>835.06778946880547</v>
      </c>
      <c r="CX191" s="59">
        <f t="shared" si="122"/>
        <v>1128.4011228021388</v>
      </c>
      <c r="CY191" s="59">
        <f ca="1">AVERAGE(OFFSET($CX$3,0,0,'Données projet'!$E$13+1,1))-AVERAGE(OFFSET($H$3,0,0,'Données projet'!$E$13+1,1))</f>
        <v>396.27049617044378</v>
      </c>
      <c r="CZ191" s="59">
        <f t="shared" si="150"/>
        <v>335.2680289568774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16.976867625533327</v>
      </c>
      <c r="DG191" s="21">
        <f>EXP(-LN(2)/25)*DG190+(1-EXP(-LN(2)/25))/(LN(2)/25)*Calculateur!DB191*Calculateur!DD191*VLOOKUP('Données projet'!$B$13,Paramètres!$A$1:$I$89,3,0)*0.475*44/12</f>
        <v>0.5883863058107448</v>
      </c>
      <c r="DH191" s="21">
        <f>EXP(-LN(2)/2)*DH190+(1-EXP(-LN(2)/2))/(LN(2)/2)*DB191*DE191*VLOOKUP('Données projet'!$B$13,Paramètres!$A$1:$I$89,3,0)*0.475*44/12</f>
        <v>6.361587912317147E-25</v>
      </c>
      <c r="DI191" s="22">
        <f t="shared" si="175"/>
        <v>17.565253931344071</v>
      </c>
      <c r="DJ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541.99999999999989</v>
      </c>
      <c r="DP191" s="17">
        <f>DO191*VLOOKUP('Données projet'!$B$14,Paramètres!$A$1:$I$89,3,0)*VLOOKUP('Données projet'!$B$14,Paramètres!$A$1:$I$89,5,0)</f>
        <v>310.02399999999994</v>
      </c>
      <c r="DQ191" s="13">
        <f t="shared" si="176"/>
        <v>73.27384230442388</v>
      </c>
      <c r="DR191" s="20">
        <f t="shared" si="177"/>
        <v>667.57707534687154</v>
      </c>
      <c r="DS191" s="59">
        <f t="shared" si="125"/>
        <v>960.91040868020491</v>
      </c>
      <c r="DT191" s="59">
        <f ca="1">AVERAGE(OFFSET($DS$3,0,0,'Données projet'!$E$14+1,1))-AVERAGE(OFFSET($H$3,0,0,'Données projet'!$E$14+1,1))</f>
        <v>307.43900954374504</v>
      </c>
      <c r="DU191" s="59">
        <f t="shared" si="152"/>
        <v>185.25270859048999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13.499054215829084</v>
      </c>
      <c r="EB191" s="21">
        <f>EXP(-LN(2)/25)*EB190+(1-EXP(-LN(2)/25))/(LN(2)/25)*Calculateur!DW191*Calculateur!DY191*VLOOKUP('Données projet'!$B$14,Paramètres!$A$1:$I$89,3,0)*0.475*44/12</f>
        <v>0.33445116330294949</v>
      </c>
      <c r="EC191" s="21">
        <f>EXP(-LN(2)/2)*EC190+(1-EXP(-LN(2)/2))/(LN(2)/2)*DW191*DZ191*VLOOKUP('Données projet'!$B$14,Paramètres!$A$1:$I$89,3,0)*0.475*44/12</f>
        <v>6.0267674958793997E-25</v>
      </c>
      <c r="ED191" s="22">
        <f t="shared" si="178"/>
        <v>13.833505379132033</v>
      </c>
      <c r="EE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401</v>
      </c>
      <c r="EK191" s="17">
        <f>EJ191*VLOOKUP('Données projet'!$B$15,Paramètres!$A$1:$I$89,3,0)*VLOOKUP('Données projet'!$B$15,Paramètres!$A$1:$I$89,5,0)</f>
        <v>250.22399999999999</v>
      </c>
      <c r="EL191" s="13">
        <f t="shared" si="179"/>
        <v>60.633904580527918</v>
      </c>
      <c r="EM191" s="20">
        <f t="shared" si="180"/>
        <v>541.41085047775289</v>
      </c>
      <c r="EN191" s="59">
        <f t="shared" si="128"/>
        <v>834.74418381108626</v>
      </c>
      <c r="EO191" s="59">
        <f ca="1">AVERAGE(OFFSET($EN$3,0,0,'Données projet'!$E$15+1,1))-AVERAGE(OFFSET($H$3,0,0,'Données projet'!$E$15+1,1))</f>
        <v>269.77739619445515</v>
      </c>
      <c r="EP191" s="59">
        <f t="shared" si="154"/>
        <v>347.56964743629885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6.0701065792462421</v>
      </c>
      <c r="EW191" s="21">
        <f>EXP(-LN(2)/25)*EW190+(1-EXP(-LN(2)/25))/(LN(2)/25)*Calculateur!ER191*Calculateur!ET191*VLOOKUP('Données projet'!$B$15,Paramètres!$A$1:$I$89,3,0)*0.475*44/12</f>
        <v>1.1483110388167397</v>
      </c>
      <c r="EX191" s="21">
        <f>EXP(-LN(2)/2)*EX190+(1-EXP(-LN(2)/2))/(LN(2)/2)*ER191*EU191*VLOOKUP('Données projet'!$B$15,Paramètres!$A$1:$I$89,3,0)*0.475*44/12</f>
        <v>4.1091596562814095E-26</v>
      </c>
      <c r="EY191" s="22">
        <f t="shared" si="181"/>
        <v>7.2184176180629818</v>
      </c>
      <c r="EZ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367.99999999999972</v>
      </c>
      <c r="FF191" s="17">
        <f>FE191*VLOOKUP('Données projet'!$B$16,Paramètres!$A$1:$I$89,3,0)*VLOOKUP('Données projet'!$B$16,Paramètres!$A$1:$I$89,5,0)</f>
        <v>292.78079999999977</v>
      </c>
      <c r="FG191" s="13">
        <f t="shared" si="182"/>
        <v>69.660903052386217</v>
      </c>
      <c r="FH191" s="20">
        <f t="shared" si="183"/>
        <v>631.25263281623893</v>
      </c>
      <c r="FI191" s="59">
        <f t="shared" si="131"/>
        <v>924.58596614957219</v>
      </c>
      <c r="FJ191" s="59">
        <f ca="1">AVERAGE(OFFSET($FI$3,0,0,'Données projet'!$E$16+1,1))-AVERAGE(OFFSET($H$3,0,0,'Données projet'!$E$16+1,1))</f>
        <v>331.52724290297675</v>
      </c>
      <c r="FK191" s="59">
        <f t="shared" si="156"/>
        <v>322.79102610158054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7.2596980758941054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7.2596980758941054</v>
      </c>
      <c r="FU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852.00000000000011</v>
      </c>
      <c r="GA191" s="17">
        <f>FZ191*VLOOKUP('Données projet'!$B$17,Paramètres!$A$1:$I$89,3,0)*VLOOKUP('Données projet'!$B$17,Paramètres!$A$1:$I$89,5,0)</f>
        <v>420.88800000000009</v>
      </c>
      <c r="GB191" s="13">
        <f t="shared" si="185"/>
        <v>95.998759891259041</v>
      </c>
      <c r="GC191" s="20">
        <f t="shared" si="186"/>
        <v>900.24444014394294</v>
      </c>
      <c r="GD191" s="59">
        <f t="shared" si="134"/>
        <v>1193.5777734772762</v>
      </c>
      <c r="GE191" s="59">
        <f ca="1">AVERAGE(OFFSET($GD$3,0,0,'Données projet'!$E$17+1,1))-AVERAGE(OFFSET($H$3,0,0,'Données projet'!$E$17+1,1))</f>
        <v>434.08297999735811</v>
      </c>
      <c r="GF191" s="59">
        <f t="shared" si="158"/>
        <v>371.04090283546122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18.730461525662495</v>
      </c>
      <c r="GM191" s="21">
        <f>EXP(-LN(2)/25)*GM190+(1-EXP(-LN(2)/25))/(LN(2)/25)*Calculateur!GH191*Calculateur!GJ191*VLOOKUP('Données projet'!$B$17,Paramètres!$A$1:$I$89,3,0)*0.475*44/12</f>
        <v>0.64722493639181955</v>
      </c>
      <c r="GN191" s="21">
        <f>EXP(-LN(2)/2)*GN190+(1-EXP(-LN(2)/2))/(LN(2)/2)*GH191*GK191*VLOOKUP('Données projet'!$B$17,Paramètres!$A$1:$I$89,3,0)*0.475*44/12</f>
        <v>1.2434012737710781E-24</v>
      </c>
      <c r="GO191" s="21">
        <f t="shared" si="187"/>
        <v>19.377686462054314</v>
      </c>
      <c r="GP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614.99999999999989</v>
      </c>
      <c r="GV191" s="17">
        <f>GU191*VLOOKUP('Données projet'!$B$18,Paramètres!$A$1:$I$89,3,0)*VLOOKUP('Données projet'!$B$18,Paramètres!$A$1:$I$89,5,0)</f>
        <v>351.78</v>
      </c>
      <c r="GW191" s="13">
        <f t="shared" si="188"/>
        <v>81.92892344316067</v>
      </c>
      <c r="GX191" s="20">
        <f t="shared" si="189"/>
        <v>755.37637499683808</v>
      </c>
      <c r="GY191" s="59">
        <f t="shared" si="137"/>
        <v>1048.7097083301715</v>
      </c>
      <c r="GZ191" s="59">
        <f ca="1">AVERAGE(OFFSET($GY$3,0,0,'Données projet'!$E$18+1,1))-AVERAGE(OFFSET($H$3,0,0,'Données projet'!$E$18+1,1))</f>
        <v>362.57172983134313</v>
      </c>
      <c r="HA191" s="59">
        <f t="shared" si="160"/>
        <v>232.03250917542471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15.222814877939259</v>
      </c>
      <c r="HH191" s="21">
        <f>EXP(-LN(2)/25)*HH190+(1-EXP(-LN(2)/25))/(LN(2)/25)*Calculateur!HC191*Calculateur!HE191*VLOOKUP('Données projet'!$B$18,Paramètres!$A$1:$I$89,3,0)*0.475*44/12</f>
        <v>0.39019302385344151</v>
      </c>
      <c r="HI191" s="21">
        <f>EXP(-LN(2)/2)*HI190+(1-EXP(-LN(2)/2))/(LN(2)/2)*HC191*HF191*VLOOKUP('Données projet'!$B$18,Paramètres!$A$1:$I$89,3,0)*0.475*44/12</f>
        <v>1.238835540819654E-24</v>
      </c>
      <c r="HJ191" s="22">
        <f t="shared" si="190"/>
        <v>15.613007901792701</v>
      </c>
    </row>
    <row r="192" spans="1:218" x14ac:dyDescent="0.3">
      <c r="A192" s="10">
        <f t="shared" si="161"/>
        <v>189</v>
      </c>
      <c r="B192" s="71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5">
        <f t="shared" si="110"/>
        <v>494.83254194712129</v>
      </c>
      <c r="I192" s="6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266.99999999999983</v>
      </c>
      <c r="O192" s="13">
        <f>N192*VLOOKUP('Données projet'!$B$9,Paramètres!$A$1:$I$89,3,0)*VLOOKUP('Données projet'!$B$9,Paramètres!$A$1:$I$89,5,0)</f>
        <v>212.42519999999985</v>
      </c>
      <c r="P192" s="13">
        <f t="shared" si="141"/>
        <v>52.465198231787184</v>
      </c>
      <c r="Q192" s="20">
        <f t="shared" si="162"/>
        <v>461.35077692036231</v>
      </c>
      <c r="R192" s="59">
        <f t="shared" si="109"/>
        <v>754.68411025369562</v>
      </c>
      <c r="S192" s="59">
        <f ca="1">AVERAGE(OFFSET($R$3,0,0,'Données projet'!$E$9+1,1))-AVERAGE(OFFSET($H$3,0,0,'Données projet'!$E$9+1,1))</f>
        <v>225.2323446080772</v>
      </c>
      <c r="T192" s="59">
        <f t="shared" si="142"/>
        <v>222.29030402759292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5.0103028014763762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5.0103028014763762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732.99999999999966</v>
      </c>
      <c r="AJ192" s="13">
        <f>AI192*VLOOKUP('Données projet'!$B$10,Paramètres!$A$1:$I$89,3,0)*VLOOKUP('Données projet'!$B$10,Paramètres!$A$1:$I$89,5,0)</f>
        <v>362.1019999999998</v>
      </c>
      <c r="AK192" s="13">
        <f t="shared" si="164"/>
        <v>84.049487364732272</v>
      </c>
      <c r="AL192" s="20">
        <f t="shared" si="165"/>
        <v>777.04717382690842</v>
      </c>
      <c r="AM192" s="59">
        <f t="shared" si="113"/>
        <v>1070.3805071602417</v>
      </c>
      <c r="AN192" s="59">
        <f ca="1">AVERAGE(OFFSET($AM$3,0,0,'Données projet'!$E$10+1,1))-AVERAGE(OFFSET($H$3,0,0,'Données projet'!$E$10+1,1))</f>
        <v>360.05819346986135</v>
      </c>
      <c r="AO192" s="59">
        <f t="shared" si="144"/>
        <v>300.47468388351081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15.004074941884507</v>
      </c>
      <c r="AV192" s="21">
        <f>EXP(-LN(2)/25)*AV191+(1-EXP(-LN(2)/25))/(LN(2)/25)*Calculateur!AQ192*Calculateur!AS192*VLOOKUP('Données projet'!$B$10,Paramètres!$A$1:$I$89,3,0)*0.475*44/12</f>
        <v>0.51506716620281223</v>
      </c>
      <c r="AW192" s="21">
        <f>EXP(-LN(2)/2)*AW191+(1-EXP(-LN(2)/2))/(LN(2)/2)*AQ192*AT192*VLOOKUP('Données projet'!$B$10,Paramètres!$A$1:$I$89,3,0)*0.475*44/12</f>
        <v>6.1340753889733957E-26</v>
      </c>
      <c r="AX192" s="21">
        <f t="shared" si="166"/>
        <v>15.519142108087319</v>
      </c>
      <c r="AY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465.00000000000006</v>
      </c>
      <c r="BE192" s="13">
        <f>BD192*VLOOKUP('Données projet'!$B$11,Paramètres!$A$1:$I$89,3,0)*VLOOKUP('Données projet'!$B$11,Paramètres!$A$1:$I$89,5,0)</f>
        <v>265.98</v>
      </c>
      <c r="BF192" s="13">
        <f t="shared" si="167"/>
        <v>63.995380422211589</v>
      </c>
      <c r="BG192" s="20">
        <f t="shared" si="168"/>
        <v>574.70712090201857</v>
      </c>
      <c r="BH192" s="59">
        <f t="shared" si="116"/>
        <v>868.04045423535194</v>
      </c>
      <c r="BI192" s="59">
        <f ca="1">AVERAGE(OFFSET($BH$3,0,0,'Données projet'!$E$11+1,1))-AVERAGE(OFFSET($H$3,0,0,'Données projet'!$E$11+1,1))</f>
        <v>250.90038883668348</v>
      </c>
      <c r="BJ192" s="59">
        <f t="shared" si="146"/>
        <v>141.96132114475608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11.491394599725108</v>
      </c>
      <c r="BQ192" s="21">
        <f>EXP(-LN(2)/25)*BQ191+(1-EXP(-LN(2)/25))/(LN(2)/25)*Calculateur!BL192*Calculateur!BN192*VLOOKUP('Données projet'!$B$11,Paramètres!$A$1:$I$89,3,0)*0.475*44/12</f>
        <v>0.14492416699729224</v>
      </c>
      <c r="BR192" s="21">
        <f>EXP(-LN(2)/2)*BR191+(1-EXP(-LN(2)/2))/(LN(2)/2)*BL192*BO192*VLOOKUP('Données projet'!$B$11,Paramètres!$A$1:$I$89,3,0)*0.475*44/12</f>
        <v>4.4196294969782447E-24</v>
      </c>
      <c r="BS192" s="22">
        <f t="shared" si="169"/>
        <v>11.6363187667224</v>
      </c>
      <c r="BT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319</v>
      </c>
      <c r="BZ192" s="13">
        <f>BY192*VLOOKUP('Données projet'!$B$12,Paramètres!$A$1:$I$89,3,0)*VLOOKUP('Données projet'!$B$12,Paramètres!$A$1:$I$89,5,0)</f>
        <v>253.79640000000001</v>
      </c>
      <c r="CA192" s="13">
        <f t="shared" si="170"/>
        <v>61.39816832228076</v>
      </c>
      <c r="CB192" s="20">
        <f t="shared" si="171"/>
        <v>548.96387316130563</v>
      </c>
      <c r="CC192" s="59">
        <f t="shared" si="119"/>
        <v>842.29720649463889</v>
      </c>
      <c r="CD192" s="59">
        <f ca="1">AVERAGE(OFFSET($CC$3,0,0,'Données projet'!$E$12+1,1))-AVERAGE(OFFSET($H$3,0,0,'Données projet'!$E$12+1,1))</f>
        <v>279.49721661620544</v>
      </c>
      <c r="CE192" s="59">
        <f t="shared" si="148"/>
        <v>275.18739333988754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6.1398653931767555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6.1398653931767555</v>
      </c>
      <c r="CO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789</v>
      </c>
      <c r="CU192" s="17">
        <f>CT192*VLOOKUP('Données projet'!$B$13,Paramètres!$A$1:$I$89,3,0)*VLOOKUP('Données projet'!$B$13,Paramètres!$A$1:$I$89,5,0)</f>
        <v>389.76600000000002</v>
      </c>
      <c r="CV192" s="13">
        <f t="shared" si="173"/>
        <v>89.698759503620408</v>
      </c>
      <c r="CW192" s="20">
        <f t="shared" si="174"/>
        <v>835.06778946880547</v>
      </c>
      <c r="CX192" s="59">
        <f t="shared" si="122"/>
        <v>1128.4011228021388</v>
      </c>
      <c r="CY192" s="59">
        <f ca="1">AVERAGE(OFFSET($CX$3,0,0,'Données projet'!$E$13+1,1))-AVERAGE(OFFSET($H$3,0,0,'Données projet'!$E$13+1,1))</f>
        <v>396.27049617044378</v>
      </c>
      <c r="CZ192" s="59">
        <f t="shared" si="150"/>
        <v>335.2680289568774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16.64396160626341</v>
      </c>
      <c r="DG192" s="21">
        <f>EXP(-LN(2)/25)*DG191+(1-EXP(-LN(2)/25))/(LN(2)/25)*Calculateur!DB192*Calculateur!DD192*VLOOKUP('Données projet'!$B$13,Paramètres!$A$1:$I$89,3,0)*0.475*44/12</f>
        <v>0.57229685133645891</v>
      </c>
      <c r="DH192" s="21">
        <f>EXP(-LN(2)/2)*DH191+(1-EXP(-LN(2)/2))/(LN(2)/2)*DB192*DE192*VLOOKUP('Données projet'!$B$13,Paramètres!$A$1:$I$89,3,0)*0.475*44/12</f>
        <v>4.4983219519138265E-25</v>
      </c>
      <c r="DI192" s="22">
        <f t="shared" si="175"/>
        <v>17.216258457599871</v>
      </c>
      <c r="DJ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541.99999999999989</v>
      </c>
      <c r="DP192" s="17">
        <f>DO192*VLOOKUP('Données projet'!$B$14,Paramètres!$A$1:$I$89,3,0)*VLOOKUP('Données projet'!$B$14,Paramètres!$A$1:$I$89,5,0)</f>
        <v>310.02399999999994</v>
      </c>
      <c r="DQ192" s="13">
        <f t="shared" si="176"/>
        <v>73.27384230442388</v>
      </c>
      <c r="DR192" s="20">
        <f t="shared" si="177"/>
        <v>667.57707534687154</v>
      </c>
      <c r="DS192" s="59">
        <f t="shared" si="125"/>
        <v>960.91040868020491</v>
      </c>
      <c r="DT192" s="59">
        <f ca="1">AVERAGE(OFFSET($DS$3,0,0,'Données projet'!$E$14+1,1))-AVERAGE(OFFSET($H$3,0,0,'Données projet'!$E$14+1,1))</f>
        <v>307.43900954374504</v>
      </c>
      <c r="DU192" s="59">
        <f t="shared" si="152"/>
        <v>185.25270859048999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13.234345996266745</v>
      </c>
      <c r="EB192" s="21">
        <f>EXP(-LN(2)/25)*EB191+(1-EXP(-LN(2)/25))/(LN(2)/25)*Calculateur!DW192*Calculateur!DY192*VLOOKUP('Données projet'!$B$14,Paramètres!$A$1:$I$89,3,0)*0.475*44/12</f>
        <v>0.32530557865440807</v>
      </c>
      <c r="EC192" s="21">
        <f>EXP(-LN(2)/2)*EC191+(1-EXP(-LN(2)/2))/(LN(2)/2)*DW192*DZ192*VLOOKUP('Données projet'!$B$14,Paramètres!$A$1:$I$89,3,0)*0.475*44/12</f>
        <v>4.2615681649709916E-25</v>
      </c>
      <c r="ED192" s="22">
        <f t="shared" si="178"/>
        <v>13.559651574921153</v>
      </c>
      <c r="EE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401</v>
      </c>
      <c r="EK192" s="17">
        <f>EJ192*VLOOKUP('Données projet'!$B$15,Paramètres!$A$1:$I$89,3,0)*VLOOKUP('Données projet'!$B$15,Paramètres!$A$1:$I$89,5,0)</f>
        <v>250.22399999999999</v>
      </c>
      <c r="EL192" s="13">
        <f t="shared" si="179"/>
        <v>60.633904580527918</v>
      </c>
      <c r="EM192" s="20">
        <f t="shared" si="180"/>
        <v>541.41085047775289</v>
      </c>
      <c r="EN192" s="59">
        <f t="shared" si="128"/>
        <v>834.74418381108626</v>
      </c>
      <c r="EO192" s="59">
        <f ca="1">AVERAGE(OFFSET($EN$3,0,0,'Données projet'!$E$15+1,1))-AVERAGE(OFFSET($H$3,0,0,'Données projet'!$E$15+1,1))</f>
        <v>269.77739619445515</v>
      </c>
      <c r="EP192" s="59">
        <f t="shared" si="154"/>
        <v>347.56964743629885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5.9510754916266553</v>
      </c>
      <c r="EW192" s="21">
        <f>EXP(-LN(2)/25)*EW191+(1-EXP(-LN(2)/25))/(LN(2)/25)*Calculateur!ER192*Calculateur!ET192*VLOOKUP('Données projet'!$B$15,Paramètres!$A$1:$I$89,3,0)*0.475*44/12</f>
        <v>1.116910413073243</v>
      </c>
      <c r="EX192" s="21">
        <f>EXP(-LN(2)/2)*EX191+(1-EXP(-LN(2)/2))/(LN(2)/2)*ER192*EU192*VLOOKUP('Données projet'!$B$15,Paramètres!$A$1:$I$89,3,0)*0.475*44/12</f>
        <v>2.9056146579347674E-26</v>
      </c>
      <c r="EY192" s="22">
        <f t="shared" si="181"/>
        <v>7.0679859046998983</v>
      </c>
      <c r="EZ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367.99999999999972</v>
      </c>
      <c r="FF192" s="17">
        <f>FE192*VLOOKUP('Données projet'!$B$16,Paramètres!$A$1:$I$89,3,0)*VLOOKUP('Données projet'!$B$16,Paramètres!$A$1:$I$89,5,0)</f>
        <v>292.78079999999977</v>
      </c>
      <c r="FG192" s="13">
        <f t="shared" si="182"/>
        <v>69.660903052386217</v>
      </c>
      <c r="FH192" s="20">
        <f t="shared" si="183"/>
        <v>631.25263281623893</v>
      </c>
      <c r="FI192" s="59">
        <f t="shared" si="131"/>
        <v>924.58596614957219</v>
      </c>
      <c r="FJ192" s="59">
        <f ca="1">AVERAGE(OFFSET($FI$3,0,0,'Données projet'!$E$16+1,1))-AVERAGE(OFFSET($H$3,0,0,'Données projet'!$E$16+1,1))</f>
        <v>331.52724290297675</v>
      </c>
      <c r="FK192" s="59">
        <f t="shared" si="156"/>
        <v>322.79102610158054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7.1173398246044215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7.1173398246044215</v>
      </c>
      <c r="FU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852.00000000000011</v>
      </c>
      <c r="GA192" s="17">
        <f>FZ192*VLOOKUP('Données projet'!$B$17,Paramètres!$A$1:$I$89,3,0)*VLOOKUP('Données projet'!$B$17,Paramètres!$A$1:$I$89,5,0)</f>
        <v>420.88800000000009</v>
      </c>
      <c r="GB192" s="13">
        <f t="shared" si="185"/>
        <v>95.998759891259041</v>
      </c>
      <c r="GC192" s="20">
        <f t="shared" si="186"/>
        <v>900.24444014394294</v>
      </c>
      <c r="GD192" s="59">
        <f t="shared" si="134"/>
        <v>1193.5777734772762</v>
      </c>
      <c r="GE192" s="59">
        <f ca="1">AVERAGE(OFFSET($GD$3,0,0,'Données projet'!$E$17+1,1))-AVERAGE(OFFSET($H$3,0,0,'Données projet'!$E$17+1,1))</f>
        <v>434.08297999735811</v>
      </c>
      <c r="GF192" s="59">
        <f t="shared" si="158"/>
        <v>371.04090283546122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18.363168599597714</v>
      </c>
      <c r="GM192" s="21">
        <f>EXP(-LN(2)/25)*GM191+(1-EXP(-LN(2)/25))/(LN(2)/25)*Calculateur!GH192*Calculateur!GJ192*VLOOKUP('Données projet'!$B$17,Paramètres!$A$1:$I$89,3,0)*0.475*44/12</f>
        <v>0.62952653647010515</v>
      </c>
      <c r="GN192" s="21">
        <f>EXP(-LN(2)/2)*GN191+(1-EXP(-LN(2)/2))/(LN(2)/2)*GH192*GK192*VLOOKUP('Données projet'!$B$17,Paramètres!$A$1:$I$89,3,0)*0.475*44/12</f>
        <v>8.7921747241952015E-25</v>
      </c>
      <c r="GO192" s="21">
        <f t="shared" si="187"/>
        <v>18.99269513606782</v>
      </c>
      <c r="GP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614.99999999999989</v>
      </c>
      <c r="GV192" s="17">
        <f>GU192*VLOOKUP('Données projet'!$B$18,Paramètres!$A$1:$I$89,3,0)*VLOOKUP('Données projet'!$B$18,Paramètres!$A$1:$I$89,5,0)</f>
        <v>351.78</v>
      </c>
      <c r="GW192" s="13">
        <f t="shared" si="188"/>
        <v>81.92892344316067</v>
      </c>
      <c r="GX192" s="20">
        <f t="shared" si="189"/>
        <v>755.37637499683808</v>
      </c>
      <c r="GY192" s="59">
        <f t="shared" si="137"/>
        <v>1048.7097083301715</v>
      </c>
      <c r="GZ192" s="59">
        <f ca="1">AVERAGE(OFFSET($GY$3,0,0,'Données projet'!$E$18+1,1))-AVERAGE(OFFSET($H$3,0,0,'Données projet'!$E$18+1,1))</f>
        <v>362.57172983134313</v>
      </c>
      <c r="HA192" s="59">
        <f t="shared" si="160"/>
        <v>232.03250917542471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14.924304763183128</v>
      </c>
      <c r="HH192" s="21">
        <f>EXP(-LN(2)/25)*HH191+(1-EXP(-LN(2)/25))/(LN(2)/25)*Calculateur!HC192*Calculateur!HE192*VLOOKUP('Données projet'!$B$18,Paramètres!$A$1:$I$89,3,0)*0.475*44/12</f>
        <v>0.37952317509680983</v>
      </c>
      <c r="HI192" s="21">
        <f>EXP(-LN(2)/2)*HI191+(1-EXP(-LN(2)/2))/(LN(2)/2)*HC192*HF192*VLOOKUP('Données projet'!$B$18,Paramètres!$A$1:$I$89,3,0)*0.475*44/12</f>
        <v>8.7598901168848135E-25</v>
      </c>
      <c r="HJ192" s="22">
        <f t="shared" si="190"/>
        <v>15.303827938279939</v>
      </c>
    </row>
    <row r="193" spans="1:218" x14ac:dyDescent="0.3">
      <c r="A193" s="10">
        <f t="shared" si="161"/>
        <v>190</v>
      </c>
      <c r="B193" s="71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5">
        <f t="shared" si="110"/>
        <v>495.87202850902497</v>
      </c>
      <c r="I193" s="6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266.99999999999983</v>
      </c>
      <c r="O193" s="13">
        <f>N193*VLOOKUP('Données projet'!$B$9,Paramètres!$A$1:$I$89,3,0)*VLOOKUP('Données projet'!$B$9,Paramètres!$A$1:$I$89,5,0)</f>
        <v>212.42519999999985</v>
      </c>
      <c r="P193" s="13">
        <f t="shared" si="141"/>
        <v>52.465198231787184</v>
      </c>
      <c r="Q193" s="20">
        <f t="shared" si="162"/>
        <v>461.35077692036231</v>
      </c>
      <c r="R193" s="59">
        <f t="shared" si="109"/>
        <v>754.68411025369562</v>
      </c>
      <c r="S193" s="59">
        <f ca="1">AVERAGE(OFFSET($R$3,0,0,'Données projet'!$E$9+1,1))-AVERAGE(OFFSET($H$3,0,0,'Données projet'!$E$9+1,1))</f>
        <v>225.2323446080772</v>
      </c>
      <c r="T193" s="59">
        <f t="shared" si="142"/>
        <v>222.29030402759292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4.91205381952238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4.91205381952238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732.99999999999966</v>
      </c>
      <c r="AJ193" s="13">
        <f>AI193*VLOOKUP('Données projet'!$B$10,Paramètres!$A$1:$I$89,3,0)*VLOOKUP('Données projet'!$B$10,Paramètres!$A$1:$I$89,5,0)</f>
        <v>362.1019999999998</v>
      </c>
      <c r="AK193" s="13">
        <f t="shared" si="164"/>
        <v>84.049487364732272</v>
      </c>
      <c r="AL193" s="20">
        <f t="shared" si="165"/>
        <v>777.04717382690842</v>
      </c>
      <c r="AM193" s="59">
        <f t="shared" si="113"/>
        <v>1070.3805071602417</v>
      </c>
      <c r="AN193" s="59">
        <f ca="1">AVERAGE(OFFSET($AM$3,0,0,'Données projet'!$E$10+1,1))-AVERAGE(OFFSET($H$3,0,0,'Données projet'!$E$10+1,1))</f>
        <v>360.05819346986135</v>
      </c>
      <c r="AO193" s="59">
        <f t="shared" si="144"/>
        <v>300.47468388351081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14.709854183856223</v>
      </c>
      <c r="AV193" s="21">
        <f>EXP(-LN(2)/25)*AV192+(1-EXP(-LN(2)/25))/(LN(2)/25)*Calculateur!AQ193*Calculateur!AS193*VLOOKUP('Données projet'!$B$10,Paramètres!$A$1:$I$89,3,0)*0.475*44/12</f>
        <v>0.50098262745679123</v>
      </c>
      <c r="AW193" s="21">
        <f>EXP(-LN(2)/2)*AW192+(1-EXP(-LN(2)/2))/(LN(2)/2)*AQ193*AT193*VLOOKUP('Données projet'!$B$10,Paramètres!$A$1:$I$89,3,0)*0.475*44/12</f>
        <v>4.3374463038525974E-26</v>
      </c>
      <c r="AX193" s="21">
        <f t="shared" si="166"/>
        <v>15.210836811313014</v>
      </c>
      <c r="AY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465.00000000000006</v>
      </c>
      <c r="BE193" s="13">
        <f>BD193*VLOOKUP('Données projet'!$B$11,Paramètres!$A$1:$I$89,3,0)*VLOOKUP('Données projet'!$B$11,Paramètres!$A$1:$I$89,5,0)</f>
        <v>265.98</v>
      </c>
      <c r="BF193" s="13">
        <f t="shared" si="167"/>
        <v>63.995380422211589</v>
      </c>
      <c r="BG193" s="20">
        <f t="shared" si="168"/>
        <v>574.70712090201857</v>
      </c>
      <c r="BH193" s="59">
        <f t="shared" si="116"/>
        <v>868.04045423535194</v>
      </c>
      <c r="BI193" s="59">
        <f ca="1">AVERAGE(OFFSET($BH$3,0,0,'Données projet'!$E$11+1,1))-AVERAGE(OFFSET($H$3,0,0,'Données projet'!$E$11+1,1))</f>
        <v>250.90038883668348</v>
      </c>
      <c r="BJ193" s="59">
        <f t="shared" si="146"/>
        <v>141.96132114475608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11.266055360683119</v>
      </c>
      <c r="BQ193" s="21">
        <f>EXP(-LN(2)/25)*BQ192+(1-EXP(-LN(2)/25))/(LN(2)/25)*Calculateur!BL193*Calculateur!BN193*VLOOKUP('Données projet'!$B$11,Paramètres!$A$1:$I$89,3,0)*0.475*44/12</f>
        <v>0.14096120802952058</v>
      </c>
      <c r="BR193" s="21">
        <f>EXP(-LN(2)/2)*BR192+(1-EXP(-LN(2)/2))/(LN(2)/2)*BL193*BO193*VLOOKUP('Données projet'!$B$11,Paramètres!$A$1:$I$89,3,0)*0.475*44/12</f>
        <v>3.1251499876454068E-24</v>
      </c>
      <c r="BS193" s="22">
        <f t="shared" si="169"/>
        <v>11.407016568712638</v>
      </c>
      <c r="BT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319</v>
      </c>
      <c r="BZ193" s="13">
        <f>BY193*VLOOKUP('Données projet'!$B$12,Paramètres!$A$1:$I$89,3,0)*VLOOKUP('Données projet'!$B$12,Paramètres!$A$1:$I$89,5,0)</f>
        <v>253.79640000000001</v>
      </c>
      <c r="CA193" s="13">
        <f t="shared" si="170"/>
        <v>61.39816832228076</v>
      </c>
      <c r="CB193" s="20">
        <f t="shared" si="171"/>
        <v>548.96387316130563</v>
      </c>
      <c r="CC193" s="59">
        <f t="shared" si="119"/>
        <v>842.29720649463889</v>
      </c>
      <c r="CD193" s="59">
        <f ca="1">AVERAGE(OFFSET($CC$3,0,0,'Données projet'!$E$12+1,1))-AVERAGE(OFFSET($H$3,0,0,'Données projet'!$E$12+1,1))</f>
        <v>279.49721661620544</v>
      </c>
      <c r="CE193" s="59">
        <f t="shared" si="148"/>
        <v>275.18739333988754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6.0194663777646662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6.0194663777646662</v>
      </c>
      <c r="CO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789</v>
      </c>
      <c r="CU193" s="17">
        <f>CT193*VLOOKUP('Données projet'!$B$13,Paramètres!$A$1:$I$89,3,0)*VLOOKUP('Données projet'!$B$13,Paramètres!$A$1:$I$89,5,0)</f>
        <v>389.76600000000002</v>
      </c>
      <c r="CV193" s="13">
        <f t="shared" si="173"/>
        <v>89.698759503620408</v>
      </c>
      <c r="CW193" s="20">
        <f t="shared" si="174"/>
        <v>835.06778946880547</v>
      </c>
      <c r="CX193" s="59">
        <f t="shared" si="122"/>
        <v>1128.4011228021388</v>
      </c>
      <c r="CY193" s="59">
        <f ca="1">AVERAGE(OFFSET($CX$3,0,0,'Données projet'!$E$13+1,1))-AVERAGE(OFFSET($H$3,0,0,'Données projet'!$E$13+1,1))</f>
        <v>396.27049617044378</v>
      </c>
      <c r="CZ193" s="59">
        <f t="shared" si="150"/>
        <v>335.2680289568774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16.317583670978756</v>
      </c>
      <c r="DG193" s="21">
        <f>EXP(-LN(2)/25)*DG192+(1-EXP(-LN(2)/25))/(LN(2)/25)*Calculateur!DB193*Calculateur!DD193*VLOOKUP('Données projet'!$B$13,Paramètres!$A$1:$I$89,3,0)*0.475*44/12</f>
        <v>0.55664736384087998</v>
      </c>
      <c r="DH193" s="21">
        <f>EXP(-LN(2)/2)*DH192+(1-EXP(-LN(2)/2))/(LN(2)/2)*DB193*DE193*VLOOKUP('Données projet'!$B$13,Paramètres!$A$1:$I$89,3,0)*0.475*44/12</f>
        <v>3.1807939561585735E-25</v>
      </c>
      <c r="DI193" s="22">
        <f t="shared" si="175"/>
        <v>16.874231034819637</v>
      </c>
      <c r="DJ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541.99999999999989</v>
      </c>
      <c r="DP193" s="17">
        <f>DO193*VLOOKUP('Données projet'!$B$14,Paramètres!$A$1:$I$89,3,0)*VLOOKUP('Données projet'!$B$14,Paramètres!$A$1:$I$89,5,0)</f>
        <v>310.02399999999994</v>
      </c>
      <c r="DQ193" s="13">
        <f t="shared" si="176"/>
        <v>73.27384230442388</v>
      </c>
      <c r="DR193" s="20">
        <f t="shared" si="177"/>
        <v>667.57707534687154</v>
      </c>
      <c r="DS193" s="59">
        <f t="shared" si="125"/>
        <v>960.91040868020491</v>
      </c>
      <c r="DT193" s="59">
        <f ca="1">AVERAGE(OFFSET($DS$3,0,0,'Données projet'!$E$14+1,1))-AVERAGE(OFFSET($H$3,0,0,'Données projet'!$E$14+1,1))</f>
        <v>307.43900954374504</v>
      </c>
      <c r="DU193" s="59">
        <f t="shared" si="152"/>
        <v>185.25270859048999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12.974828543433953</v>
      </c>
      <c r="EB193" s="21">
        <f>EXP(-LN(2)/25)*EB192+(1-EXP(-LN(2)/25))/(LN(2)/25)*Calculateur!DW193*Calculateur!DY193*VLOOKUP('Données projet'!$B$14,Paramètres!$A$1:$I$89,3,0)*0.475*44/12</f>
        <v>0.31641008049902641</v>
      </c>
      <c r="EC193" s="21">
        <f>EXP(-LN(2)/2)*EC192+(1-EXP(-LN(2)/2))/(LN(2)/2)*DW193*DZ193*VLOOKUP('Données projet'!$B$14,Paramètres!$A$1:$I$89,3,0)*0.475*44/12</f>
        <v>3.0133837479396998E-25</v>
      </c>
      <c r="ED193" s="22">
        <f t="shared" si="178"/>
        <v>13.29123862393298</v>
      </c>
      <c r="EE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401</v>
      </c>
      <c r="EK193" s="17">
        <f>EJ193*VLOOKUP('Données projet'!$B$15,Paramètres!$A$1:$I$89,3,0)*VLOOKUP('Données projet'!$B$15,Paramètres!$A$1:$I$89,5,0)</f>
        <v>250.22399999999999</v>
      </c>
      <c r="EL193" s="13">
        <f t="shared" si="179"/>
        <v>60.633904580527918</v>
      </c>
      <c r="EM193" s="20">
        <f t="shared" si="180"/>
        <v>541.41085047775289</v>
      </c>
      <c r="EN193" s="59">
        <f t="shared" si="128"/>
        <v>834.74418381108626</v>
      </c>
      <c r="EO193" s="59">
        <f ca="1">AVERAGE(OFFSET($EN$3,0,0,'Données projet'!$E$15+1,1))-AVERAGE(OFFSET($H$3,0,0,'Données projet'!$E$15+1,1))</f>
        <v>269.77739619445515</v>
      </c>
      <c r="EP193" s="59">
        <f t="shared" si="154"/>
        <v>347.56964743629885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5.8343785310334937</v>
      </c>
      <c r="EW193" s="21">
        <f>EXP(-LN(2)/25)*EW192+(1-EXP(-LN(2)/25))/(LN(2)/25)*Calculateur!ER193*Calculateur!ET193*VLOOKUP('Données projet'!$B$15,Paramètres!$A$1:$I$89,3,0)*0.475*44/12</f>
        <v>1.0863684390919892</v>
      </c>
      <c r="EX193" s="21">
        <f>EXP(-LN(2)/2)*EX192+(1-EXP(-LN(2)/2))/(LN(2)/2)*ER193*EU193*VLOOKUP('Données projet'!$B$15,Paramètres!$A$1:$I$89,3,0)*0.475*44/12</f>
        <v>2.0545798281407048E-26</v>
      </c>
      <c r="EY193" s="22">
        <f t="shared" si="181"/>
        <v>6.9207469701254833</v>
      </c>
      <c r="EZ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367.99999999999972</v>
      </c>
      <c r="FF193" s="17">
        <f>FE193*VLOOKUP('Données projet'!$B$16,Paramètres!$A$1:$I$89,3,0)*VLOOKUP('Données projet'!$B$16,Paramètres!$A$1:$I$89,5,0)</f>
        <v>292.78079999999977</v>
      </c>
      <c r="FG193" s="13">
        <f t="shared" si="182"/>
        <v>69.660903052386217</v>
      </c>
      <c r="FH193" s="20">
        <f t="shared" si="183"/>
        <v>631.25263281623893</v>
      </c>
      <c r="FI193" s="59">
        <f t="shared" si="131"/>
        <v>924.58596614957219</v>
      </c>
      <c r="FJ193" s="59">
        <f ca="1">AVERAGE(OFFSET($FI$3,0,0,'Données projet'!$E$16+1,1))-AVERAGE(OFFSET($H$3,0,0,'Données projet'!$E$16+1,1))</f>
        <v>331.52724290297675</v>
      </c>
      <c r="FK193" s="59">
        <f t="shared" si="156"/>
        <v>322.79102610158054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6.9777731317925689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6.9777731317925689</v>
      </c>
      <c r="FU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852.00000000000011</v>
      </c>
      <c r="GA193" s="17">
        <f>FZ193*VLOOKUP('Données projet'!$B$17,Paramètres!$A$1:$I$89,3,0)*VLOOKUP('Données projet'!$B$17,Paramètres!$A$1:$I$89,5,0)</f>
        <v>420.88800000000009</v>
      </c>
      <c r="GB193" s="13">
        <f t="shared" si="185"/>
        <v>95.998759891259041</v>
      </c>
      <c r="GC193" s="20">
        <f t="shared" si="186"/>
        <v>900.24444014394294</v>
      </c>
      <c r="GD193" s="59">
        <f t="shared" si="134"/>
        <v>1193.5777734772762</v>
      </c>
      <c r="GE193" s="59">
        <f ca="1">AVERAGE(OFFSET($GD$3,0,0,'Données projet'!$E$17+1,1))-AVERAGE(OFFSET($H$3,0,0,'Données projet'!$E$17+1,1))</f>
        <v>434.08297999735811</v>
      </c>
      <c r="GF193" s="59">
        <f t="shared" si="158"/>
        <v>371.04090283546122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18.003078063786496</v>
      </c>
      <c r="GM193" s="21">
        <f>EXP(-LN(2)/25)*GM192+(1-EXP(-LN(2)/25))/(LN(2)/25)*Calculateur!GH193*Calculateur!GJ193*VLOOKUP('Données projet'!$B$17,Paramètres!$A$1:$I$89,3,0)*0.475*44/12</f>
        <v>0.6123121002249684</v>
      </c>
      <c r="GN193" s="21">
        <f>EXP(-LN(2)/2)*GN192+(1-EXP(-LN(2)/2))/(LN(2)/2)*GH193*GK193*VLOOKUP('Données projet'!$B$17,Paramètres!$A$1:$I$89,3,0)*0.475*44/12</f>
        <v>6.2170063688553904E-25</v>
      </c>
      <c r="GO193" s="21">
        <f t="shared" si="187"/>
        <v>18.615390164011465</v>
      </c>
      <c r="GP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614.99999999999989</v>
      </c>
      <c r="GV193" s="17">
        <f>GU193*VLOOKUP('Données projet'!$B$18,Paramètres!$A$1:$I$89,3,0)*VLOOKUP('Données projet'!$B$18,Paramètres!$A$1:$I$89,5,0)</f>
        <v>351.78</v>
      </c>
      <c r="GW193" s="13">
        <f t="shared" si="188"/>
        <v>81.92892344316067</v>
      </c>
      <c r="GX193" s="20">
        <f t="shared" si="189"/>
        <v>755.37637499683808</v>
      </c>
      <c r="GY193" s="59">
        <f t="shared" si="137"/>
        <v>1048.7097083301715</v>
      </c>
      <c r="GZ193" s="59">
        <f ca="1">AVERAGE(OFFSET($GY$3,0,0,'Données projet'!$E$18+1,1))-AVERAGE(OFFSET($H$3,0,0,'Données projet'!$E$18+1,1))</f>
        <v>362.57172983134313</v>
      </c>
      <c r="HA193" s="59">
        <f t="shared" si="160"/>
        <v>232.03250917542471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14.631648249704174</v>
      </c>
      <c r="HH193" s="21">
        <f>EXP(-LN(2)/25)*HH192+(1-EXP(-LN(2)/25))/(LN(2)/25)*Calculateur!HC193*Calculateur!HE193*VLOOKUP('Données projet'!$B$18,Paramètres!$A$1:$I$89,3,0)*0.475*44/12</f>
        <v>0.36914509391553119</v>
      </c>
      <c r="HI193" s="21">
        <f>EXP(-LN(2)/2)*HI192+(1-EXP(-LN(2)/2))/(LN(2)/2)*HC193*HF193*VLOOKUP('Données projet'!$B$18,Paramètres!$A$1:$I$89,3,0)*0.475*44/12</f>
        <v>6.1941777040982701E-25</v>
      </c>
      <c r="HJ193" s="22">
        <f t="shared" si="190"/>
        <v>15.000793343619705</v>
      </c>
    </row>
    <row r="194" spans="1:218" x14ac:dyDescent="0.3">
      <c r="A194" s="10">
        <f t="shared" si="161"/>
        <v>191</v>
      </c>
      <c r="B194" s="71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5">
        <f t="shared" si="110"/>
        <v>496.91139151288291</v>
      </c>
      <c r="I194" s="6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266.99999999999983</v>
      </c>
      <c r="O194" s="13">
        <f>N194*VLOOKUP('Données projet'!$B$9,Paramètres!$A$1:$I$89,3,0)*VLOOKUP('Données projet'!$B$9,Paramètres!$A$1:$I$89,5,0)</f>
        <v>212.42519999999985</v>
      </c>
      <c r="P194" s="13">
        <f t="shared" si="141"/>
        <v>52.465198231787184</v>
      </c>
      <c r="Q194" s="20">
        <f t="shared" si="162"/>
        <v>461.35077692036231</v>
      </c>
      <c r="R194" s="59">
        <f t="shared" si="109"/>
        <v>754.68411025369562</v>
      </c>
      <c r="S194" s="59">
        <f ca="1">AVERAGE(OFFSET($R$3,0,0,'Données projet'!$E$9+1,1))-AVERAGE(OFFSET($H$3,0,0,'Données projet'!$E$9+1,1))</f>
        <v>225.2323446080772</v>
      </c>
      <c r="T194" s="59">
        <f t="shared" si="142"/>
        <v>222.29030402759292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4.8157314401785403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4.8157314401785403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732.99999999999966</v>
      </c>
      <c r="AJ194" s="13">
        <f>AI194*VLOOKUP('Données projet'!$B$10,Paramètres!$A$1:$I$89,3,0)*VLOOKUP('Données projet'!$B$10,Paramètres!$A$1:$I$89,5,0)</f>
        <v>362.1019999999998</v>
      </c>
      <c r="AK194" s="13">
        <f t="shared" si="164"/>
        <v>84.049487364732272</v>
      </c>
      <c r="AL194" s="20">
        <f t="shared" si="165"/>
        <v>777.04717382690842</v>
      </c>
      <c r="AM194" s="59">
        <f t="shared" si="113"/>
        <v>1070.3805071602417</v>
      </c>
      <c r="AN194" s="59">
        <f ca="1">AVERAGE(OFFSET($AM$3,0,0,'Données projet'!$E$10+1,1))-AVERAGE(OFFSET($H$3,0,0,'Données projet'!$E$10+1,1))</f>
        <v>360.05819346986135</v>
      </c>
      <c r="AO194" s="59">
        <f t="shared" si="144"/>
        <v>300.47468388351081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14.42140291543593</v>
      </c>
      <c r="AV194" s="21">
        <f>EXP(-LN(2)/25)*AV193+(1-EXP(-LN(2)/25))/(LN(2)/25)*Calculateur!AQ194*Calculateur!AS194*VLOOKUP('Données projet'!$B$10,Paramètres!$A$1:$I$89,3,0)*0.475*44/12</f>
        <v>0.4872832311634539</v>
      </c>
      <c r="AW194" s="21">
        <f>EXP(-LN(2)/2)*AW193+(1-EXP(-LN(2)/2))/(LN(2)/2)*AQ194*AT194*VLOOKUP('Données projet'!$B$10,Paramètres!$A$1:$I$89,3,0)*0.475*44/12</f>
        <v>3.0670376944866978E-26</v>
      </c>
      <c r="AX194" s="21">
        <f t="shared" si="166"/>
        <v>14.908686146599385</v>
      </c>
      <c r="AY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465.00000000000006</v>
      </c>
      <c r="BE194" s="13">
        <f>BD194*VLOOKUP('Données projet'!$B$11,Paramètres!$A$1:$I$89,3,0)*VLOOKUP('Données projet'!$B$11,Paramètres!$A$1:$I$89,5,0)</f>
        <v>265.98</v>
      </c>
      <c r="BF194" s="13">
        <f t="shared" si="167"/>
        <v>63.995380422211589</v>
      </c>
      <c r="BG194" s="20">
        <f t="shared" si="168"/>
        <v>574.70712090201857</v>
      </c>
      <c r="BH194" s="59">
        <f t="shared" si="116"/>
        <v>868.04045423535194</v>
      </c>
      <c r="BI194" s="59">
        <f ca="1">AVERAGE(OFFSET($BH$3,0,0,'Données projet'!$E$11+1,1))-AVERAGE(OFFSET($H$3,0,0,'Données projet'!$E$11+1,1))</f>
        <v>250.90038883668348</v>
      </c>
      <c r="BJ194" s="59">
        <f t="shared" si="146"/>
        <v>141.96132114475608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11.045134886675378</v>
      </c>
      <c r="BQ194" s="21">
        <f>EXP(-LN(2)/25)*BQ193+(1-EXP(-LN(2)/25))/(LN(2)/25)*Calculateur!BL194*Calculateur!BN194*VLOOKUP('Données projet'!$B$11,Paramètres!$A$1:$I$89,3,0)*0.475*44/12</f>
        <v>0.13710661638312557</v>
      </c>
      <c r="BR194" s="21">
        <f>EXP(-LN(2)/2)*BR193+(1-EXP(-LN(2)/2))/(LN(2)/2)*BL194*BO194*VLOOKUP('Données projet'!$B$11,Paramètres!$A$1:$I$89,3,0)*0.475*44/12</f>
        <v>2.2098147484891223E-24</v>
      </c>
      <c r="BS194" s="22">
        <f t="shared" si="169"/>
        <v>11.182241503058503</v>
      </c>
      <c r="BT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319</v>
      </c>
      <c r="BZ194" s="13">
        <f>BY194*VLOOKUP('Données projet'!$B$12,Paramètres!$A$1:$I$89,3,0)*VLOOKUP('Données projet'!$B$12,Paramètres!$A$1:$I$89,5,0)</f>
        <v>253.79640000000001</v>
      </c>
      <c r="CA194" s="13">
        <f t="shared" si="170"/>
        <v>61.39816832228076</v>
      </c>
      <c r="CB194" s="20">
        <f t="shared" si="171"/>
        <v>548.96387316130563</v>
      </c>
      <c r="CC194" s="59">
        <f t="shared" si="119"/>
        <v>842.29720649463889</v>
      </c>
      <c r="CD194" s="59">
        <f ca="1">AVERAGE(OFFSET($CC$3,0,0,'Données projet'!$E$12+1,1))-AVERAGE(OFFSET($H$3,0,0,'Données projet'!$E$12+1,1))</f>
        <v>279.49721661620544</v>
      </c>
      <c r="CE194" s="59">
        <f t="shared" si="148"/>
        <v>275.18739333988754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5.90142831360866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5.90142831360866</v>
      </c>
      <c r="CO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789</v>
      </c>
      <c r="CU194" s="17">
        <f>CT194*VLOOKUP('Données projet'!$B$13,Paramètres!$A$1:$I$89,3,0)*VLOOKUP('Données projet'!$B$13,Paramètres!$A$1:$I$89,5,0)</f>
        <v>389.76600000000002</v>
      </c>
      <c r="CV194" s="13">
        <f t="shared" si="173"/>
        <v>89.698759503620408</v>
      </c>
      <c r="CW194" s="20">
        <f t="shared" si="174"/>
        <v>835.06778946880547</v>
      </c>
      <c r="CX194" s="59">
        <f t="shared" si="122"/>
        <v>1128.4011228021388</v>
      </c>
      <c r="CY194" s="59">
        <f ca="1">AVERAGE(OFFSET($CX$3,0,0,'Données projet'!$E$13+1,1))-AVERAGE(OFFSET($H$3,0,0,'Données projet'!$E$13+1,1))</f>
        <v>396.27049617044378</v>
      </c>
      <c r="CZ194" s="59">
        <f t="shared" si="150"/>
        <v>335.2680289568774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15.99760580793415</v>
      </c>
      <c r="DG194" s="21">
        <f>EXP(-LN(2)/25)*DG193+(1-EXP(-LN(2)/25))/(LN(2)/25)*Calculateur!DB194*Calculateur!DD194*VLOOKUP('Données projet'!$B$13,Paramètres!$A$1:$I$89,3,0)*0.475*44/12</f>
        <v>0.54142581240383847</v>
      </c>
      <c r="DH194" s="21">
        <f>EXP(-LN(2)/2)*DH193+(1-EXP(-LN(2)/2))/(LN(2)/2)*DB194*DE194*VLOOKUP('Données projet'!$B$13,Paramètres!$A$1:$I$89,3,0)*0.475*44/12</f>
        <v>2.2491609759569132E-25</v>
      </c>
      <c r="DI194" s="22">
        <f t="shared" si="175"/>
        <v>16.539031620337987</v>
      </c>
      <c r="DJ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541.99999999999989</v>
      </c>
      <c r="DP194" s="17">
        <f>DO194*VLOOKUP('Données projet'!$B$14,Paramètres!$A$1:$I$89,3,0)*VLOOKUP('Données projet'!$B$14,Paramètres!$A$1:$I$89,5,0)</f>
        <v>310.02399999999994</v>
      </c>
      <c r="DQ194" s="13">
        <f t="shared" si="176"/>
        <v>73.27384230442388</v>
      </c>
      <c r="DR194" s="20">
        <f t="shared" si="177"/>
        <v>667.57707534687154</v>
      </c>
      <c r="DS194" s="59">
        <f t="shared" si="125"/>
        <v>960.91040868020491</v>
      </c>
      <c r="DT194" s="59">
        <f ca="1">AVERAGE(OFFSET($DS$3,0,0,'Données projet'!$E$14+1,1))-AVERAGE(OFFSET($H$3,0,0,'Données projet'!$E$14+1,1))</f>
        <v>307.43900954374504</v>
      </c>
      <c r="DU194" s="59">
        <f t="shared" si="152"/>
        <v>185.25270859048999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12.720400069561196</v>
      </c>
      <c r="EB194" s="21">
        <f>EXP(-LN(2)/25)*EB193+(1-EXP(-LN(2)/25))/(LN(2)/25)*Calculateur!DW194*Calculateur!DY194*VLOOKUP('Données projet'!$B$14,Paramètres!$A$1:$I$89,3,0)*0.475*44/12</f>
        <v>0.30775783020849756</v>
      </c>
      <c r="EC194" s="21">
        <f>EXP(-LN(2)/2)*EC193+(1-EXP(-LN(2)/2))/(LN(2)/2)*DW194*DZ194*VLOOKUP('Données projet'!$B$14,Paramètres!$A$1:$I$89,3,0)*0.475*44/12</f>
        <v>2.1307840824854958E-25</v>
      </c>
      <c r="ED194" s="22">
        <f t="shared" si="178"/>
        <v>13.028157899769694</v>
      </c>
      <c r="EE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401</v>
      </c>
      <c r="EK194" s="17">
        <f>EJ194*VLOOKUP('Données projet'!$B$15,Paramètres!$A$1:$I$89,3,0)*VLOOKUP('Données projet'!$B$15,Paramètres!$A$1:$I$89,5,0)</f>
        <v>250.22399999999999</v>
      </c>
      <c r="EL194" s="13">
        <f t="shared" si="179"/>
        <v>60.633904580527918</v>
      </c>
      <c r="EM194" s="20">
        <f t="shared" si="180"/>
        <v>541.41085047775289</v>
      </c>
      <c r="EN194" s="59">
        <f t="shared" si="128"/>
        <v>834.74418381108626</v>
      </c>
      <c r="EO194" s="59">
        <f ca="1">AVERAGE(OFFSET($EN$3,0,0,'Données projet'!$E$15+1,1))-AVERAGE(OFFSET($H$3,0,0,'Données projet'!$E$15+1,1))</f>
        <v>269.77739619445515</v>
      </c>
      <c r="EP194" s="59">
        <f t="shared" si="154"/>
        <v>347.56964743629885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5.7199699266594459</v>
      </c>
      <c r="EW194" s="21">
        <f>EXP(-LN(2)/25)*EW193+(1-EXP(-LN(2)/25))/(LN(2)/25)*Calculateur!ER194*Calculateur!ET194*VLOOKUP('Données projet'!$B$15,Paramètres!$A$1:$I$89,3,0)*0.475*44/12</f>
        <v>1.0566616369953854</v>
      </c>
      <c r="EX194" s="21">
        <f>EXP(-LN(2)/2)*EX193+(1-EXP(-LN(2)/2))/(LN(2)/2)*ER194*EU194*VLOOKUP('Données projet'!$B$15,Paramètres!$A$1:$I$89,3,0)*0.475*44/12</f>
        <v>1.4528073289673837E-26</v>
      </c>
      <c r="EY194" s="22">
        <f t="shared" si="181"/>
        <v>6.7766315636548313</v>
      </c>
      <c r="EZ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367.99999999999972</v>
      </c>
      <c r="FF194" s="17">
        <f>FE194*VLOOKUP('Données projet'!$B$16,Paramètres!$A$1:$I$89,3,0)*VLOOKUP('Données projet'!$B$16,Paramètres!$A$1:$I$89,5,0)</f>
        <v>292.78079999999977</v>
      </c>
      <c r="FG194" s="13">
        <f t="shared" si="182"/>
        <v>69.660903052386217</v>
      </c>
      <c r="FH194" s="20">
        <f t="shared" si="183"/>
        <v>631.25263281623893</v>
      </c>
      <c r="FI194" s="59">
        <f t="shared" si="131"/>
        <v>924.58596614957219</v>
      </c>
      <c r="FJ194" s="59">
        <f ca="1">AVERAGE(OFFSET($FI$3,0,0,'Données projet'!$E$16+1,1))-AVERAGE(OFFSET($H$3,0,0,'Données projet'!$E$16+1,1))</f>
        <v>331.52724290297675</v>
      </c>
      <c r="FK194" s="59">
        <f t="shared" si="156"/>
        <v>322.79102610158054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6.8409432566994797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6.8409432566994797</v>
      </c>
      <c r="FU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852.00000000000011</v>
      </c>
      <c r="GA194" s="17">
        <f>FZ194*VLOOKUP('Données projet'!$B$17,Paramètres!$A$1:$I$89,3,0)*VLOOKUP('Données projet'!$B$17,Paramètres!$A$1:$I$89,5,0)</f>
        <v>420.88800000000009</v>
      </c>
      <c r="GB194" s="13">
        <f t="shared" si="185"/>
        <v>95.998759891259041</v>
      </c>
      <c r="GC194" s="20">
        <f t="shared" si="186"/>
        <v>900.24444014394294</v>
      </c>
      <c r="GD194" s="59">
        <f t="shared" si="134"/>
        <v>1193.5777734772762</v>
      </c>
      <c r="GE194" s="59">
        <f ca="1">AVERAGE(OFFSET($GD$3,0,0,'Données projet'!$E$17+1,1))-AVERAGE(OFFSET($H$3,0,0,'Données projet'!$E$17+1,1))</f>
        <v>434.08297999735811</v>
      </c>
      <c r="GF194" s="59">
        <f t="shared" si="158"/>
        <v>371.04090283546122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17.650048683748999</v>
      </c>
      <c r="GM194" s="21">
        <f>EXP(-LN(2)/25)*GM193+(1-EXP(-LN(2)/25))/(LN(2)/25)*Calculateur!GH194*Calculateur!GJ194*VLOOKUP('Données projet'!$B$17,Paramètres!$A$1:$I$89,3,0)*0.475*44/12</f>
        <v>0.59556839364422276</v>
      </c>
      <c r="GN194" s="21">
        <f>EXP(-LN(2)/2)*GN193+(1-EXP(-LN(2)/2))/(LN(2)/2)*GH194*GK194*VLOOKUP('Données projet'!$B$17,Paramètres!$A$1:$I$89,3,0)*0.475*44/12</f>
        <v>4.3960873620976008E-25</v>
      </c>
      <c r="GO194" s="21">
        <f t="shared" si="187"/>
        <v>18.24561707739322</v>
      </c>
      <c r="GP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614.99999999999989</v>
      </c>
      <c r="GV194" s="17">
        <f>GU194*VLOOKUP('Données projet'!$B$18,Paramètres!$A$1:$I$89,3,0)*VLOOKUP('Données projet'!$B$18,Paramètres!$A$1:$I$89,5,0)</f>
        <v>351.78</v>
      </c>
      <c r="GW194" s="13">
        <f t="shared" si="188"/>
        <v>81.92892344316067</v>
      </c>
      <c r="GX194" s="20">
        <f t="shared" si="189"/>
        <v>755.37637499683808</v>
      </c>
      <c r="GY194" s="59">
        <f t="shared" si="137"/>
        <v>1048.7097083301715</v>
      </c>
      <c r="GZ194" s="59">
        <f ca="1">AVERAGE(OFFSET($GY$3,0,0,'Données projet'!$E$18+1,1))-AVERAGE(OFFSET($H$3,0,0,'Données projet'!$E$18+1,1))</f>
        <v>362.57172983134313</v>
      </c>
      <c r="HA194" s="59">
        <f t="shared" si="160"/>
        <v>232.03250917542471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14.344730551951693</v>
      </c>
      <c r="HH194" s="21">
        <f>EXP(-LN(2)/25)*HH193+(1-EXP(-LN(2)/25))/(LN(2)/25)*Calculateur!HC194*Calculateur!HE194*VLOOKUP('Données projet'!$B$18,Paramètres!$A$1:$I$89,3,0)*0.475*44/12</f>
        <v>0.35905080190991417</v>
      </c>
      <c r="HI194" s="21">
        <f>EXP(-LN(2)/2)*HI193+(1-EXP(-LN(2)/2))/(LN(2)/2)*HC194*HF194*VLOOKUP('Données projet'!$B$18,Paramètres!$A$1:$I$89,3,0)*0.475*44/12</f>
        <v>4.3799450584424067E-25</v>
      </c>
      <c r="HJ194" s="22">
        <f t="shared" si="190"/>
        <v>14.703781353861608</v>
      </c>
    </row>
    <row r="195" spans="1:218" x14ac:dyDescent="0.3">
      <c r="A195" s="10">
        <f t="shared" si="161"/>
        <v>192</v>
      </c>
      <c r="B195" s="71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5">
        <f t="shared" si="110"/>
        <v>497.95063168068179</v>
      </c>
      <c r="I195" s="6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266.99999999999983</v>
      </c>
      <c r="O195" s="13">
        <f>N195*VLOOKUP('Données projet'!$B$9,Paramètres!$A$1:$I$89,3,0)*VLOOKUP('Données projet'!$B$9,Paramètres!$A$1:$I$89,5,0)</f>
        <v>212.42519999999985</v>
      </c>
      <c r="P195" s="13">
        <f t="shared" si="141"/>
        <v>52.465198231787184</v>
      </c>
      <c r="Q195" s="20">
        <f t="shared" si="162"/>
        <v>461.35077692036231</v>
      </c>
      <c r="R195" s="59">
        <f t="shared" ref="R195:R203" si="191">Q195+(I195+J195)*44/12</f>
        <v>754.68411025369562</v>
      </c>
      <c r="S195" s="59">
        <f ca="1">AVERAGE(OFFSET($R$3,0,0,'Données projet'!$E$9+1,1))-AVERAGE(OFFSET($H$3,0,0,'Données projet'!$E$9+1,1))</f>
        <v>225.2323446080772</v>
      </c>
      <c r="T195" s="59">
        <f t="shared" si="142"/>
        <v>222.29030402759292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4.7212978839427828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4.7212978839427828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732.99999999999966</v>
      </c>
      <c r="AJ195" s="13">
        <f>AI195*VLOOKUP('Données projet'!$B$10,Paramètres!$A$1:$I$89,3,0)*VLOOKUP('Données projet'!$B$10,Paramètres!$A$1:$I$89,5,0)</f>
        <v>362.1019999999998</v>
      </c>
      <c r="AK195" s="13">
        <f t="shared" si="164"/>
        <v>84.049487364732272</v>
      </c>
      <c r="AL195" s="20">
        <f t="shared" si="165"/>
        <v>777.04717382690842</v>
      </c>
      <c r="AM195" s="59">
        <f t="shared" si="113"/>
        <v>1070.3805071602417</v>
      </c>
      <c r="AN195" s="59">
        <f ca="1">AVERAGE(OFFSET($AM$3,0,0,'Données projet'!$E$10+1,1))-AVERAGE(OFFSET($H$3,0,0,'Données projet'!$E$10+1,1))</f>
        <v>360.05819346986135</v>
      </c>
      <c r="AO195" s="59">
        <f t="shared" si="144"/>
        <v>300.47468388351081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14.138608000451459</v>
      </c>
      <c r="AV195" s="21">
        <f>EXP(-LN(2)/25)*AV194+(1-EXP(-LN(2)/25))/(LN(2)/25)*Calculateur!AQ195*Calculateur!AS195*VLOOKUP('Données projet'!$B$10,Paramètres!$A$1:$I$89,3,0)*0.475*44/12</f>
        <v>0.47395844558217781</v>
      </c>
      <c r="AW195" s="21">
        <f>EXP(-LN(2)/2)*AW194+(1-EXP(-LN(2)/2))/(LN(2)/2)*AQ195*AT195*VLOOKUP('Données projet'!$B$10,Paramètres!$A$1:$I$89,3,0)*0.475*44/12</f>
        <v>2.1687231519262987E-26</v>
      </c>
      <c r="AX195" s="21">
        <f t="shared" si="166"/>
        <v>14.612566446033636</v>
      </c>
      <c r="AY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465.00000000000006</v>
      </c>
      <c r="BE195" s="13">
        <f>BD195*VLOOKUP('Données projet'!$B$11,Paramètres!$A$1:$I$89,3,0)*VLOOKUP('Données projet'!$B$11,Paramètres!$A$1:$I$89,5,0)</f>
        <v>265.98</v>
      </c>
      <c r="BF195" s="13">
        <f t="shared" si="167"/>
        <v>63.995380422211589</v>
      </c>
      <c r="BG195" s="20">
        <f t="shared" si="168"/>
        <v>574.70712090201857</v>
      </c>
      <c r="BH195" s="59">
        <f t="shared" si="116"/>
        <v>868.04045423535194</v>
      </c>
      <c r="BI195" s="59">
        <f ca="1">AVERAGE(OFFSET($BH$3,0,0,'Données projet'!$E$11+1,1))-AVERAGE(OFFSET($H$3,0,0,'Données projet'!$E$11+1,1))</f>
        <v>250.90038883668348</v>
      </c>
      <c r="BJ195" s="59">
        <f t="shared" si="146"/>
        <v>141.96132114475608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10.828546528414744</v>
      </c>
      <c r="BQ195" s="21">
        <f>EXP(-LN(2)/25)*BQ194+(1-EXP(-LN(2)/25))/(LN(2)/25)*Calculateur!BL195*Calculateur!BN195*VLOOKUP('Données projet'!$B$11,Paramètres!$A$1:$I$89,3,0)*0.475*44/12</f>
        <v>0.13335742874800541</v>
      </c>
      <c r="BR195" s="21">
        <f>EXP(-LN(2)/2)*BR194+(1-EXP(-LN(2)/2))/(LN(2)/2)*BL195*BO195*VLOOKUP('Données projet'!$B$11,Paramètres!$A$1:$I$89,3,0)*0.475*44/12</f>
        <v>1.5625749938227034E-24</v>
      </c>
      <c r="BS195" s="22">
        <f t="shared" si="169"/>
        <v>10.96190395716275</v>
      </c>
      <c r="BT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319</v>
      </c>
      <c r="BZ195" s="13">
        <f>BY195*VLOOKUP('Données projet'!$B$12,Paramètres!$A$1:$I$89,3,0)*VLOOKUP('Données projet'!$B$12,Paramètres!$A$1:$I$89,5,0)</f>
        <v>253.79640000000001</v>
      </c>
      <c r="CA195" s="13">
        <f t="shared" si="170"/>
        <v>61.39816832228076</v>
      </c>
      <c r="CB195" s="20">
        <f t="shared" si="171"/>
        <v>548.96387316130563</v>
      </c>
      <c r="CC195" s="59">
        <f t="shared" si="119"/>
        <v>842.29720649463889</v>
      </c>
      <c r="CD195" s="59">
        <f ca="1">AVERAGE(OFFSET($CC$3,0,0,'Données projet'!$E$12+1,1))-AVERAGE(OFFSET($H$3,0,0,'Données projet'!$E$12+1,1))</f>
        <v>279.49721661620544</v>
      </c>
      <c r="CE195" s="59">
        <f t="shared" si="148"/>
        <v>275.18739333988754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5.7857049038946426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5.7857049038946426</v>
      </c>
      <c r="CO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789</v>
      </c>
      <c r="CU195" s="17">
        <f>CT195*VLOOKUP('Données projet'!$B$13,Paramètres!$A$1:$I$89,3,0)*VLOOKUP('Données projet'!$B$13,Paramètres!$A$1:$I$89,5,0)</f>
        <v>389.76600000000002</v>
      </c>
      <c r="CV195" s="13">
        <f t="shared" si="173"/>
        <v>89.698759503620408</v>
      </c>
      <c r="CW195" s="20">
        <f t="shared" si="174"/>
        <v>835.06778946880547</v>
      </c>
      <c r="CX195" s="59">
        <f t="shared" si="122"/>
        <v>1128.4011228021388</v>
      </c>
      <c r="CY195" s="59">
        <f ca="1">AVERAGE(OFFSET($CX$3,0,0,'Données projet'!$E$13+1,1))-AVERAGE(OFFSET($H$3,0,0,'Données projet'!$E$13+1,1))</f>
        <v>396.27049617044378</v>
      </c>
      <c r="CZ195" s="59">
        <f t="shared" si="150"/>
        <v>335.2680289568774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15.683902515616623</v>
      </c>
      <c r="DG195" s="21">
        <f>EXP(-LN(2)/25)*DG194+(1-EXP(-LN(2)/25))/(LN(2)/25)*Calculateur!DB195*Calculateur!DD195*VLOOKUP('Données projet'!$B$13,Paramètres!$A$1:$I$89,3,0)*0.475*44/12</f>
        <v>0.52662049509130948</v>
      </c>
      <c r="DH195" s="21">
        <f>EXP(-LN(2)/2)*DH194+(1-EXP(-LN(2)/2))/(LN(2)/2)*DB195*DE195*VLOOKUP('Données projet'!$B$13,Paramètres!$A$1:$I$89,3,0)*0.475*44/12</f>
        <v>1.5903969780792867E-25</v>
      </c>
      <c r="DI195" s="22">
        <f t="shared" si="175"/>
        <v>16.210523010707931</v>
      </c>
      <c r="DJ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541.99999999999989</v>
      </c>
      <c r="DP195" s="17">
        <f>DO195*VLOOKUP('Données projet'!$B$14,Paramètres!$A$1:$I$89,3,0)*VLOOKUP('Données projet'!$B$14,Paramètres!$A$1:$I$89,5,0)</f>
        <v>310.02399999999994</v>
      </c>
      <c r="DQ195" s="13">
        <f t="shared" si="176"/>
        <v>73.27384230442388</v>
      </c>
      <c r="DR195" s="20">
        <f t="shared" si="177"/>
        <v>667.57707534687154</v>
      </c>
      <c r="DS195" s="59">
        <f t="shared" si="125"/>
        <v>960.91040868020491</v>
      </c>
      <c r="DT195" s="59">
        <f ca="1">AVERAGE(OFFSET($DS$3,0,0,'Données projet'!$E$14+1,1))-AVERAGE(OFFSET($H$3,0,0,'Données projet'!$E$14+1,1))</f>
        <v>307.43900954374504</v>
      </c>
      <c r="DU195" s="59">
        <f t="shared" si="152"/>
        <v>185.25270859048999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12.470960782875038</v>
      </c>
      <c r="EB195" s="21">
        <f>EXP(-LN(2)/25)*EB194+(1-EXP(-LN(2)/25))/(LN(2)/25)*Calculateur!DW195*Calculateur!DY195*VLOOKUP('Données projet'!$B$14,Paramètres!$A$1:$I$89,3,0)*0.475*44/12</f>
        <v>0.2993421761571653</v>
      </c>
      <c r="EC195" s="21">
        <f>EXP(-LN(2)/2)*EC194+(1-EXP(-LN(2)/2))/(LN(2)/2)*DW195*DZ195*VLOOKUP('Données projet'!$B$14,Paramètres!$A$1:$I$89,3,0)*0.475*44/12</f>
        <v>1.5066918739698499E-25</v>
      </c>
      <c r="ED195" s="22">
        <f t="shared" si="178"/>
        <v>12.770302959032202</v>
      </c>
      <c r="EE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401</v>
      </c>
      <c r="EK195" s="17">
        <f>EJ195*VLOOKUP('Données projet'!$B$15,Paramètres!$A$1:$I$89,3,0)*VLOOKUP('Données projet'!$B$15,Paramètres!$A$1:$I$89,5,0)</f>
        <v>250.22399999999999</v>
      </c>
      <c r="EL195" s="13">
        <f t="shared" si="179"/>
        <v>60.633904580527918</v>
      </c>
      <c r="EM195" s="20">
        <f t="shared" si="180"/>
        <v>541.41085047775289</v>
      </c>
      <c r="EN195" s="59">
        <f t="shared" si="128"/>
        <v>834.74418381108626</v>
      </c>
      <c r="EO195" s="59">
        <f ca="1">AVERAGE(OFFSET($EN$3,0,0,'Données projet'!$E$15+1,1))-AVERAGE(OFFSET($H$3,0,0,'Données projet'!$E$15+1,1))</f>
        <v>269.77739619445515</v>
      </c>
      <c r="EP195" s="59">
        <f t="shared" si="154"/>
        <v>347.56964743629885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5.6078048052348155</v>
      </c>
      <c r="EW195" s="21">
        <f>EXP(-LN(2)/25)*EW194+(1-EXP(-LN(2)/25))/(LN(2)/25)*Calculateur!ER195*Calculateur!ET195*VLOOKUP('Données projet'!$B$15,Paramètres!$A$1:$I$89,3,0)*0.475*44/12</f>
        <v>1.0277671689643262</v>
      </c>
      <c r="EX195" s="21">
        <f>EXP(-LN(2)/2)*EX194+(1-EXP(-LN(2)/2))/(LN(2)/2)*ER195*EU195*VLOOKUP('Données projet'!$B$15,Paramètres!$A$1:$I$89,3,0)*0.475*44/12</f>
        <v>1.0272899140703524E-26</v>
      </c>
      <c r="EY195" s="22">
        <f t="shared" si="181"/>
        <v>6.6355719741991415</v>
      </c>
      <c r="EZ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367.99999999999972</v>
      </c>
      <c r="FF195" s="17">
        <f>FE195*VLOOKUP('Données projet'!$B$16,Paramètres!$A$1:$I$89,3,0)*VLOOKUP('Données projet'!$B$16,Paramètres!$A$1:$I$89,5,0)</f>
        <v>292.78079999999977</v>
      </c>
      <c r="FG195" s="13">
        <f t="shared" si="182"/>
        <v>69.660903052386217</v>
      </c>
      <c r="FH195" s="20">
        <f t="shared" si="183"/>
        <v>631.25263281623893</v>
      </c>
      <c r="FI195" s="59">
        <f t="shared" si="131"/>
        <v>924.58596614957219</v>
      </c>
      <c r="FJ195" s="59">
        <f ca="1">AVERAGE(OFFSET($FI$3,0,0,'Données projet'!$E$16+1,1))-AVERAGE(OFFSET($H$3,0,0,'Données projet'!$E$16+1,1))</f>
        <v>331.52724290297675</v>
      </c>
      <c r="FK195" s="59">
        <f t="shared" si="156"/>
        <v>322.79102610158054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6.7067965319989833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6.7067965319989833</v>
      </c>
      <c r="FU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852.00000000000011</v>
      </c>
      <c r="GA195" s="17">
        <f>FZ195*VLOOKUP('Données projet'!$B$17,Paramètres!$A$1:$I$89,3,0)*VLOOKUP('Données projet'!$B$17,Paramètres!$A$1:$I$89,5,0)</f>
        <v>420.88800000000009</v>
      </c>
      <c r="GB195" s="13">
        <f t="shared" si="185"/>
        <v>95.998759891259041</v>
      </c>
      <c r="GC195" s="20">
        <f t="shared" si="186"/>
        <v>900.24444014394294</v>
      </c>
      <c r="GD195" s="59">
        <f t="shared" si="134"/>
        <v>1193.5777734772762</v>
      </c>
      <c r="GE195" s="59">
        <f ca="1">AVERAGE(OFFSET($GD$3,0,0,'Données projet'!$E$17+1,1))-AVERAGE(OFFSET($H$3,0,0,'Données projet'!$E$17+1,1))</f>
        <v>434.08297999735811</v>
      </c>
      <c r="GF195" s="59">
        <f t="shared" si="158"/>
        <v>371.04090283546122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17.303941994527378</v>
      </c>
      <c r="GM195" s="21">
        <f>EXP(-LN(2)/25)*GM194+(1-EXP(-LN(2)/25))/(LN(2)/25)*Calculateur!GH195*Calculateur!GJ195*VLOOKUP('Données projet'!$B$17,Paramètres!$A$1:$I$89,3,0)*0.475*44/12</f>
        <v>0.57928254460044082</v>
      </c>
      <c r="GN195" s="21">
        <f>EXP(-LN(2)/2)*GN194+(1-EXP(-LN(2)/2))/(LN(2)/2)*GH195*GK195*VLOOKUP('Données projet'!$B$17,Paramètres!$A$1:$I$89,3,0)*0.475*44/12</f>
        <v>3.1085031844276952E-25</v>
      </c>
      <c r="GO195" s="21">
        <f t="shared" si="187"/>
        <v>17.88322453912782</v>
      </c>
      <c r="GP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614.99999999999989</v>
      </c>
      <c r="GV195" s="17">
        <f>GU195*VLOOKUP('Données projet'!$B$18,Paramètres!$A$1:$I$89,3,0)*VLOOKUP('Données projet'!$B$18,Paramètres!$A$1:$I$89,5,0)</f>
        <v>351.78</v>
      </c>
      <c r="GW195" s="13">
        <f t="shared" si="188"/>
        <v>81.92892344316067</v>
      </c>
      <c r="GX195" s="20">
        <f t="shared" si="189"/>
        <v>755.37637499683808</v>
      </c>
      <c r="GY195" s="59">
        <f t="shared" si="137"/>
        <v>1048.7097083301715</v>
      </c>
      <c r="GZ195" s="59">
        <f ca="1">AVERAGE(OFFSET($GY$3,0,0,'Données projet'!$E$18+1,1))-AVERAGE(OFFSET($H$3,0,0,'Données projet'!$E$18+1,1))</f>
        <v>362.57172983134313</v>
      </c>
      <c r="HA195" s="59">
        <f t="shared" si="160"/>
        <v>232.03250917542471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14.063439135249624</v>
      </c>
      <c r="HH195" s="21">
        <f>EXP(-LN(2)/25)*HH194+(1-EXP(-LN(2)/25))/(LN(2)/25)*Calculateur!HC195*Calculateur!HE195*VLOOKUP('Données projet'!$B$18,Paramètres!$A$1:$I$89,3,0)*0.475*44/12</f>
        <v>0.34923253885002653</v>
      </c>
      <c r="HI195" s="21">
        <f>EXP(-LN(2)/2)*HI194+(1-EXP(-LN(2)/2))/(LN(2)/2)*HC195*HF195*VLOOKUP('Données projet'!$B$18,Paramètres!$A$1:$I$89,3,0)*0.475*44/12</f>
        <v>3.0970888520491351E-25</v>
      </c>
      <c r="HJ195" s="22">
        <f t="shared" si="190"/>
        <v>14.41267167409965</v>
      </c>
    </row>
    <row r="196" spans="1:218" x14ac:dyDescent="0.3">
      <c r="A196" s="10">
        <f t="shared" si="161"/>
        <v>193</v>
      </c>
      <c r="B196" s="71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5">
        <f t="shared" ref="H196:H203" si="192">(B196+E196+F196)*44/12+(C196+D196)*0.475*44/12</f>
        <v>498.98974972645203</v>
      </c>
      <c r="I196" s="6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266.99999999999983</v>
      </c>
      <c r="O196" s="13">
        <f>N196*VLOOKUP('Données projet'!$B$9,Paramètres!$A$1:$I$89,3,0)*VLOOKUP('Données projet'!$B$9,Paramètres!$A$1:$I$89,5,0)</f>
        <v>212.42519999999985</v>
      </c>
      <c r="P196" s="13">
        <f t="shared" si="141"/>
        <v>52.465198231787184</v>
      </c>
      <c r="Q196" s="20">
        <f t="shared" si="162"/>
        <v>461.35077692036231</v>
      </c>
      <c r="R196" s="59">
        <f t="shared" si="191"/>
        <v>754.68411025369562</v>
      </c>
      <c r="S196" s="59">
        <f ca="1">AVERAGE(OFFSET($R$3,0,0,'Données projet'!$E$9+1,1))-AVERAGE(OFFSET($H$3,0,0,'Données projet'!$E$9+1,1))</f>
        <v>225.2323446080772</v>
      </c>
      <c r="T196" s="59">
        <f t="shared" si="142"/>
        <v>222.29030402759292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4.6287161121460265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4.6287161121460265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732.99999999999966</v>
      </c>
      <c r="AJ196" s="13">
        <f>AI196*VLOOKUP('Données projet'!$B$10,Paramètres!$A$1:$I$89,3,0)*VLOOKUP('Données projet'!$B$10,Paramètres!$A$1:$I$89,5,0)</f>
        <v>362.1019999999998</v>
      </c>
      <c r="AK196" s="13">
        <f t="shared" si="164"/>
        <v>84.049487364732272</v>
      </c>
      <c r="AL196" s="20">
        <f t="shared" si="165"/>
        <v>777.04717382690842</v>
      </c>
      <c r="AM196" s="59">
        <f t="shared" ref="AM196:AM203" si="193">AL196+(AD196+AE196)*44/12</f>
        <v>1070.3805071602417</v>
      </c>
      <c r="AN196" s="59">
        <f ca="1">AVERAGE(OFFSET($AM$3,0,0,'Données projet'!$E$10+1,1))-AVERAGE(OFFSET($H$3,0,0,'Données projet'!$E$10+1,1))</f>
        <v>360.05819346986135</v>
      </c>
      <c r="AO196" s="59">
        <f t="shared" si="144"/>
        <v>300.47468388351081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13.861358521261966</v>
      </c>
      <c r="AV196" s="21">
        <f>EXP(-LN(2)/25)*AV195+(1-EXP(-LN(2)/25))/(LN(2)/25)*Calculateur!AQ196*Calculateur!AS196*VLOOKUP('Données projet'!$B$10,Paramètres!$A$1:$I$89,3,0)*0.475*44/12</f>
        <v>0.46099802696334174</v>
      </c>
      <c r="AW196" s="21">
        <f>EXP(-LN(2)/2)*AW195+(1-EXP(-LN(2)/2))/(LN(2)/2)*AQ196*AT196*VLOOKUP('Données projet'!$B$10,Paramètres!$A$1:$I$89,3,0)*0.475*44/12</f>
        <v>1.5335188472433489E-26</v>
      </c>
      <c r="AX196" s="21">
        <f t="shared" si="166"/>
        <v>14.322356548225308</v>
      </c>
      <c r="AY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465.00000000000006</v>
      </c>
      <c r="BE196" s="13">
        <f>BD196*VLOOKUP('Données projet'!$B$11,Paramètres!$A$1:$I$89,3,0)*VLOOKUP('Données projet'!$B$11,Paramètres!$A$1:$I$89,5,0)</f>
        <v>265.98</v>
      </c>
      <c r="BF196" s="13">
        <f t="shared" si="167"/>
        <v>63.995380422211589</v>
      </c>
      <c r="BG196" s="20">
        <f t="shared" si="168"/>
        <v>574.70712090201857</v>
      </c>
      <c r="BH196" s="59">
        <f t="shared" ref="BH196:BH203" si="194">BG196+(AY196+AZ196)*44/12</f>
        <v>868.04045423535194</v>
      </c>
      <c r="BI196" s="59">
        <f ca="1">AVERAGE(OFFSET($BH$3,0,0,'Données projet'!$E$11+1,1))-AVERAGE(OFFSET($H$3,0,0,'Données projet'!$E$11+1,1))</f>
        <v>250.90038883668348</v>
      </c>
      <c r="BJ196" s="59">
        <f t="shared" si="146"/>
        <v>141.96132114475608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10.616205335753747</v>
      </c>
      <c r="BQ196" s="21">
        <f>EXP(-LN(2)/25)*BQ195+(1-EXP(-LN(2)/25))/(LN(2)/25)*Calculateur!BL196*Calculateur!BN196*VLOOKUP('Données projet'!$B$11,Paramètres!$A$1:$I$89,3,0)*0.475*44/12</f>
        <v>0.12971076284592881</v>
      </c>
      <c r="BR196" s="21">
        <f>EXP(-LN(2)/2)*BR195+(1-EXP(-LN(2)/2))/(LN(2)/2)*BL196*BO196*VLOOKUP('Données projet'!$B$11,Paramètres!$A$1:$I$89,3,0)*0.475*44/12</f>
        <v>1.1049073742445612E-24</v>
      </c>
      <c r="BS196" s="22">
        <f t="shared" si="169"/>
        <v>10.745916098599675</v>
      </c>
      <c r="BT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319</v>
      </c>
      <c r="BZ196" s="13">
        <f>BY196*VLOOKUP('Données projet'!$B$12,Paramètres!$A$1:$I$89,3,0)*VLOOKUP('Données projet'!$B$12,Paramètres!$A$1:$I$89,5,0)</f>
        <v>253.79640000000001</v>
      </c>
      <c r="CA196" s="13">
        <f t="shared" si="170"/>
        <v>61.39816832228076</v>
      </c>
      <c r="CB196" s="20">
        <f t="shared" si="171"/>
        <v>548.96387316130563</v>
      </c>
      <c r="CC196" s="59">
        <f t="shared" ref="CC196:CC203" si="195">CB196+(BT196+BU196)*44/12</f>
        <v>842.29720649463889</v>
      </c>
      <c r="CD196" s="59">
        <f ca="1">AVERAGE(OFFSET($CC$3,0,0,'Données projet'!$E$12+1,1))-AVERAGE(OFFSET($H$3,0,0,'Données projet'!$E$12+1,1))</f>
        <v>279.49721661620544</v>
      </c>
      <c r="CE196" s="59">
        <f t="shared" si="148"/>
        <v>275.18739333988754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5.6722507596608072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5.6722507596608072</v>
      </c>
      <c r="CO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789</v>
      </c>
      <c r="CU196" s="17">
        <f>CT196*VLOOKUP('Données projet'!$B$13,Paramètres!$A$1:$I$89,3,0)*VLOOKUP('Données projet'!$B$13,Paramètres!$A$1:$I$89,5,0)</f>
        <v>389.76600000000002</v>
      </c>
      <c r="CV196" s="13">
        <f t="shared" si="173"/>
        <v>89.698759503620408</v>
      </c>
      <c r="CW196" s="20">
        <f t="shared" si="174"/>
        <v>835.06778946880547</v>
      </c>
      <c r="CX196" s="59">
        <f t="shared" ref="CX196:CX203" si="196">CW196+(CO196+CP196)*44/12</f>
        <v>1128.4011228021388</v>
      </c>
      <c r="CY196" s="59">
        <f ca="1">AVERAGE(OFFSET($CX$3,0,0,'Données projet'!$E$13+1,1))-AVERAGE(OFFSET($H$3,0,0,'Données projet'!$E$13+1,1))</f>
        <v>396.27049617044378</v>
      </c>
      <c r="CZ196" s="59">
        <f t="shared" si="150"/>
        <v>335.2680289568774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15.376350753521328</v>
      </c>
      <c r="DG196" s="21">
        <f>EXP(-LN(2)/25)*DG195+(1-EXP(-LN(2)/25))/(LN(2)/25)*Calculateur!DB196*Calculateur!DD196*VLOOKUP('Données projet'!$B$13,Paramètres!$A$1:$I$89,3,0)*0.475*44/12</f>
        <v>0.51222002995926941</v>
      </c>
      <c r="DH196" s="21">
        <f>EXP(-LN(2)/2)*DH195+(1-EXP(-LN(2)/2))/(LN(2)/2)*DB196*DE196*VLOOKUP('Données projet'!$B$13,Paramètres!$A$1:$I$89,3,0)*0.475*44/12</f>
        <v>1.1245804879784566E-25</v>
      </c>
      <c r="DI196" s="22">
        <f t="shared" si="175"/>
        <v>15.888570783480597</v>
      </c>
      <c r="DJ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541.99999999999989</v>
      </c>
      <c r="DP196" s="17">
        <f>DO196*VLOOKUP('Données projet'!$B$14,Paramètres!$A$1:$I$89,3,0)*VLOOKUP('Données projet'!$B$14,Paramètres!$A$1:$I$89,5,0)</f>
        <v>310.02399999999994</v>
      </c>
      <c r="DQ196" s="13">
        <f t="shared" si="176"/>
        <v>73.27384230442388</v>
      </c>
      <c r="DR196" s="20">
        <f t="shared" si="177"/>
        <v>667.57707534687154</v>
      </c>
      <c r="DS196" s="59">
        <f t="shared" ref="DS196:DS203" si="197">DR196+(DJ196+DK196)*44/12</f>
        <v>960.91040868020491</v>
      </c>
      <c r="DT196" s="59">
        <f ca="1">AVERAGE(OFFSET($DS$3,0,0,'Données projet'!$E$14+1,1))-AVERAGE(OFFSET($H$3,0,0,'Données projet'!$E$14+1,1))</f>
        <v>307.43900954374504</v>
      </c>
      <c r="DU196" s="59">
        <f t="shared" si="152"/>
        <v>185.25270859048999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12.226412848457853</v>
      </c>
      <c r="EB196" s="21">
        <f>EXP(-LN(2)/25)*EB195+(1-EXP(-LN(2)/25))/(LN(2)/25)*Calculateur!DW196*Calculateur!DY196*VLOOKUP('Données projet'!$B$14,Paramètres!$A$1:$I$89,3,0)*0.475*44/12</f>
        <v>0.29115664860842672</v>
      </c>
      <c r="EC196" s="21">
        <f>EXP(-LN(2)/2)*EC195+(1-EXP(-LN(2)/2))/(LN(2)/2)*DW196*DZ196*VLOOKUP('Données projet'!$B$14,Paramètres!$A$1:$I$89,3,0)*0.475*44/12</f>
        <v>1.0653920412427479E-25</v>
      </c>
      <c r="ED196" s="22">
        <f t="shared" si="178"/>
        <v>12.51756949706628</v>
      </c>
      <c r="EE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401</v>
      </c>
      <c r="EK196" s="17">
        <f>EJ196*VLOOKUP('Données projet'!$B$15,Paramètres!$A$1:$I$89,3,0)*VLOOKUP('Données projet'!$B$15,Paramètres!$A$1:$I$89,5,0)</f>
        <v>250.22399999999999</v>
      </c>
      <c r="EL196" s="13">
        <f t="shared" si="179"/>
        <v>60.633904580527918</v>
      </c>
      <c r="EM196" s="20">
        <f t="shared" si="180"/>
        <v>541.41085047775289</v>
      </c>
      <c r="EN196" s="59">
        <f t="shared" ref="EN196:EN203" si="198">EM196+(EE196+EF196)*44/12</f>
        <v>834.74418381108626</v>
      </c>
      <c r="EO196" s="59">
        <f ca="1">AVERAGE(OFFSET($EN$3,0,0,'Données projet'!$E$15+1,1))-AVERAGE(OFFSET($H$3,0,0,'Données projet'!$E$15+1,1))</f>
        <v>269.77739619445515</v>
      </c>
      <c r="EP196" s="59">
        <f t="shared" si="154"/>
        <v>347.56964743629885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5.4978391734273533</v>
      </c>
      <c r="EW196" s="21">
        <f>EXP(-LN(2)/25)*EW195+(1-EXP(-LN(2)/25))/(LN(2)/25)*Calculateur!ER196*Calculateur!ET196*VLOOKUP('Données projet'!$B$15,Paramètres!$A$1:$I$89,3,0)*0.475*44/12</f>
        <v>0.99966282168107023</v>
      </c>
      <c r="EX196" s="21">
        <f>EXP(-LN(2)/2)*EX195+(1-EXP(-LN(2)/2))/(LN(2)/2)*ER196*EU196*VLOOKUP('Données projet'!$B$15,Paramètres!$A$1:$I$89,3,0)*0.475*44/12</f>
        <v>7.2640366448369185E-27</v>
      </c>
      <c r="EY196" s="22">
        <f t="shared" si="181"/>
        <v>6.4975019951084239</v>
      </c>
      <c r="EZ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367.99999999999972</v>
      </c>
      <c r="FF196" s="17">
        <f>FE196*VLOOKUP('Données projet'!$B$16,Paramètres!$A$1:$I$89,3,0)*VLOOKUP('Données projet'!$B$16,Paramètres!$A$1:$I$89,5,0)</f>
        <v>292.78079999999977</v>
      </c>
      <c r="FG196" s="13">
        <f t="shared" si="182"/>
        <v>69.660903052386217</v>
      </c>
      <c r="FH196" s="20">
        <f t="shared" si="183"/>
        <v>631.25263281623893</v>
      </c>
      <c r="FI196" s="59">
        <f t="shared" ref="FI196:FI203" si="199">FH196+(EZ196+FA196)*44/12</f>
        <v>924.58596614957219</v>
      </c>
      <c r="FJ196" s="59">
        <f ca="1">AVERAGE(OFFSET($FI$3,0,0,'Données projet'!$E$16+1,1))-AVERAGE(OFFSET($H$3,0,0,'Données projet'!$E$16+1,1))</f>
        <v>331.52724290297675</v>
      </c>
      <c r="FK196" s="59">
        <f t="shared" si="156"/>
        <v>322.79102610158054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6.5752803427484405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6.5752803427484405</v>
      </c>
      <c r="FU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852.00000000000011</v>
      </c>
      <c r="GA196" s="17">
        <f>FZ196*VLOOKUP('Données projet'!$B$17,Paramètres!$A$1:$I$89,3,0)*VLOOKUP('Données projet'!$B$17,Paramètres!$A$1:$I$89,5,0)</f>
        <v>420.88800000000009</v>
      </c>
      <c r="GB196" s="13">
        <f t="shared" si="185"/>
        <v>95.998759891259041</v>
      </c>
      <c r="GC196" s="20">
        <f t="shared" si="186"/>
        <v>900.24444014394294</v>
      </c>
      <c r="GD196" s="59">
        <f t="shared" ref="GD196:GD203" si="200">GC196+(FU196+FV196)*44/12</f>
        <v>1193.5777734772762</v>
      </c>
      <c r="GE196" s="59">
        <f ca="1">AVERAGE(OFFSET($GD$3,0,0,'Données projet'!$E$17+1,1))-AVERAGE(OFFSET($H$3,0,0,'Données projet'!$E$17+1,1))</f>
        <v>434.08297999735811</v>
      </c>
      <c r="GF196" s="59">
        <f t="shared" si="158"/>
        <v>371.04090283546122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16.964622246377157</v>
      </c>
      <c r="GM196" s="21">
        <f>EXP(-LN(2)/25)*GM195+(1-EXP(-LN(2)/25))/(LN(2)/25)*Calculateur!GH196*Calculateur!GJ196*VLOOKUP('Données projet'!$B$17,Paramètres!$A$1:$I$89,3,0)*0.475*44/12</f>
        <v>0.56344203295519668</v>
      </c>
      <c r="GN196" s="21">
        <f>EXP(-LN(2)/2)*GN195+(1-EXP(-LN(2)/2))/(LN(2)/2)*GH196*GK196*VLOOKUP('Données projet'!$B$17,Paramètres!$A$1:$I$89,3,0)*0.475*44/12</f>
        <v>2.1980436810488004E-25</v>
      </c>
      <c r="GO196" s="21">
        <f t="shared" si="187"/>
        <v>17.528064279332355</v>
      </c>
      <c r="GP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614.99999999999989</v>
      </c>
      <c r="GV196" s="17">
        <f>GU196*VLOOKUP('Données projet'!$B$18,Paramètres!$A$1:$I$89,3,0)*VLOOKUP('Données projet'!$B$18,Paramètres!$A$1:$I$89,5,0)</f>
        <v>351.78</v>
      </c>
      <c r="GW196" s="13">
        <f t="shared" si="188"/>
        <v>81.92892344316067</v>
      </c>
      <c r="GX196" s="20">
        <f t="shared" si="189"/>
        <v>755.37637499683808</v>
      </c>
      <c r="GY196" s="59">
        <f t="shared" ref="GY196:GY203" si="201">GX196+(GP196+GQ196)*44/12</f>
        <v>1048.7097083301715</v>
      </c>
      <c r="GZ196" s="59">
        <f ca="1">AVERAGE(OFFSET($GY$3,0,0,'Données projet'!$E$18+1,1))-AVERAGE(OFFSET($H$3,0,0,'Données projet'!$E$18+1,1))</f>
        <v>362.57172983134313</v>
      </c>
      <c r="HA196" s="59">
        <f t="shared" si="160"/>
        <v>232.03250917542471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13.787663671658258</v>
      </c>
      <c r="HH196" s="21">
        <f>EXP(-LN(2)/25)*HH195+(1-EXP(-LN(2)/25))/(LN(2)/25)*Calculateur!HC196*Calculateur!HE196*VLOOKUP('Données projet'!$B$18,Paramètres!$A$1:$I$89,3,0)*0.475*44/12</f>
        <v>0.3396827567098315</v>
      </c>
      <c r="HI196" s="21">
        <f>EXP(-LN(2)/2)*HI195+(1-EXP(-LN(2)/2))/(LN(2)/2)*HC196*HF196*VLOOKUP('Données projet'!$B$18,Paramètres!$A$1:$I$89,3,0)*0.475*44/12</f>
        <v>2.1899725292212034E-25</v>
      </c>
      <c r="HJ196" s="22">
        <f t="shared" si="190"/>
        <v>14.127346428368089</v>
      </c>
    </row>
    <row r="197" spans="1:218" x14ac:dyDescent="0.3">
      <c r="A197" s="10">
        <f t="shared" si="161"/>
        <v>194</v>
      </c>
      <c r="B197" s="71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5">
        <f t="shared" si="192"/>
        <v>500.0287463563966</v>
      </c>
      <c r="I197" s="6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266.99999999999983</v>
      </c>
      <c r="O197" s="13">
        <f>N197*VLOOKUP('Données projet'!$B$9,Paramètres!$A$1:$I$89,3,0)*VLOOKUP('Données projet'!$B$9,Paramètres!$A$1:$I$89,5,0)</f>
        <v>212.42519999999985</v>
      </c>
      <c r="P197" s="13">
        <f t="shared" ref="P197:P203" si="203">EXP(-1.0587+0.8836*LN(O197)+0.284)</f>
        <v>52.465198231787184</v>
      </c>
      <c r="Q197" s="20">
        <f t="shared" si="162"/>
        <v>461.35077692036231</v>
      </c>
      <c r="R197" s="59">
        <f t="shared" si="191"/>
        <v>754.68411025369562</v>
      </c>
      <c r="S197" s="59">
        <f ca="1">AVERAGE(OFFSET($R$3,0,0,'Données projet'!$E$9+1,1))-AVERAGE(OFFSET($H$3,0,0,'Données projet'!$E$9+1,1))</f>
        <v>225.2323446080772</v>
      </c>
      <c r="T197" s="59">
        <f t="shared" ref="T197:T203" si="204">$T$3</f>
        <v>222.29030402759292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4.5379498124249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4.5379498124249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732.99999999999966</v>
      </c>
      <c r="AJ197" s="13">
        <f>AI197*VLOOKUP('Données projet'!$B$10,Paramètres!$A$1:$I$89,3,0)*VLOOKUP('Données projet'!$B$10,Paramètres!$A$1:$I$89,5,0)</f>
        <v>362.1019999999998</v>
      </c>
      <c r="AK197" s="13">
        <f t="shared" si="164"/>
        <v>84.049487364732272</v>
      </c>
      <c r="AL197" s="20">
        <f t="shared" si="165"/>
        <v>777.04717382690842</v>
      </c>
      <c r="AM197" s="59">
        <f t="shared" si="193"/>
        <v>1070.3805071602417</v>
      </c>
      <c r="AN197" s="59">
        <f ca="1">AVERAGE(OFFSET($AM$3,0,0,'Données projet'!$E$10+1,1))-AVERAGE(OFFSET($H$3,0,0,'Données projet'!$E$10+1,1))</f>
        <v>360.05819346986135</v>
      </c>
      <c r="AO197" s="59">
        <f t="shared" ref="AO197:AO203" si="205">$AO$3</f>
        <v>300.47468388351081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13.589545735253894</v>
      </c>
      <c r="AV197" s="21">
        <f>EXP(-LN(2)/25)*AV196+(1-EXP(-LN(2)/25))/(LN(2)/25)*Calculateur!AQ197*Calculateur!AS197*VLOOKUP('Données projet'!$B$10,Paramètres!$A$1:$I$89,3,0)*0.475*44/12</f>
        <v>0.44839201167319653</v>
      </c>
      <c r="AW197" s="21">
        <f>EXP(-LN(2)/2)*AW196+(1-EXP(-LN(2)/2))/(LN(2)/2)*AQ197*AT197*VLOOKUP('Données projet'!$B$10,Paramètres!$A$1:$I$89,3,0)*0.475*44/12</f>
        <v>1.0843615759631493E-26</v>
      </c>
      <c r="AX197" s="21">
        <f t="shared" si="166"/>
        <v>14.03793774692709</v>
      </c>
      <c r="AY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465.00000000000006</v>
      </c>
      <c r="BE197" s="13">
        <f>BD197*VLOOKUP('Données projet'!$B$11,Paramètres!$A$1:$I$89,3,0)*VLOOKUP('Données projet'!$B$11,Paramètres!$A$1:$I$89,5,0)</f>
        <v>265.98</v>
      </c>
      <c r="BF197" s="13">
        <f t="shared" si="167"/>
        <v>63.995380422211589</v>
      </c>
      <c r="BG197" s="20">
        <f t="shared" si="168"/>
        <v>574.70712090201857</v>
      </c>
      <c r="BH197" s="59">
        <f t="shared" si="194"/>
        <v>868.04045423535194</v>
      </c>
      <c r="BI197" s="59">
        <f ca="1">AVERAGE(OFFSET($BH$3,0,0,'Données projet'!$E$11+1,1))-AVERAGE(OFFSET($H$3,0,0,'Données projet'!$E$11+1,1))</f>
        <v>250.90038883668348</v>
      </c>
      <c r="BJ197" s="59">
        <f t="shared" ref="BJ197:BJ203" si="206">$BJ$3</f>
        <v>141.96132114475608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10.408028024365494</v>
      </c>
      <c r="BQ197" s="21">
        <f>EXP(-LN(2)/25)*BQ196+(1-EXP(-LN(2)/25))/(LN(2)/25)*Calculateur!BL197*Calculateur!BN197*VLOOKUP('Données projet'!$B$11,Paramètres!$A$1:$I$89,3,0)*0.475*44/12</f>
        <v>0.12616381521471431</v>
      </c>
      <c r="BR197" s="21">
        <f>EXP(-LN(2)/2)*BR196+(1-EXP(-LN(2)/2))/(LN(2)/2)*BL197*BO197*VLOOKUP('Données projet'!$B$11,Paramètres!$A$1:$I$89,3,0)*0.475*44/12</f>
        <v>7.812874969113517E-25</v>
      </c>
      <c r="BS197" s="22">
        <f t="shared" si="169"/>
        <v>10.534191839580208</v>
      </c>
      <c r="BT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319</v>
      </c>
      <c r="BZ197" s="13">
        <f>BY197*VLOOKUP('Données projet'!$B$12,Paramètres!$A$1:$I$89,3,0)*VLOOKUP('Données projet'!$B$12,Paramètres!$A$1:$I$89,5,0)</f>
        <v>253.79640000000001</v>
      </c>
      <c r="CA197" s="13">
        <f t="shared" si="170"/>
        <v>61.39816832228076</v>
      </c>
      <c r="CB197" s="20">
        <f t="shared" si="171"/>
        <v>548.96387316130563</v>
      </c>
      <c r="CC197" s="59">
        <f t="shared" si="195"/>
        <v>842.29720649463889</v>
      </c>
      <c r="CD197" s="59">
        <f ca="1">AVERAGE(OFFSET($CC$3,0,0,'Données projet'!$E$12+1,1))-AVERAGE(OFFSET($H$3,0,0,'Données projet'!$E$12+1,1))</f>
        <v>279.49721661620544</v>
      </c>
      <c r="CE197" s="59">
        <f t="shared" ref="CE197:CE203" si="207">$CE$3</f>
        <v>275.18739333988754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5.5610213819952019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5.5610213819952019</v>
      </c>
      <c r="CO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789</v>
      </c>
      <c r="CU197" s="17">
        <f>CT197*VLOOKUP('Données projet'!$B$13,Paramètres!$A$1:$I$89,3,0)*VLOOKUP('Données projet'!$B$13,Paramètres!$A$1:$I$89,5,0)</f>
        <v>389.76600000000002</v>
      </c>
      <c r="CV197" s="13">
        <f t="shared" si="173"/>
        <v>89.698759503620408</v>
      </c>
      <c r="CW197" s="20">
        <f t="shared" si="174"/>
        <v>835.06778946880547</v>
      </c>
      <c r="CX197" s="59">
        <f t="shared" si="196"/>
        <v>1128.4011228021388</v>
      </c>
      <c r="CY197" s="59">
        <f ca="1">AVERAGE(OFFSET($CX$3,0,0,'Données projet'!$E$13+1,1))-AVERAGE(OFFSET($H$3,0,0,'Données projet'!$E$13+1,1))</f>
        <v>396.27049617044378</v>
      </c>
      <c r="CZ197" s="59">
        <f t="shared" ref="CZ197:CZ203" si="208">$CZ$3</f>
        <v>335.2680289568774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15.074829893892669</v>
      </c>
      <c r="DG197" s="21">
        <f>EXP(-LN(2)/25)*DG196+(1-EXP(-LN(2)/25))/(LN(2)/25)*Calculateur!DB197*Calculateur!DD197*VLOOKUP('Données projet'!$B$13,Paramètres!$A$1:$I$89,3,0)*0.475*44/12</f>
        <v>0.49821334630355252</v>
      </c>
      <c r="DH197" s="21">
        <f>EXP(-LN(2)/2)*DH196+(1-EXP(-LN(2)/2))/(LN(2)/2)*DB197*DE197*VLOOKUP('Données projet'!$B$13,Paramètres!$A$1:$I$89,3,0)*0.475*44/12</f>
        <v>7.9519848903964337E-26</v>
      </c>
      <c r="DI197" s="22">
        <f t="shared" si="175"/>
        <v>15.573043240196222</v>
      </c>
      <c r="DJ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541.99999999999989</v>
      </c>
      <c r="DP197" s="17">
        <f>DO197*VLOOKUP('Données projet'!$B$14,Paramètres!$A$1:$I$89,3,0)*VLOOKUP('Données projet'!$B$14,Paramètres!$A$1:$I$89,5,0)</f>
        <v>310.02399999999994</v>
      </c>
      <c r="DQ197" s="13">
        <f t="shared" si="176"/>
        <v>73.27384230442388</v>
      </c>
      <c r="DR197" s="20">
        <f t="shared" si="177"/>
        <v>667.57707534687154</v>
      </c>
      <c r="DS197" s="59">
        <f t="shared" si="197"/>
        <v>960.91040868020491</v>
      </c>
      <c r="DT197" s="59">
        <f ca="1">AVERAGE(OFFSET($DS$3,0,0,'Données projet'!$E$14+1,1))-AVERAGE(OFFSET($H$3,0,0,'Données projet'!$E$14+1,1))</f>
        <v>307.43900954374504</v>
      </c>
      <c r="DU197" s="59">
        <f t="shared" ref="DU197:DU203" si="209">$DU$3</f>
        <v>185.25270859048999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11.986660349875077</v>
      </c>
      <c r="EB197" s="21">
        <f>EXP(-LN(2)/25)*EB196+(1-EXP(-LN(2)/25))/(LN(2)/25)*Calculateur!DW197*Calculateur!DY197*VLOOKUP('Données projet'!$B$14,Paramètres!$A$1:$I$89,3,0)*0.475*44/12</f>
        <v>0.28319495474096656</v>
      </c>
      <c r="EC197" s="21">
        <f>EXP(-LN(2)/2)*EC196+(1-EXP(-LN(2)/2))/(LN(2)/2)*DW197*DZ197*VLOOKUP('Données projet'!$B$14,Paramètres!$A$1:$I$89,3,0)*0.475*44/12</f>
        <v>7.5334593698492496E-26</v>
      </c>
      <c r="ED197" s="22">
        <f t="shared" si="178"/>
        <v>12.269855304616044</v>
      </c>
      <c r="EE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401</v>
      </c>
      <c r="EK197" s="17">
        <f>EJ197*VLOOKUP('Données projet'!$B$15,Paramètres!$A$1:$I$89,3,0)*VLOOKUP('Données projet'!$B$15,Paramètres!$A$1:$I$89,5,0)</f>
        <v>250.22399999999999</v>
      </c>
      <c r="EL197" s="13">
        <f t="shared" si="179"/>
        <v>60.633904580527918</v>
      </c>
      <c r="EM197" s="20">
        <f t="shared" si="180"/>
        <v>541.41085047775289</v>
      </c>
      <c r="EN197" s="59">
        <f t="shared" si="198"/>
        <v>834.74418381108626</v>
      </c>
      <c r="EO197" s="59">
        <f ca="1">AVERAGE(OFFSET($EN$3,0,0,'Données projet'!$E$15+1,1))-AVERAGE(OFFSET($H$3,0,0,'Données projet'!$E$15+1,1))</f>
        <v>269.77739619445515</v>
      </c>
      <c r="EP197" s="59">
        <f t="shared" ref="EP197:EP203" si="210">$EP$3</f>
        <v>347.56964743629885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5.3900299005872228</v>
      </c>
      <c r="EW197" s="21">
        <f>EXP(-LN(2)/25)*EW196+(1-EXP(-LN(2)/25))/(LN(2)/25)*Calculateur!ER197*Calculateur!ET197*VLOOKUP('Données projet'!$B$15,Paramètres!$A$1:$I$89,3,0)*0.475*44/12</f>
        <v>0.97232698925221839</v>
      </c>
      <c r="EX197" s="21">
        <f>EXP(-LN(2)/2)*EX196+(1-EXP(-LN(2)/2))/(LN(2)/2)*ER197*EU197*VLOOKUP('Données projet'!$B$15,Paramètres!$A$1:$I$89,3,0)*0.475*44/12</f>
        <v>5.1364495703517619E-27</v>
      </c>
      <c r="EY197" s="22">
        <f t="shared" si="181"/>
        <v>6.3623568898394414</v>
      </c>
      <c r="EZ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367.99999999999972</v>
      </c>
      <c r="FF197" s="17">
        <f>FE197*VLOOKUP('Données projet'!$B$16,Paramètres!$A$1:$I$89,3,0)*VLOOKUP('Données projet'!$B$16,Paramètres!$A$1:$I$89,5,0)</f>
        <v>292.78079999999977</v>
      </c>
      <c r="FG197" s="13">
        <f t="shared" si="182"/>
        <v>69.660903052386217</v>
      </c>
      <c r="FH197" s="20">
        <f t="shared" si="183"/>
        <v>631.25263281623893</v>
      </c>
      <c r="FI197" s="59">
        <f t="shared" si="199"/>
        <v>924.58596614957219</v>
      </c>
      <c r="FJ197" s="59">
        <f ca="1">AVERAGE(OFFSET($FI$3,0,0,'Données projet'!$E$16+1,1))-AVERAGE(OFFSET($H$3,0,0,'Données projet'!$E$16+1,1))</f>
        <v>331.52724290297675</v>
      </c>
      <c r="FK197" s="59">
        <f t="shared" ref="FK197:FK203" si="211">$FK$3</f>
        <v>322.79102610158054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6.4463431057521463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6.4463431057521463</v>
      </c>
      <c r="FU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852.00000000000011</v>
      </c>
      <c r="GA197" s="17">
        <f>FZ197*VLOOKUP('Données projet'!$B$17,Paramètres!$A$1:$I$89,3,0)*VLOOKUP('Données projet'!$B$17,Paramètres!$A$1:$I$89,5,0)</f>
        <v>420.88800000000009</v>
      </c>
      <c r="GB197" s="13">
        <f t="shared" si="185"/>
        <v>95.998759891259041</v>
      </c>
      <c r="GC197" s="20">
        <f t="shared" si="186"/>
        <v>900.24444014394294</v>
      </c>
      <c r="GD197" s="59">
        <f t="shared" si="200"/>
        <v>1193.5777734772762</v>
      </c>
      <c r="GE197" s="59">
        <f ca="1">AVERAGE(OFFSET($GD$3,0,0,'Données projet'!$E$17+1,1))-AVERAGE(OFFSET($H$3,0,0,'Données projet'!$E$17+1,1))</f>
        <v>434.08297999735811</v>
      </c>
      <c r="GF197" s="59">
        <f t="shared" ref="GF197:GF203" si="212">$GF$3</f>
        <v>371.04090283546122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16.631956351523552</v>
      </c>
      <c r="GM197" s="21">
        <f>EXP(-LN(2)/25)*GM196+(1-EXP(-LN(2)/25))/(LN(2)/25)*Calculateur!GH197*Calculateur!GJ197*VLOOKUP('Données projet'!$B$17,Paramètres!$A$1:$I$89,3,0)*0.475*44/12</f>
        <v>0.54803468093390806</v>
      </c>
      <c r="GN197" s="21">
        <f>EXP(-LN(2)/2)*GN196+(1-EXP(-LN(2)/2))/(LN(2)/2)*GH197*GK197*VLOOKUP('Données projet'!$B$17,Paramètres!$A$1:$I$89,3,0)*0.475*44/12</f>
        <v>1.5542515922138476E-25</v>
      </c>
      <c r="GO197" s="21">
        <f t="shared" si="187"/>
        <v>17.179991032457462</v>
      </c>
      <c r="GP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614.99999999999989</v>
      </c>
      <c r="GV197" s="17">
        <f>GU197*VLOOKUP('Données projet'!$B$18,Paramètres!$A$1:$I$89,3,0)*VLOOKUP('Données projet'!$B$18,Paramètres!$A$1:$I$89,5,0)</f>
        <v>351.78</v>
      </c>
      <c r="GW197" s="13">
        <f t="shared" si="188"/>
        <v>81.92892344316067</v>
      </c>
      <c r="GX197" s="20">
        <f t="shared" si="189"/>
        <v>755.37637499683808</v>
      </c>
      <c r="GY197" s="59">
        <f t="shared" si="201"/>
        <v>1048.7097083301715</v>
      </c>
      <c r="GZ197" s="59">
        <f ca="1">AVERAGE(OFFSET($GY$3,0,0,'Données projet'!$E$18+1,1))-AVERAGE(OFFSET($H$3,0,0,'Données projet'!$E$18+1,1))</f>
        <v>362.57172983134313</v>
      </c>
      <c r="HA197" s="59">
        <f t="shared" ref="HA197:HA203" si="213">$HA$3</f>
        <v>232.03250917542471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13.517295996701495</v>
      </c>
      <c r="HH197" s="21">
        <f>EXP(-LN(2)/25)*HH196+(1-EXP(-LN(2)/25))/(LN(2)/25)*Calculateur!HC197*Calculateur!HE197*VLOOKUP('Données projet'!$B$18,Paramètres!$A$1:$I$89,3,0)*0.475*44/12</f>
        <v>0.33039411386446133</v>
      </c>
      <c r="HI197" s="21">
        <f>EXP(-LN(2)/2)*HI196+(1-EXP(-LN(2)/2))/(LN(2)/2)*HC197*HF197*VLOOKUP('Données projet'!$B$18,Paramètres!$A$1:$I$89,3,0)*0.475*44/12</f>
        <v>1.5485444260245675E-25</v>
      </c>
      <c r="HJ197" s="22">
        <f t="shared" si="190"/>
        <v>13.847690110565956</v>
      </c>
    </row>
    <row r="198" spans="1:218" x14ac:dyDescent="0.3">
      <c r="A198" s="10">
        <f t="shared" si="161"/>
        <v>195</v>
      </c>
      <c r="B198" s="71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5">
        <f t="shared" si="192"/>
        <v>501.06762226901623</v>
      </c>
      <c r="I198" s="6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266.99999999999983</v>
      </c>
      <c r="O198" s="13">
        <f>N198*VLOOKUP('Données projet'!$B$9,Paramètres!$A$1:$I$89,3,0)*VLOOKUP('Données projet'!$B$9,Paramètres!$A$1:$I$89,5,0)</f>
        <v>212.42519999999985</v>
      </c>
      <c r="P198" s="13">
        <f t="shared" si="203"/>
        <v>52.465198231787184</v>
      </c>
      <c r="Q198" s="20">
        <f t="shared" si="162"/>
        <v>461.35077692036231</v>
      </c>
      <c r="R198" s="59">
        <f t="shared" si="191"/>
        <v>754.68411025369562</v>
      </c>
      <c r="S198" s="59">
        <f ca="1">AVERAGE(OFFSET($R$3,0,0,'Données projet'!$E$9+1,1))-AVERAGE(OFFSET($H$3,0,0,'Données projet'!$E$9+1,1))</f>
        <v>225.2323446080772</v>
      </c>
      <c r="T198" s="59">
        <f t="shared" si="204"/>
        <v>222.29030402759292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4.4489633844793284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4.4489633844793284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732.99999999999966</v>
      </c>
      <c r="AJ198" s="13">
        <f>AI198*VLOOKUP('Données projet'!$B$10,Paramètres!$A$1:$I$89,3,0)*VLOOKUP('Données projet'!$B$10,Paramètres!$A$1:$I$89,5,0)</f>
        <v>362.1019999999998</v>
      </c>
      <c r="AK198" s="13">
        <f t="shared" si="164"/>
        <v>84.049487364732272</v>
      </c>
      <c r="AL198" s="20">
        <f t="shared" si="165"/>
        <v>777.04717382690842</v>
      </c>
      <c r="AM198" s="59">
        <f t="shared" si="193"/>
        <v>1070.3805071602417</v>
      </c>
      <c r="AN198" s="59">
        <f ca="1">AVERAGE(OFFSET($AM$3,0,0,'Données projet'!$E$10+1,1))-AVERAGE(OFFSET($H$3,0,0,'Données projet'!$E$10+1,1))</f>
        <v>360.05819346986135</v>
      </c>
      <c r="AO198" s="59">
        <f t="shared" si="205"/>
        <v>300.47468388351081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13.323063032190012</v>
      </c>
      <c r="AV198" s="21">
        <f>EXP(-LN(2)/25)*AV197+(1-EXP(-LN(2)/25))/(LN(2)/25)*Calculateur!AQ198*Calculateur!AS198*VLOOKUP('Données projet'!$B$10,Paramètres!$A$1:$I$89,3,0)*0.475*44/12</f>
        <v>0.43613070853408187</v>
      </c>
      <c r="AW198" s="21">
        <f>EXP(-LN(2)/2)*AW197+(1-EXP(-LN(2)/2))/(LN(2)/2)*AQ198*AT198*VLOOKUP('Données projet'!$B$10,Paramètres!$A$1:$I$89,3,0)*0.475*44/12</f>
        <v>7.6675942362167446E-27</v>
      </c>
      <c r="AX198" s="21">
        <f t="shared" si="166"/>
        <v>13.759193740724093</v>
      </c>
      <c r="AY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465.00000000000006</v>
      </c>
      <c r="BE198" s="13">
        <f>BD198*VLOOKUP('Données projet'!$B$11,Paramètres!$A$1:$I$89,3,0)*VLOOKUP('Données projet'!$B$11,Paramètres!$A$1:$I$89,5,0)</f>
        <v>265.98</v>
      </c>
      <c r="BF198" s="13">
        <f t="shared" si="167"/>
        <v>63.995380422211589</v>
      </c>
      <c r="BG198" s="20">
        <f t="shared" si="168"/>
        <v>574.70712090201857</v>
      </c>
      <c r="BH198" s="59">
        <f t="shared" si="194"/>
        <v>868.04045423535194</v>
      </c>
      <c r="BI198" s="59">
        <f ca="1">AVERAGE(OFFSET($BH$3,0,0,'Données projet'!$E$11+1,1))-AVERAGE(OFFSET($H$3,0,0,'Données projet'!$E$11+1,1))</f>
        <v>250.90038883668348</v>
      </c>
      <c r="BJ198" s="59">
        <f t="shared" si="206"/>
        <v>141.96132114475608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10.203932943077943</v>
      </c>
      <c r="BQ198" s="21">
        <f>EXP(-LN(2)/25)*BQ197+(1-EXP(-LN(2)/25))/(LN(2)/25)*Calculateur!BL198*Calculateur!BN198*VLOOKUP('Données projet'!$B$11,Paramètres!$A$1:$I$89,3,0)*0.475*44/12</f>
        <v>0.12271385905300126</v>
      </c>
      <c r="BR198" s="21">
        <f>EXP(-LN(2)/2)*BR197+(1-EXP(-LN(2)/2))/(LN(2)/2)*BL198*BO198*VLOOKUP('Données projet'!$B$11,Paramètres!$A$1:$I$89,3,0)*0.475*44/12</f>
        <v>5.5245368712228059E-25</v>
      </c>
      <c r="BS198" s="22">
        <f t="shared" si="169"/>
        <v>10.326646802130945</v>
      </c>
      <c r="BT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319</v>
      </c>
      <c r="BZ198" s="13">
        <f>BY198*VLOOKUP('Données projet'!$B$12,Paramètres!$A$1:$I$89,3,0)*VLOOKUP('Données projet'!$B$12,Paramètres!$A$1:$I$89,5,0)</f>
        <v>253.79640000000001</v>
      </c>
      <c r="CA198" s="13">
        <f t="shared" si="170"/>
        <v>61.39816832228076</v>
      </c>
      <c r="CB198" s="20">
        <f t="shared" si="171"/>
        <v>548.96387316130563</v>
      </c>
      <c r="CC198" s="59">
        <f t="shared" si="195"/>
        <v>842.29720649463889</v>
      </c>
      <c r="CD198" s="59">
        <f ca="1">AVERAGE(OFFSET($CC$3,0,0,'Données projet'!$E$12+1,1))-AVERAGE(OFFSET($H$3,0,0,'Données projet'!$E$12+1,1))</f>
        <v>279.49721661620544</v>
      </c>
      <c r="CE198" s="59">
        <f t="shared" si="207"/>
        <v>275.18739333988754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5.4519731445823982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5.4519731445823982</v>
      </c>
      <c r="CO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789</v>
      </c>
      <c r="CU198" s="17">
        <f>CT198*VLOOKUP('Données projet'!$B$13,Paramètres!$A$1:$I$89,3,0)*VLOOKUP('Données projet'!$B$13,Paramètres!$A$1:$I$89,5,0)</f>
        <v>389.76600000000002</v>
      </c>
      <c r="CV198" s="13">
        <f t="shared" si="173"/>
        <v>89.698759503620408</v>
      </c>
      <c r="CW198" s="20">
        <f t="shared" si="174"/>
        <v>835.06778946880547</v>
      </c>
      <c r="CX198" s="59">
        <f t="shared" si="196"/>
        <v>1128.4011228021388</v>
      </c>
      <c r="CY198" s="59">
        <f ca="1">AVERAGE(OFFSET($CX$3,0,0,'Données projet'!$E$13+1,1))-AVERAGE(OFFSET($H$3,0,0,'Données projet'!$E$13+1,1))</f>
        <v>396.27049617044378</v>
      </c>
      <c r="CZ198" s="59">
        <f t="shared" si="208"/>
        <v>335.2680289568774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14.779221674411765</v>
      </c>
      <c r="DG198" s="21">
        <f>EXP(-LN(2)/25)*DG197+(1-EXP(-LN(2)/25))/(LN(2)/25)*Calculateur!DB198*Calculateur!DD198*VLOOKUP('Données projet'!$B$13,Paramètres!$A$1:$I$89,3,0)*0.475*44/12</f>
        <v>0.48458967614898069</v>
      </c>
      <c r="DH198" s="21">
        <f>EXP(-LN(2)/2)*DH197+(1-EXP(-LN(2)/2))/(LN(2)/2)*DB198*DE198*VLOOKUP('Données projet'!$B$13,Paramètres!$A$1:$I$89,3,0)*0.475*44/12</f>
        <v>5.6229024398922831E-26</v>
      </c>
      <c r="DI198" s="22">
        <f t="shared" si="175"/>
        <v>15.263811350560745</v>
      </c>
      <c r="DJ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541.99999999999989</v>
      </c>
      <c r="DP198" s="17">
        <f>DO198*VLOOKUP('Données projet'!$B$14,Paramètres!$A$1:$I$89,3,0)*VLOOKUP('Données projet'!$B$14,Paramètres!$A$1:$I$89,5,0)</f>
        <v>310.02399999999994</v>
      </c>
      <c r="DQ198" s="13">
        <f t="shared" si="176"/>
        <v>73.27384230442388</v>
      </c>
      <c r="DR198" s="20">
        <f t="shared" si="177"/>
        <v>667.57707534687154</v>
      </c>
      <c r="DS198" s="59">
        <f t="shared" si="197"/>
        <v>960.91040868020491</v>
      </c>
      <c r="DT198" s="59">
        <f ca="1">AVERAGE(OFFSET($DS$3,0,0,'Données projet'!$E$14+1,1))-AVERAGE(OFFSET($H$3,0,0,'Données projet'!$E$14+1,1))</f>
        <v>307.43900954374504</v>
      </c>
      <c r="DU198" s="59">
        <f t="shared" si="209"/>
        <v>185.25270859048999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11.751609251554925</v>
      </c>
      <c r="EB198" s="21">
        <f>EXP(-LN(2)/25)*EB197+(1-EXP(-LN(2)/25))/(LN(2)/25)*Calculateur!DW198*Calculateur!DY198*VLOOKUP('Données projet'!$B$14,Paramètres!$A$1:$I$89,3,0)*0.475*44/12</f>
        <v>0.27545097381099942</v>
      </c>
      <c r="EC198" s="21">
        <f>EXP(-LN(2)/2)*EC197+(1-EXP(-LN(2)/2))/(LN(2)/2)*DW198*DZ198*VLOOKUP('Données projet'!$B$14,Paramètres!$A$1:$I$89,3,0)*0.475*44/12</f>
        <v>5.3269602062137395E-26</v>
      </c>
      <c r="ED198" s="22">
        <f t="shared" si="178"/>
        <v>12.027060225365924</v>
      </c>
      <c r="EE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401</v>
      </c>
      <c r="EK198" s="17">
        <f>EJ198*VLOOKUP('Données projet'!$B$15,Paramètres!$A$1:$I$89,3,0)*VLOOKUP('Données projet'!$B$15,Paramètres!$A$1:$I$89,5,0)</f>
        <v>250.22399999999999</v>
      </c>
      <c r="EL198" s="13">
        <f t="shared" si="179"/>
        <v>60.633904580527918</v>
      </c>
      <c r="EM198" s="20">
        <f t="shared" si="180"/>
        <v>541.41085047775289</v>
      </c>
      <c r="EN198" s="59">
        <f t="shared" si="198"/>
        <v>834.74418381108626</v>
      </c>
      <c r="EO198" s="59">
        <f ca="1">AVERAGE(OFFSET($EN$3,0,0,'Données projet'!$E$15+1,1))-AVERAGE(OFFSET($H$3,0,0,'Données projet'!$E$15+1,1))</f>
        <v>269.77739619445515</v>
      </c>
      <c r="EP198" s="59">
        <f t="shared" si="210"/>
        <v>347.56964743629885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5.2843347018303239</v>
      </c>
      <c r="EW198" s="21">
        <f>EXP(-LN(2)/25)*EW197+(1-EXP(-LN(2)/25))/(LN(2)/25)*Calculateur!ER198*Calculateur!ET198*VLOOKUP('Données projet'!$B$15,Paramètres!$A$1:$I$89,3,0)*0.475*44/12</f>
        <v>0.94573865659866241</v>
      </c>
      <c r="EX198" s="21">
        <f>EXP(-LN(2)/2)*EX197+(1-EXP(-LN(2)/2))/(LN(2)/2)*ER198*EU198*VLOOKUP('Données projet'!$B$15,Paramètres!$A$1:$I$89,3,0)*0.475*44/12</f>
        <v>3.6320183224184593E-27</v>
      </c>
      <c r="EY198" s="22">
        <f t="shared" si="181"/>
        <v>6.230073358428986</v>
      </c>
      <c r="EZ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367.99999999999972</v>
      </c>
      <c r="FF198" s="17">
        <f>FE198*VLOOKUP('Données projet'!$B$16,Paramètres!$A$1:$I$89,3,0)*VLOOKUP('Données projet'!$B$16,Paramètres!$A$1:$I$89,5,0)</f>
        <v>292.78079999999977</v>
      </c>
      <c r="FG198" s="13">
        <f t="shared" si="182"/>
        <v>69.660903052386217</v>
      </c>
      <c r="FH198" s="20">
        <f t="shared" si="183"/>
        <v>631.25263281623893</v>
      </c>
      <c r="FI198" s="59">
        <f t="shared" si="199"/>
        <v>924.58596614957219</v>
      </c>
      <c r="FJ198" s="59">
        <f ca="1">AVERAGE(OFFSET($FI$3,0,0,'Données projet'!$E$16+1,1))-AVERAGE(OFFSET($H$3,0,0,'Données projet'!$E$16+1,1))</f>
        <v>331.52724290297675</v>
      </c>
      <c r="FK198" s="59">
        <f t="shared" si="211"/>
        <v>322.79102610158054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6.3199342493294006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6.3199342493294006</v>
      </c>
      <c r="FU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852.00000000000011</v>
      </c>
      <c r="GA198" s="17">
        <f>FZ198*VLOOKUP('Données projet'!$B$17,Paramètres!$A$1:$I$89,3,0)*VLOOKUP('Données projet'!$B$17,Paramètres!$A$1:$I$89,5,0)</f>
        <v>420.88800000000009</v>
      </c>
      <c r="GB198" s="13">
        <f t="shared" si="185"/>
        <v>95.998759891259041</v>
      </c>
      <c r="GC198" s="20">
        <f t="shared" si="186"/>
        <v>900.24444014394294</v>
      </c>
      <c r="GD198" s="59">
        <f t="shared" si="200"/>
        <v>1193.5777734772762</v>
      </c>
      <c r="GE198" s="59">
        <f ca="1">AVERAGE(OFFSET($GD$3,0,0,'Données projet'!$E$17+1,1))-AVERAGE(OFFSET($H$3,0,0,'Données projet'!$E$17+1,1))</f>
        <v>434.08297999735811</v>
      </c>
      <c r="GF198" s="59">
        <f t="shared" si="212"/>
        <v>371.04090283546122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16.305813831961864</v>
      </c>
      <c r="GM198" s="21">
        <f>EXP(-LN(2)/25)*GM197+(1-EXP(-LN(2)/25))/(LN(2)/25)*Calculateur!GH198*Calculateur!GJ198*VLOOKUP('Données projet'!$B$17,Paramètres!$A$1:$I$89,3,0)*0.475*44/12</f>
        <v>0.53304864376387906</v>
      </c>
      <c r="GN198" s="21">
        <f>EXP(-LN(2)/2)*GN197+(1-EXP(-LN(2)/2))/(LN(2)/2)*GH198*GK198*VLOOKUP('Données projet'!$B$17,Paramètres!$A$1:$I$89,3,0)*0.475*44/12</f>
        <v>1.0990218405244002E-25</v>
      </c>
      <c r="GO198" s="21">
        <f t="shared" si="187"/>
        <v>16.838862475725744</v>
      </c>
      <c r="GP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614.99999999999989</v>
      </c>
      <c r="GV198" s="17">
        <f>GU198*VLOOKUP('Données projet'!$B$18,Paramètres!$A$1:$I$89,3,0)*VLOOKUP('Données projet'!$B$18,Paramètres!$A$1:$I$89,5,0)</f>
        <v>351.78</v>
      </c>
      <c r="GW198" s="13">
        <f t="shared" si="188"/>
        <v>81.92892344316067</v>
      </c>
      <c r="GX198" s="20">
        <f t="shared" si="189"/>
        <v>755.37637499683808</v>
      </c>
      <c r="GY198" s="59">
        <f t="shared" si="201"/>
        <v>1048.7097083301715</v>
      </c>
      <c r="GZ198" s="59">
        <f ca="1">AVERAGE(OFFSET($GY$3,0,0,'Données projet'!$E$18+1,1))-AVERAGE(OFFSET($H$3,0,0,'Données projet'!$E$18+1,1))</f>
        <v>362.57172983134313</v>
      </c>
      <c r="HA198" s="59">
        <f t="shared" si="213"/>
        <v>232.03250917542471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13.252230066942637</v>
      </c>
      <c r="HH198" s="21">
        <f>EXP(-LN(2)/25)*HH197+(1-EXP(-LN(2)/25))/(LN(2)/25)*Calculateur!HC198*Calculateur!HE198*VLOOKUP('Données projet'!$B$18,Paramètres!$A$1:$I$89,3,0)*0.475*44/12</f>
        <v>0.32135946944616633</v>
      </c>
      <c r="HI198" s="21">
        <f>EXP(-LN(2)/2)*HI197+(1-EXP(-LN(2)/2))/(LN(2)/2)*HC198*HF198*VLOOKUP('Données projet'!$B$18,Paramètres!$A$1:$I$89,3,0)*0.475*44/12</f>
        <v>1.0949862646106017E-25</v>
      </c>
      <c r="HJ198" s="22">
        <f t="shared" si="190"/>
        <v>13.573589536388804</v>
      </c>
    </row>
    <row r="199" spans="1:218" x14ac:dyDescent="0.3">
      <c r="A199" s="10">
        <f t="shared" si="161"/>
        <v>196</v>
      </c>
      <c r="B199" s="71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5">
        <f t="shared" si="192"/>
        <v>502.10637815523307</v>
      </c>
      <c r="I199" s="6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266.99999999999983</v>
      </c>
      <c r="O199" s="13">
        <f>N199*VLOOKUP('Données projet'!$B$9,Paramètres!$A$1:$I$89,3,0)*VLOOKUP('Données projet'!$B$9,Paramètres!$A$1:$I$89,5,0)</f>
        <v>212.42519999999985</v>
      </c>
      <c r="P199" s="13">
        <f t="shared" si="203"/>
        <v>52.465198231787184</v>
      </c>
      <c r="Q199" s="20">
        <f t="shared" si="162"/>
        <v>461.35077692036231</v>
      </c>
      <c r="R199" s="59">
        <f t="shared" si="191"/>
        <v>754.68411025369562</v>
      </c>
      <c r="S199" s="59">
        <f ca="1">AVERAGE(OFFSET($R$3,0,0,'Données projet'!$E$9+1,1))-AVERAGE(OFFSET($H$3,0,0,'Données projet'!$E$9+1,1))</f>
        <v>225.2323446080772</v>
      </c>
      <c r="T199" s="59">
        <f t="shared" si="204"/>
        <v>222.29030402759292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4.3617219261094071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4.3617219261094071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732.99999999999966</v>
      </c>
      <c r="AJ199" s="13">
        <f>AI199*VLOOKUP('Données projet'!$B$10,Paramètres!$A$1:$I$89,3,0)*VLOOKUP('Données projet'!$B$10,Paramètres!$A$1:$I$89,5,0)</f>
        <v>362.1019999999998</v>
      </c>
      <c r="AK199" s="13">
        <f t="shared" si="164"/>
        <v>84.049487364732272</v>
      </c>
      <c r="AL199" s="20">
        <f t="shared" si="165"/>
        <v>777.04717382690842</v>
      </c>
      <c r="AM199" s="59">
        <f t="shared" si="193"/>
        <v>1070.3805071602417</v>
      </c>
      <c r="AN199" s="59">
        <f ca="1">AVERAGE(OFFSET($AM$3,0,0,'Données projet'!$E$10+1,1))-AVERAGE(OFFSET($H$3,0,0,'Données projet'!$E$10+1,1))</f>
        <v>360.05819346986135</v>
      </c>
      <c r="AO199" s="59">
        <f t="shared" si="205"/>
        <v>300.47468388351081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13.061805892394814</v>
      </c>
      <c r="AV199" s="21">
        <f>EXP(-LN(2)/25)*AV198+(1-EXP(-LN(2)/25))/(LN(2)/25)*Calculateur!AQ199*Calculateur!AS199*VLOOKUP('Données projet'!$B$10,Paramètres!$A$1:$I$89,3,0)*0.475*44/12</f>
        <v>0.42420469137410022</v>
      </c>
      <c r="AW199" s="21">
        <f>EXP(-LN(2)/2)*AW198+(1-EXP(-LN(2)/2))/(LN(2)/2)*AQ199*AT199*VLOOKUP('Données projet'!$B$10,Paramètres!$A$1:$I$89,3,0)*0.475*44/12</f>
        <v>5.4218078798157467E-27</v>
      </c>
      <c r="AX199" s="21">
        <f t="shared" si="166"/>
        <v>13.486010583768914</v>
      </c>
      <c r="AY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465.00000000000006</v>
      </c>
      <c r="BE199" s="13">
        <f>BD199*VLOOKUP('Données projet'!$B$11,Paramètres!$A$1:$I$89,3,0)*VLOOKUP('Données projet'!$B$11,Paramètres!$A$1:$I$89,5,0)</f>
        <v>265.98</v>
      </c>
      <c r="BF199" s="13">
        <f t="shared" si="167"/>
        <v>63.995380422211589</v>
      </c>
      <c r="BG199" s="20">
        <f t="shared" si="168"/>
        <v>574.70712090201857</v>
      </c>
      <c r="BH199" s="59">
        <f t="shared" si="194"/>
        <v>868.04045423535194</v>
      </c>
      <c r="BI199" s="59">
        <f ca="1">AVERAGE(OFFSET($BH$3,0,0,'Données projet'!$E$11+1,1))-AVERAGE(OFFSET($H$3,0,0,'Données projet'!$E$11+1,1))</f>
        <v>250.90038883668348</v>
      </c>
      <c r="BJ199" s="59">
        <f t="shared" si="206"/>
        <v>141.96132114475608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10.003840041848733</v>
      </c>
      <c r="BQ199" s="21">
        <f>EXP(-LN(2)/25)*BQ198+(1-EXP(-LN(2)/25))/(LN(2)/25)*Calculateur!BL199*Calculateur!BN199*VLOOKUP('Données projet'!$B$11,Paramètres!$A$1:$I$89,3,0)*0.475*44/12</f>
        <v>0.11935824212395556</v>
      </c>
      <c r="BR199" s="21">
        <f>EXP(-LN(2)/2)*BR198+(1-EXP(-LN(2)/2))/(LN(2)/2)*BL199*BO199*VLOOKUP('Données projet'!$B$11,Paramètres!$A$1:$I$89,3,0)*0.475*44/12</f>
        <v>3.9064374845567585E-25</v>
      </c>
      <c r="BS199" s="22">
        <f t="shared" si="169"/>
        <v>10.123198283972688</v>
      </c>
      <c r="BT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319</v>
      </c>
      <c r="BZ199" s="13">
        <f>BY199*VLOOKUP('Données projet'!$B$12,Paramètres!$A$1:$I$89,3,0)*VLOOKUP('Données projet'!$B$12,Paramètres!$A$1:$I$89,5,0)</f>
        <v>253.79640000000001</v>
      </c>
      <c r="CA199" s="13">
        <f t="shared" si="170"/>
        <v>61.39816832228076</v>
      </c>
      <c r="CB199" s="20">
        <f t="shared" si="171"/>
        <v>548.96387316130563</v>
      </c>
      <c r="CC199" s="59">
        <f t="shared" si="195"/>
        <v>842.29720649463889</v>
      </c>
      <c r="CD199" s="59">
        <f ca="1">AVERAGE(OFFSET($CC$3,0,0,'Données projet'!$E$12+1,1))-AVERAGE(OFFSET($H$3,0,0,'Données projet'!$E$12+1,1))</f>
        <v>279.49721661620544</v>
      </c>
      <c r="CE199" s="59">
        <f t="shared" si="207"/>
        <v>275.18739333988754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5.345063276592402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5.345063276592402</v>
      </c>
      <c r="CO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789</v>
      </c>
      <c r="CU199" s="17">
        <f>CT199*VLOOKUP('Données projet'!$B$13,Paramètres!$A$1:$I$89,3,0)*VLOOKUP('Données projet'!$B$13,Paramètres!$A$1:$I$89,5,0)</f>
        <v>389.76600000000002</v>
      </c>
      <c r="CV199" s="13">
        <f t="shared" si="173"/>
        <v>89.698759503620408</v>
      </c>
      <c r="CW199" s="20">
        <f t="shared" si="174"/>
        <v>835.06778946880547</v>
      </c>
      <c r="CX199" s="59">
        <f t="shared" si="196"/>
        <v>1128.4011228021388</v>
      </c>
      <c r="CY199" s="59">
        <f ca="1">AVERAGE(OFFSET($CX$3,0,0,'Données projet'!$E$13+1,1))-AVERAGE(OFFSET($H$3,0,0,'Données projet'!$E$13+1,1))</f>
        <v>396.27049617044378</v>
      </c>
      <c r="CZ199" s="59">
        <f t="shared" si="208"/>
        <v>335.2680289568774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14.48941015181167</v>
      </c>
      <c r="DG199" s="21">
        <f>EXP(-LN(2)/25)*DG198+(1-EXP(-LN(2)/25))/(LN(2)/25)*Calculateur!DB199*Calculateur!DD199*VLOOKUP('Données projet'!$B$13,Paramètres!$A$1:$I$89,3,0)*0.475*44/12</f>
        <v>0.47133854597122327</v>
      </c>
      <c r="DH199" s="21">
        <f>EXP(-LN(2)/2)*DH198+(1-EXP(-LN(2)/2))/(LN(2)/2)*DB199*DE199*VLOOKUP('Données projet'!$B$13,Paramètres!$A$1:$I$89,3,0)*0.475*44/12</f>
        <v>3.9759924451982169E-26</v>
      </c>
      <c r="DI199" s="22">
        <f t="shared" si="175"/>
        <v>14.960748697782893</v>
      </c>
      <c r="DJ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541.99999999999989</v>
      </c>
      <c r="DP199" s="17">
        <f>DO199*VLOOKUP('Données projet'!$B$14,Paramètres!$A$1:$I$89,3,0)*VLOOKUP('Données projet'!$B$14,Paramètres!$A$1:$I$89,5,0)</f>
        <v>310.02399999999994</v>
      </c>
      <c r="DQ199" s="13">
        <f t="shared" si="176"/>
        <v>73.27384230442388</v>
      </c>
      <c r="DR199" s="20">
        <f t="shared" si="177"/>
        <v>667.57707534687154</v>
      </c>
      <c r="DS199" s="59">
        <f t="shared" si="197"/>
        <v>960.91040868020491</v>
      </c>
      <c r="DT199" s="59">
        <f ca="1">AVERAGE(OFFSET($DS$3,0,0,'Données projet'!$E$14+1,1))-AVERAGE(OFFSET($H$3,0,0,'Données projet'!$E$14+1,1))</f>
        <v>307.43900954374504</v>
      </c>
      <c r="DU199" s="59">
        <f t="shared" si="209"/>
        <v>185.25270859048999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11.521167361905817</v>
      </c>
      <c r="EB199" s="21">
        <f>EXP(-LN(2)/25)*EB198+(1-EXP(-LN(2)/25))/(LN(2)/25)*Calculateur!DW199*Calculateur!DY199*VLOOKUP('Données projet'!$B$14,Paramètres!$A$1:$I$89,3,0)*0.475*44/12</f>
        <v>0.26791875244680047</v>
      </c>
      <c r="EC199" s="21">
        <f>EXP(-LN(2)/2)*EC198+(1-EXP(-LN(2)/2))/(LN(2)/2)*DW199*DZ199*VLOOKUP('Données projet'!$B$14,Paramètres!$A$1:$I$89,3,0)*0.475*44/12</f>
        <v>3.7667296849246248E-26</v>
      </c>
      <c r="ED199" s="22">
        <f t="shared" si="178"/>
        <v>11.789086114352617</v>
      </c>
      <c r="EE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401</v>
      </c>
      <c r="EK199" s="17">
        <f>EJ199*VLOOKUP('Données projet'!$B$15,Paramètres!$A$1:$I$89,3,0)*VLOOKUP('Données projet'!$B$15,Paramètres!$A$1:$I$89,5,0)</f>
        <v>250.22399999999999</v>
      </c>
      <c r="EL199" s="13">
        <f t="shared" si="179"/>
        <v>60.633904580527918</v>
      </c>
      <c r="EM199" s="20">
        <f t="shared" si="180"/>
        <v>541.41085047775289</v>
      </c>
      <c r="EN199" s="59">
        <f t="shared" si="198"/>
        <v>834.74418381108626</v>
      </c>
      <c r="EO199" s="59">
        <f ca="1">AVERAGE(OFFSET($EN$3,0,0,'Données projet'!$E$15+1,1))-AVERAGE(OFFSET($H$3,0,0,'Données projet'!$E$15+1,1))</f>
        <v>269.77739619445515</v>
      </c>
      <c r="EP199" s="59">
        <f t="shared" si="210"/>
        <v>347.56964743629885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5.1807121214533423</v>
      </c>
      <c r="EW199" s="21">
        <f>EXP(-LN(2)/25)*EW198+(1-EXP(-LN(2)/25))/(LN(2)/25)*Calculateur!ER199*Calculateur!ET199*VLOOKUP('Données projet'!$B$15,Paramètres!$A$1:$I$89,3,0)*0.475*44/12</f>
        <v>0.91987738329973756</v>
      </c>
      <c r="EX199" s="21">
        <f>EXP(-LN(2)/2)*EX198+(1-EXP(-LN(2)/2))/(LN(2)/2)*ER199*EU199*VLOOKUP('Données projet'!$B$15,Paramètres!$A$1:$I$89,3,0)*0.475*44/12</f>
        <v>2.5682247851758809E-27</v>
      </c>
      <c r="EY199" s="22">
        <f t="shared" si="181"/>
        <v>6.1005895047530796</v>
      </c>
      <c r="EZ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367.99999999999972</v>
      </c>
      <c r="FF199" s="17">
        <f>FE199*VLOOKUP('Données projet'!$B$16,Paramètres!$A$1:$I$89,3,0)*VLOOKUP('Données projet'!$B$16,Paramètres!$A$1:$I$89,5,0)</f>
        <v>292.78079999999977</v>
      </c>
      <c r="FG199" s="13">
        <f t="shared" si="182"/>
        <v>69.660903052386217</v>
      </c>
      <c r="FH199" s="20">
        <f t="shared" si="183"/>
        <v>631.25263281623893</v>
      </c>
      <c r="FI199" s="59">
        <f t="shared" si="199"/>
        <v>924.58596614957219</v>
      </c>
      <c r="FJ199" s="59">
        <f ca="1">AVERAGE(OFFSET($FI$3,0,0,'Données projet'!$E$16+1,1))-AVERAGE(OFFSET($H$3,0,0,'Données projet'!$E$16+1,1))</f>
        <v>331.52724290297675</v>
      </c>
      <c r="FK199" s="59">
        <f t="shared" si="211"/>
        <v>322.79102610158054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6.1960041934793155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6.1960041934793155</v>
      </c>
      <c r="FU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852.00000000000011</v>
      </c>
      <c r="GA199" s="17">
        <f>FZ199*VLOOKUP('Données projet'!$B$17,Paramètres!$A$1:$I$89,3,0)*VLOOKUP('Données projet'!$B$17,Paramètres!$A$1:$I$89,5,0)</f>
        <v>420.88800000000009</v>
      </c>
      <c r="GB199" s="13">
        <f t="shared" si="185"/>
        <v>95.998759891259041</v>
      </c>
      <c r="GC199" s="20">
        <f t="shared" si="186"/>
        <v>900.24444014394294</v>
      </c>
      <c r="GD199" s="59">
        <f t="shared" si="200"/>
        <v>1193.5777734772762</v>
      </c>
      <c r="GE199" s="59">
        <f ca="1">AVERAGE(OFFSET($GD$3,0,0,'Données projet'!$E$17+1,1))-AVERAGE(OFFSET($H$3,0,0,'Données projet'!$E$17+1,1))</f>
        <v>434.08297999735811</v>
      </c>
      <c r="GF199" s="59">
        <f t="shared" si="212"/>
        <v>371.04090283546122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15.986066768281486</v>
      </c>
      <c r="GM199" s="21">
        <f>EXP(-LN(2)/25)*GM198+(1-EXP(-LN(2)/25))/(LN(2)/25)*Calculateur!GH199*Calculateur!GJ199*VLOOKUP('Données projet'!$B$17,Paramètres!$A$1:$I$89,3,0)*0.475*44/12</f>
        <v>0.51847240056834587</v>
      </c>
      <c r="GN199" s="21">
        <f>EXP(-LN(2)/2)*GN198+(1-EXP(-LN(2)/2))/(LN(2)/2)*GH199*GK199*VLOOKUP('Données projet'!$B$17,Paramètres!$A$1:$I$89,3,0)*0.475*44/12</f>
        <v>7.771257961069238E-26</v>
      </c>
      <c r="GO199" s="21">
        <f t="shared" si="187"/>
        <v>16.504539168849831</v>
      </c>
      <c r="GP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614.99999999999989</v>
      </c>
      <c r="GV199" s="17">
        <f>GU199*VLOOKUP('Données projet'!$B$18,Paramètres!$A$1:$I$89,3,0)*VLOOKUP('Données projet'!$B$18,Paramètres!$A$1:$I$89,5,0)</f>
        <v>351.78</v>
      </c>
      <c r="GW199" s="13">
        <f t="shared" si="188"/>
        <v>81.92892344316067</v>
      </c>
      <c r="GX199" s="20">
        <f t="shared" si="189"/>
        <v>755.37637499683808</v>
      </c>
      <c r="GY199" s="59">
        <f t="shared" si="201"/>
        <v>1048.7097083301715</v>
      </c>
      <c r="GZ199" s="59">
        <f ca="1">AVERAGE(OFFSET($GY$3,0,0,'Données projet'!$E$18+1,1))-AVERAGE(OFFSET($H$3,0,0,'Données projet'!$E$18+1,1))</f>
        <v>362.57172983134313</v>
      </c>
      <c r="HA199" s="59">
        <f t="shared" si="213"/>
        <v>232.03250917542471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12.992361918392097</v>
      </c>
      <c r="HH199" s="21">
        <f>EXP(-LN(2)/25)*HH198+(1-EXP(-LN(2)/25))/(LN(2)/25)*Calculateur!HC199*Calculateur!HE199*VLOOKUP('Données projet'!$B$18,Paramètres!$A$1:$I$89,3,0)*0.475*44/12</f>
        <v>0.31257187785460089</v>
      </c>
      <c r="HI199" s="21">
        <f>EXP(-LN(2)/2)*HI198+(1-EXP(-LN(2)/2))/(LN(2)/2)*HC199*HF199*VLOOKUP('Données projet'!$B$18,Paramètres!$A$1:$I$89,3,0)*0.475*44/12</f>
        <v>7.7427221301228376E-26</v>
      </c>
      <c r="HJ199" s="22">
        <f t="shared" si="190"/>
        <v>13.304933796246699</v>
      </c>
    </row>
    <row r="200" spans="1:218" x14ac:dyDescent="0.3">
      <c r="A200" s="10">
        <f t="shared" si="161"/>
        <v>197</v>
      </c>
      <c r="B200" s="71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5">
        <f t="shared" si="192"/>
        <v>503.14501469851064</v>
      </c>
      <c r="I200" s="6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266.99999999999983</v>
      </c>
      <c r="O200" s="13">
        <f>N200*VLOOKUP('Données projet'!$B$9,Paramètres!$A$1:$I$89,3,0)*VLOOKUP('Données projet'!$B$9,Paramètres!$A$1:$I$89,5,0)</f>
        <v>212.42519999999985</v>
      </c>
      <c r="P200" s="13">
        <f t="shared" si="203"/>
        <v>52.465198231787184</v>
      </c>
      <c r="Q200" s="20">
        <f t="shared" si="162"/>
        <v>461.35077692036231</v>
      </c>
      <c r="R200" s="59">
        <f t="shared" si="191"/>
        <v>754.68411025369562</v>
      </c>
      <c r="S200" s="59">
        <f ca="1">AVERAGE(OFFSET($R$3,0,0,'Données projet'!$E$9+1,1))-AVERAGE(OFFSET($H$3,0,0,'Données projet'!$E$9+1,1))</f>
        <v>225.2323446080772</v>
      </c>
      <c r="T200" s="59">
        <f t="shared" si="204"/>
        <v>222.29030402759292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4.2761912195260852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4.2761912195260852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732.99999999999966</v>
      </c>
      <c r="AJ200" s="13">
        <f>AI200*VLOOKUP('Données projet'!$B$10,Paramètres!$A$1:$I$89,3,0)*VLOOKUP('Données projet'!$B$10,Paramètres!$A$1:$I$89,5,0)</f>
        <v>362.1019999999998</v>
      </c>
      <c r="AK200" s="13">
        <f t="shared" si="164"/>
        <v>84.049487364732272</v>
      </c>
      <c r="AL200" s="20">
        <f t="shared" si="165"/>
        <v>777.04717382690842</v>
      </c>
      <c r="AM200" s="59">
        <f t="shared" si="193"/>
        <v>1070.3805071602417</v>
      </c>
      <c r="AN200" s="59">
        <f ca="1">AVERAGE(OFFSET($AM$3,0,0,'Données projet'!$E$10+1,1))-AVERAGE(OFFSET($H$3,0,0,'Données projet'!$E$10+1,1))</f>
        <v>360.05819346986135</v>
      </c>
      <c r="AO200" s="59">
        <f t="shared" si="205"/>
        <v>300.47468388351081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12.805671845759878</v>
      </c>
      <c r="AV200" s="21">
        <f>EXP(-LN(2)/25)*AV199+(1-EXP(-LN(2)/25))/(LN(2)/25)*Calculateur!AQ200*Calculateur!AS200*VLOOKUP('Données projet'!$B$10,Paramètres!$A$1:$I$89,3,0)*0.475*44/12</f>
        <v>0.41260479178052029</v>
      </c>
      <c r="AW200" s="21">
        <f>EXP(-LN(2)/2)*AW199+(1-EXP(-LN(2)/2))/(LN(2)/2)*AQ200*AT200*VLOOKUP('Données projet'!$B$10,Paramètres!$A$1:$I$89,3,0)*0.475*44/12</f>
        <v>3.8337971181083723E-27</v>
      </c>
      <c r="AX200" s="21">
        <f t="shared" si="166"/>
        <v>13.218276637540399</v>
      </c>
      <c r="AY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465.00000000000006</v>
      </c>
      <c r="BE200" s="13">
        <f>BD200*VLOOKUP('Données projet'!$B$11,Paramètres!$A$1:$I$89,3,0)*VLOOKUP('Données projet'!$B$11,Paramètres!$A$1:$I$89,5,0)</f>
        <v>265.98</v>
      </c>
      <c r="BF200" s="13">
        <f t="shared" si="167"/>
        <v>63.995380422211589</v>
      </c>
      <c r="BG200" s="20">
        <f t="shared" si="168"/>
        <v>574.70712090201857</v>
      </c>
      <c r="BH200" s="59">
        <f t="shared" si="194"/>
        <v>868.04045423535194</v>
      </c>
      <c r="BI200" s="59">
        <f ca="1">AVERAGE(OFFSET($BH$3,0,0,'Données projet'!$E$11+1,1))-AVERAGE(OFFSET($H$3,0,0,'Données projet'!$E$11+1,1))</f>
        <v>250.90038883668348</v>
      </c>
      <c r="BJ200" s="59">
        <f t="shared" si="206"/>
        <v>141.96132114475608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9.807670840368008</v>
      </c>
      <c r="BQ200" s="21">
        <f>EXP(-LN(2)/25)*BQ199+(1-EXP(-LN(2)/25))/(LN(2)/25)*Calculateur!BL200*Calculateur!BN200*VLOOKUP('Données projet'!$B$11,Paramètres!$A$1:$I$89,3,0)*0.475*44/12</f>
        <v>0.11609438471629883</v>
      </c>
      <c r="BR200" s="21">
        <f>EXP(-LN(2)/2)*BR199+(1-EXP(-LN(2)/2))/(LN(2)/2)*BL200*BO200*VLOOKUP('Données projet'!$B$11,Paramètres!$A$1:$I$89,3,0)*0.475*44/12</f>
        <v>2.7622684356114029E-25</v>
      </c>
      <c r="BS200" s="22">
        <f t="shared" si="169"/>
        <v>9.9237652250843063</v>
      </c>
      <c r="BT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319</v>
      </c>
      <c r="BZ200" s="13">
        <f>BY200*VLOOKUP('Données projet'!$B$12,Paramètres!$A$1:$I$89,3,0)*VLOOKUP('Données projet'!$B$12,Paramètres!$A$1:$I$89,5,0)</f>
        <v>253.79640000000001</v>
      </c>
      <c r="CA200" s="13">
        <f t="shared" si="170"/>
        <v>61.39816832228076</v>
      </c>
      <c r="CB200" s="20">
        <f t="shared" si="171"/>
        <v>548.96387316130563</v>
      </c>
      <c r="CC200" s="59">
        <f t="shared" si="195"/>
        <v>842.29720649463889</v>
      </c>
      <c r="CD200" s="59">
        <f ca="1">AVERAGE(OFFSET($CC$3,0,0,'Données projet'!$E$12+1,1))-AVERAGE(OFFSET($H$3,0,0,'Données projet'!$E$12+1,1))</f>
        <v>279.49721661620544</v>
      </c>
      <c r="CE200" s="59">
        <f t="shared" si="207"/>
        <v>275.18739333988754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5.240249845905109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5.240249845905109</v>
      </c>
      <c r="CO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789</v>
      </c>
      <c r="CU200" s="17">
        <f>CT200*VLOOKUP('Données projet'!$B$13,Paramètres!$A$1:$I$89,3,0)*VLOOKUP('Données projet'!$B$13,Paramètres!$A$1:$I$89,5,0)</f>
        <v>389.76600000000002</v>
      </c>
      <c r="CV200" s="13">
        <f t="shared" si="173"/>
        <v>89.698759503620408</v>
      </c>
      <c r="CW200" s="20">
        <f t="shared" si="174"/>
        <v>835.06778946880547</v>
      </c>
      <c r="CX200" s="59">
        <f t="shared" si="196"/>
        <v>1128.4011228021388</v>
      </c>
      <c r="CY200" s="59">
        <f ca="1">AVERAGE(OFFSET($CX$3,0,0,'Données projet'!$E$13+1,1))-AVERAGE(OFFSET($H$3,0,0,'Données projet'!$E$13+1,1))</f>
        <v>396.27049617044378</v>
      </c>
      <c r="CZ200" s="59">
        <f t="shared" si="208"/>
        <v>335.2680289568774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14.205281656402189</v>
      </c>
      <c r="DG200" s="21">
        <f>EXP(-LN(2)/25)*DG199+(1-EXP(-LN(2)/25))/(LN(2)/25)*Calculateur!DB200*Calculateur!DD200*VLOOKUP('Données projet'!$B$13,Paramètres!$A$1:$I$89,3,0)*0.475*44/12</f>
        <v>0.45844976864502329</v>
      </c>
      <c r="DH200" s="21">
        <f>EXP(-LN(2)/2)*DH199+(1-EXP(-LN(2)/2))/(LN(2)/2)*DB200*DE200*VLOOKUP('Données projet'!$B$13,Paramètres!$A$1:$I$89,3,0)*0.475*44/12</f>
        <v>2.8114512199461416E-26</v>
      </c>
      <c r="DI200" s="22">
        <f t="shared" si="175"/>
        <v>14.663731425047212</v>
      </c>
      <c r="DJ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541.99999999999989</v>
      </c>
      <c r="DP200" s="17">
        <f>DO200*VLOOKUP('Données projet'!$B$14,Paramètres!$A$1:$I$89,3,0)*VLOOKUP('Données projet'!$B$14,Paramètres!$A$1:$I$89,5,0)</f>
        <v>310.02399999999994</v>
      </c>
      <c r="DQ200" s="13">
        <f t="shared" si="176"/>
        <v>73.27384230442388</v>
      </c>
      <c r="DR200" s="20">
        <f t="shared" si="177"/>
        <v>667.57707534687154</v>
      </c>
      <c r="DS200" s="59">
        <f t="shared" si="197"/>
        <v>960.91040868020491</v>
      </c>
      <c r="DT200" s="59">
        <f ca="1">AVERAGE(OFFSET($DS$3,0,0,'Données projet'!$E$14+1,1))-AVERAGE(OFFSET($H$3,0,0,'Données projet'!$E$14+1,1))</f>
        <v>307.43900954374504</v>
      </c>
      <c r="DU200" s="59">
        <f t="shared" si="209"/>
        <v>185.25270859048999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11.295244297157055</v>
      </c>
      <c r="EB200" s="21">
        <f>EXP(-LN(2)/25)*EB199+(1-EXP(-LN(2)/25))/(LN(2)/25)*Calculateur!DW200*Calculateur!DY200*VLOOKUP('Données projet'!$B$14,Paramètres!$A$1:$I$89,3,0)*0.475*44/12</f>
        <v>0.26059250007190787</v>
      </c>
      <c r="EC200" s="21">
        <f>EXP(-LN(2)/2)*EC199+(1-EXP(-LN(2)/2))/(LN(2)/2)*DW200*DZ200*VLOOKUP('Données projet'!$B$14,Paramètres!$A$1:$I$89,3,0)*0.475*44/12</f>
        <v>2.6634801031068697E-26</v>
      </c>
      <c r="ED200" s="22">
        <f t="shared" si="178"/>
        <v>11.555836797228963</v>
      </c>
      <c r="EE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401</v>
      </c>
      <c r="EK200" s="17">
        <f>EJ200*VLOOKUP('Données projet'!$B$15,Paramètres!$A$1:$I$89,3,0)*VLOOKUP('Données projet'!$B$15,Paramètres!$A$1:$I$89,5,0)</f>
        <v>250.22399999999999</v>
      </c>
      <c r="EL200" s="13">
        <f t="shared" si="179"/>
        <v>60.633904580527918</v>
      </c>
      <c r="EM200" s="20">
        <f t="shared" si="180"/>
        <v>541.41085047775289</v>
      </c>
      <c r="EN200" s="59">
        <f t="shared" si="198"/>
        <v>834.74418381108626</v>
      </c>
      <c r="EO200" s="59">
        <f ca="1">AVERAGE(OFFSET($EN$3,0,0,'Données projet'!$E$15+1,1))-AVERAGE(OFFSET($H$3,0,0,'Données projet'!$E$15+1,1))</f>
        <v>269.77739619445515</v>
      </c>
      <c r="EP200" s="59">
        <f t="shared" si="210"/>
        <v>347.56964743629885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5.0791215166740198</v>
      </c>
      <c r="EW200" s="21">
        <f>EXP(-LN(2)/25)*EW199+(1-EXP(-LN(2)/25))/(LN(2)/25)*Calculateur!ER200*Calculateur!ET200*VLOOKUP('Données projet'!$B$15,Paramètres!$A$1:$I$89,3,0)*0.475*44/12</f>
        <v>0.894723287879157</v>
      </c>
      <c r="EX200" s="21">
        <f>EXP(-LN(2)/2)*EX199+(1-EXP(-LN(2)/2))/(LN(2)/2)*ER200*EU200*VLOOKUP('Données projet'!$B$15,Paramètres!$A$1:$I$89,3,0)*0.475*44/12</f>
        <v>1.8160091612092296E-27</v>
      </c>
      <c r="EY200" s="22">
        <f t="shared" si="181"/>
        <v>5.9738448045531767</v>
      </c>
      <c r="EZ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367.99999999999972</v>
      </c>
      <c r="FF200" s="17">
        <f>FE200*VLOOKUP('Données projet'!$B$16,Paramètres!$A$1:$I$89,3,0)*VLOOKUP('Données projet'!$B$16,Paramètres!$A$1:$I$89,5,0)</f>
        <v>292.78079999999977</v>
      </c>
      <c r="FG200" s="13">
        <f t="shared" si="182"/>
        <v>69.660903052386217</v>
      </c>
      <c r="FH200" s="20">
        <f t="shared" si="183"/>
        <v>631.25263281623893</v>
      </c>
      <c r="FI200" s="59">
        <f t="shared" si="199"/>
        <v>924.58596614957219</v>
      </c>
      <c r="FJ200" s="59">
        <f ca="1">AVERAGE(OFFSET($FI$3,0,0,'Données projet'!$E$16+1,1))-AVERAGE(OFFSET($H$3,0,0,'Données projet'!$E$16+1,1))</f>
        <v>331.52724290297675</v>
      </c>
      <c r="FK200" s="59">
        <f t="shared" si="211"/>
        <v>322.79102610158054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6.0745043304345803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6.0745043304345803</v>
      </c>
      <c r="FU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852.00000000000011</v>
      </c>
      <c r="GA200" s="17">
        <f>FZ200*VLOOKUP('Données projet'!$B$17,Paramètres!$A$1:$I$89,3,0)*VLOOKUP('Données projet'!$B$17,Paramètres!$A$1:$I$89,5,0)</f>
        <v>420.88800000000009</v>
      </c>
      <c r="GB200" s="13">
        <f t="shared" si="185"/>
        <v>95.998759891259041</v>
      </c>
      <c r="GC200" s="20">
        <f t="shared" si="186"/>
        <v>900.24444014394294</v>
      </c>
      <c r="GD200" s="59">
        <f t="shared" si="200"/>
        <v>1193.5777734772762</v>
      </c>
      <c r="GE200" s="59">
        <f ca="1">AVERAGE(OFFSET($GD$3,0,0,'Données projet'!$E$17+1,1))-AVERAGE(OFFSET($H$3,0,0,'Données projet'!$E$17+1,1))</f>
        <v>434.08297999735811</v>
      </c>
      <c r="GF200" s="59">
        <f t="shared" si="212"/>
        <v>371.04090283546122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15.672589749493429</v>
      </c>
      <c r="GM200" s="21">
        <f>EXP(-LN(2)/25)*GM199+(1-EXP(-LN(2)/25))/(LN(2)/25)*Calculateur!GH200*Calculateur!GJ200*VLOOKUP('Données projet'!$B$17,Paramètres!$A$1:$I$89,3,0)*0.475*44/12</f>
        <v>0.50429474550952591</v>
      </c>
      <c r="GN200" s="21">
        <f>EXP(-LN(2)/2)*GN199+(1-EXP(-LN(2)/2))/(LN(2)/2)*GH200*GK200*VLOOKUP('Données projet'!$B$17,Paramètres!$A$1:$I$89,3,0)*0.475*44/12</f>
        <v>5.4951092026220009E-26</v>
      </c>
      <c r="GO200" s="21">
        <f t="shared" si="187"/>
        <v>16.176884495002955</v>
      </c>
      <c r="GP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614.99999999999989</v>
      </c>
      <c r="GV200" s="17">
        <f>GU200*VLOOKUP('Données projet'!$B$18,Paramètres!$A$1:$I$89,3,0)*VLOOKUP('Données projet'!$B$18,Paramètres!$A$1:$I$89,5,0)</f>
        <v>351.78</v>
      </c>
      <c r="GW200" s="13">
        <f t="shared" si="188"/>
        <v>81.92892344316067</v>
      </c>
      <c r="GX200" s="20">
        <f t="shared" si="189"/>
        <v>755.37637499683808</v>
      </c>
      <c r="GY200" s="59">
        <f t="shared" si="201"/>
        <v>1048.7097083301715</v>
      </c>
      <c r="GZ200" s="59">
        <f ca="1">AVERAGE(OFFSET($GY$3,0,0,'Données projet'!$E$18+1,1))-AVERAGE(OFFSET($H$3,0,0,'Données projet'!$E$18+1,1))</f>
        <v>362.57172983134313</v>
      </c>
      <c r="HA200" s="59">
        <f t="shared" si="213"/>
        <v>232.03250917542471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12.737589625730713</v>
      </c>
      <c r="HH200" s="21">
        <f>EXP(-LN(2)/25)*HH199+(1-EXP(-LN(2)/25))/(LN(2)/25)*Calculateur!HC200*Calculateur!HE200*VLOOKUP('Données projet'!$B$18,Paramètres!$A$1:$I$89,3,0)*0.475*44/12</f>
        <v>0.30402458341722616</v>
      </c>
      <c r="HI200" s="21">
        <f>EXP(-LN(2)/2)*HI199+(1-EXP(-LN(2)/2))/(LN(2)/2)*HC200*HF200*VLOOKUP('Données projet'!$B$18,Paramètres!$A$1:$I$89,3,0)*0.475*44/12</f>
        <v>5.4749313230530084E-26</v>
      </c>
      <c r="HJ200" s="22">
        <f t="shared" si="190"/>
        <v>13.041614209147939</v>
      </c>
    </row>
    <row r="201" spans="1:218" x14ac:dyDescent="0.3">
      <c r="A201" s="10">
        <f>A200+1</f>
        <v>198</v>
      </c>
      <c r="B201" s="71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5">
        <f t="shared" si="192"/>
        <v>504.18353257497199</v>
      </c>
      <c r="I201" s="6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266.99999999999983</v>
      </c>
      <c r="O201" s="13">
        <f>N201*VLOOKUP('Données projet'!$B$9,Paramètres!$A$1:$I$89,3,0)*VLOOKUP('Données projet'!$B$9,Paramètres!$A$1:$I$89,5,0)</f>
        <v>212.42519999999985</v>
      </c>
      <c r="P201" s="13">
        <f t="shared" si="203"/>
        <v>52.465198231787184</v>
      </c>
      <c r="Q201" s="20">
        <f t="shared" si="162"/>
        <v>461.35077692036231</v>
      </c>
      <c r="R201" s="59">
        <f t="shared" si="191"/>
        <v>754.68411025369562</v>
      </c>
      <c r="S201" s="59">
        <f ca="1">AVERAGE(OFFSET($R$3,0,0,'Données projet'!$E$9+1,1))-AVERAGE(OFFSET($H$3,0,0,'Données projet'!$E$9+1,1))</f>
        <v>225.2323446080772</v>
      </c>
      <c r="T201" s="59">
        <f t="shared" si="204"/>
        <v>222.29030402759292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4.1923377179302825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4.1923377179302825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732.99999999999966</v>
      </c>
      <c r="AJ201" s="13">
        <f>AI201*VLOOKUP('Données projet'!$B$10,Paramètres!$A$1:$I$89,3,0)*VLOOKUP('Données projet'!$B$10,Paramètres!$A$1:$I$89,5,0)</f>
        <v>362.1019999999998</v>
      </c>
      <c r="AK201" s="13">
        <f t="shared" si="164"/>
        <v>84.049487364732272</v>
      </c>
      <c r="AL201" s="20">
        <f t="shared" si="165"/>
        <v>777.04717382690842</v>
      </c>
      <c r="AM201" s="59">
        <f t="shared" si="193"/>
        <v>1070.3805071602417</v>
      </c>
      <c r="AN201" s="59">
        <f ca="1">AVERAGE(OFFSET($AM$3,0,0,'Données projet'!$E$10+1,1))-AVERAGE(OFFSET($H$3,0,0,'Données projet'!$E$10+1,1))</f>
        <v>360.05819346986135</v>
      </c>
      <c r="AO201" s="59">
        <f t="shared" si="205"/>
        <v>300.47468388351081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12.554560431553112</v>
      </c>
      <c r="AV201" s="21">
        <f>EXP(-LN(2)/25)*AV200+(1-EXP(-LN(2)/25))/(LN(2)/25)*Calculateur!AQ201*Calculateur!AS201*VLOOKUP('Données projet'!$B$10,Paramètres!$A$1:$I$89,3,0)*0.475*44/12</f>
        <v>0.40132209205133895</v>
      </c>
      <c r="AW201" s="21">
        <f>EXP(-LN(2)/2)*AW200+(1-EXP(-LN(2)/2))/(LN(2)/2)*AQ201*AT201*VLOOKUP('Données projet'!$B$10,Paramètres!$A$1:$I$89,3,0)*0.475*44/12</f>
        <v>2.7109039399078734E-27</v>
      </c>
      <c r="AX201" s="21">
        <f t="shared" si="166"/>
        <v>12.955882523604451</v>
      </c>
      <c r="AY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465.00000000000006</v>
      </c>
      <c r="BE201" s="13">
        <f>BD201*VLOOKUP('Données projet'!$B$11,Paramètres!$A$1:$I$89,3,0)*VLOOKUP('Données projet'!$B$11,Paramètres!$A$1:$I$89,5,0)</f>
        <v>265.98</v>
      </c>
      <c r="BF201" s="13">
        <f t="shared" si="167"/>
        <v>63.995380422211589</v>
      </c>
      <c r="BG201" s="20">
        <f t="shared" si="168"/>
        <v>574.70712090201857</v>
      </c>
      <c r="BH201" s="59">
        <f t="shared" si="194"/>
        <v>868.04045423535194</v>
      </c>
      <c r="BI201" s="59">
        <f ca="1">AVERAGE(OFFSET($BH$3,0,0,'Données projet'!$E$11+1,1))-AVERAGE(OFFSET($H$3,0,0,'Données projet'!$E$11+1,1))</f>
        <v>250.90038883668348</v>
      </c>
      <c r="BJ201" s="59">
        <f t="shared" si="206"/>
        <v>141.96132114475608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9.6153483972769216</v>
      </c>
      <c r="BQ201" s="21">
        <f>EXP(-LN(2)/25)*BQ200+(1-EXP(-LN(2)/25))/(LN(2)/25)*Calculateur!BL201*Calculateur!BN201*VLOOKUP('Données projet'!$B$11,Paramètres!$A$1:$I$89,3,0)*0.475*44/12</f>
        <v>0.11291977766109329</v>
      </c>
      <c r="BR201" s="21">
        <f>EXP(-LN(2)/2)*BR200+(1-EXP(-LN(2)/2))/(LN(2)/2)*BL201*BO201*VLOOKUP('Données projet'!$B$11,Paramètres!$A$1:$I$89,3,0)*0.475*44/12</f>
        <v>1.9532187422783793E-25</v>
      </c>
      <c r="BS201" s="22">
        <f t="shared" si="169"/>
        <v>9.7282681749380142</v>
      </c>
      <c r="BT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319</v>
      </c>
      <c r="BZ201" s="13">
        <f>BY201*VLOOKUP('Données projet'!$B$12,Paramètres!$A$1:$I$89,3,0)*VLOOKUP('Données projet'!$B$12,Paramètres!$A$1:$I$89,5,0)</f>
        <v>253.79640000000001</v>
      </c>
      <c r="CA201" s="13">
        <f t="shared" si="170"/>
        <v>61.39816832228076</v>
      </c>
      <c r="CB201" s="20">
        <f t="shared" si="171"/>
        <v>548.96387316130563</v>
      </c>
      <c r="CC201" s="59">
        <f t="shared" si="195"/>
        <v>842.29720649463889</v>
      </c>
      <c r="CD201" s="59">
        <f ca="1">AVERAGE(OFFSET($CC$3,0,0,'Données projet'!$E$12+1,1))-AVERAGE(OFFSET($H$3,0,0,'Données projet'!$E$12+1,1))</f>
        <v>279.49721661620544</v>
      </c>
      <c r="CE201" s="59">
        <f t="shared" si="207"/>
        <v>275.18739333988754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5.1374917426637134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5.1374917426637134</v>
      </c>
      <c r="CO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789</v>
      </c>
      <c r="CU201" s="17">
        <f>CT201*VLOOKUP('Données projet'!$B$13,Paramètres!$A$1:$I$89,3,0)*VLOOKUP('Données projet'!$B$13,Paramètres!$A$1:$I$89,5,0)</f>
        <v>389.76600000000002</v>
      </c>
      <c r="CV201" s="13">
        <f t="shared" si="173"/>
        <v>89.698759503620408</v>
      </c>
      <c r="CW201" s="20">
        <f t="shared" si="174"/>
        <v>835.06778946880547</v>
      </c>
      <c r="CX201" s="59">
        <f t="shared" si="196"/>
        <v>1128.4011228021388</v>
      </c>
      <c r="CY201" s="59">
        <f ca="1">AVERAGE(OFFSET($CX$3,0,0,'Données projet'!$E$13+1,1))-AVERAGE(OFFSET($H$3,0,0,'Données projet'!$E$13+1,1))</f>
        <v>396.27049617044378</v>
      </c>
      <c r="CZ201" s="59">
        <f t="shared" si="208"/>
        <v>335.2680289568774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13.926724747486418</v>
      </c>
      <c r="DG201" s="21">
        <f>EXP(-LN(2)/25)*DG200+(1-EXP(-LN(2)/25))/(LN(2)/25)*Calculateur!DB201*Calculateur!DD201*VLOOKUP('Données projet'!$B$13,Paramètres!$A$1:$I$89,3,0)*0.475*44/12</f>
        <v>0.44591343561259961</v>
      </c>
      <c r="DH201" s="21">
        <f>EXP(-LN(2)/2)*DH200+(1-EXP(-LN(2)/2))/(LN(2)/2)*DB201*DE201*VLOOKUP('Données projet'!$B$13,Paramètres!$A$1:$I$89,3,0)*0.475*44/12</f>
        <v>1.9879962225991084E-26</v>
      </c>
      <c r="DI201" s="22">
        <f t="shared" si="175"/>
        <v>14.372638183099017</v>
      </c>
      <c r="DJ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541.99999999999989</v>
      </c>
      <c r="DP201" s="17">
        <f>DO201*VLOOKUP('Données projet'!$B$14,Paramètres!$A$1:$I$89,3,0)*VLOOKUP('Données projet'!$B$14,Paramètres!$A$1:$I$89,5,0)</f>
        <v>310.02399999999994</v>
      </c>
      <c r="DQ201" s="13">
        <f t="shared" si="176"/>
        <v>73.27384230442388</v>
      </c>
      <c r="DR201" s="20">
        <f t="shared" si="177"/>
        <v>667.57707534687154</v>
      </c>
      <c r="DS201" s="59">
        <f t="shared" si="197"/>
        <v>960.91040868020491</v>
      </c>
      <c r="DT201" s="59">
        <f ca="1">AVERAGE(OFFSET($DS$3,0,0,'Données projet'!$E$14+1,1))-AVERAGE(OFFSET($H$3,0,0,'Données projet'!$E$14+1,1))</f>
        <v>307.43900954374504</v>
      </c>
      <c r="DU201" s="59">
        <f t="shared" si="209"/>
        <v>185.25270859048999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11.073751445908552</v>
      </c>
      <c r="EB201" s="21">
        <f>EXP(-LN(2)/25)*EB200+(1-EXP(-LN(2)/25))/(LN(2)/25)*Calculateur!DW201*Calculateur!DY201*VLOOKUP('Données projet'!$B$14,Paramètres!$A$1:$I$89,3,0)*0.475*44/12</f>
        <v>0.25346658445347758</v>
      </c>
      <c r="EC201" s="21">
        <f>EXP(-LN(2)/2)*EC200+(1-EXP(-LN(2)/2))/(LN(2)/2)*DW201*DZ201*VLOOKUP('Données projet'!$B$14,Paramètres!$A$1:$I$89,3,0)*0.475*44/12</f>
        <v>1.8833648424623124E-26</v>
      </c>
      <c r="ED201" s="22">
        <f t="shared" si="178"/>
        <v>11.32721803036203</v>
      </c>
      <c r="EE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401</v>
      </c>
      <c r="EK201" s="17">
        <f>EJ201*VLOOKUP('Données projet'!$B$15,Paramètres!$A$1:$I$89,3,0)*VLOOKUP('Données projet'!$B$15,Paramètres!$A$1:$I$89,5,0)</f>
        <v>250.22399999999999</v>
      </c>
      <c r="EL201" s="13">
        <f t="shared" si="179"/>
        <v>60.633904580527918</v>
      </c>
      <c r="EM201" s="20">
        <f t="shared" si="180"/>
        <v>541.41085047775289</v>
      </c>
      <c r="EN201" s="59">
        <f t="shared" si="198"/>
        <v>834.74418381108626</v>
      </c>
      <c r="EO201" s="59">
        <f ca="1">AVERAGE(OFFSET($EN$3,0,0,'Données projet'!$E$15+1,1))-AVERAGE(OFFSET($H$3,0,0,'Données projet'!$E$15+1,1))</f>
        <v>269.77739619445515</v>
      </c>
      <c r="EP201" s="59">
        <f t="shared" si="210"/>
        <v>347.56964743629885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4.9795230416902694</v>
      </c>
      <c r="EW201" s="21">
        <f>EXP(-LN(2)/25)*EW200+(1-EXP(-LN(2)/25))/(LN(2)/25)*Calculateur!ER201*Calculateur!ET201*VLOOKUP('Données projet'!$B$15,Paramètres!$A$1:$I$89,3,0)*0.475*44/12</f>
        <v>0.87025703252064868</v>
      </c>
      <c r="EX201" s="21">
        <f>EXP(-LN(2)/2)*EX200+(1-EXP(-LN(2)/2))/(LN(2)/2)*ER201*EU201*VLOOKUP('Données projet'!$B$15,Paramètres!$A$1:$I$89,3,0)*0.475*44/12</f>
        <v>1.2841123925879405E-27</v>
      </c>
      <c r="EY201" s="22">
        <f t="shared" si="181"/>
        <v>5.8497800742109183</v>
      </c>
      <c r="EZ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367.99999999999972</v>
      </c>
      <c r="FF201" s="17">
        <f>FE201*VLOOKUP('Données projet'!$B$16,Paramètres!$A$1:$I$89,3,0)*VLOOKUP('Données projet'!$B$16,Paramètres!$A$1:$I$89,5,0)</f>
        <v>292.78079999999977</v>
      </c>
      <c r="FG201" s="13">
        <f t="shared" si="182"/>
        <v>69.660903052386217</v>
      </c>
      <c r="FH201" s="20">
        <f t="shared" si="183"/>
        <v>631.25263281623893</v>
      </c>
      <c r="FI201" s="59">
        <f t="shared" si="199"/>
        <v>924.58596614957219</v>
      </c>
      <c r="FJ201" s="59">
        <f ca="1">AVERAGE(OFFSET($FI$3,0,0,'Données projet'!$E$16+1,1))-AVERAGE(OFFSET($H$3,0,0,'Données projet'!$E$16+1,1))</f>
        <v>331.52724290297675</v>
      </c>
      <c r="FK201" s="59">
        <f t="shared" si="211"/>
        <v>322.79102610158054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5.9553870055965534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5.9553870055965534</v>
      </c>
      <c r="FU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852.00000000000011</v>
      </c>
      <c r="GA201" s="17">
        <f>FZ201*VLOOKUP('Données projet'!$B$17,Paramètres!$A$1:$I$89,3,0)*VLOOKUP('Données projet'!$B$17,Paramètres!$A$1:$I$89,5,0)</f>
        <v>420.88800000000009</v>
      </c>
      <c r="GB201" s="13">
        <f t="shared" si="185"/>
        <v>95.998759891259041</v>
      </c>
      <c r="GC201" s="20">
        <f t="shared" si="186"/>
        <v>900.24444014394294</v>
      </c>
      <c r="GD201" s="59">
        <f t="shared" si="200"/>
        <v>1193.5777734772762</v>
      </c>
      <c r="GE201" s="59">
        <f ca="1">AVERAGE(OFFSET($GD$3,0,0,'Données projet'!$E$17+1,1))-AVERAGE(OFFSET($H$3,0,0,'Données projet'!$E$17+1,1))</f>
        <v>434.08297999735811</v>
      </c>
      <c r="GF201" s="59">
        <f t="shared" si="212"/>
        <v>371.04090283546122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15.365259823841704</v>
      </c>
      <c r="GM201" s="21">
        <f>EXP(-LN(2)/25)*GM200+(1-EXP(-LN(2)/25))/(LN(2)/25)*Calculateur!GH201*Calculateur!GJ201*VLOOKUP('Données projet'!$B$17,Paramètres!$A$1:$I$89,3,0)*0.475*44/12</f>
        <v>0.49050477917385982</v>
      </c>
      <c r="GN201" s="21">
        <f>EXP(-LN(2)/2)*GN200+(1-EXP(-LN(2)/2))/(LN(2)/2)*GH201*GK201*VLOOKUP('Données projet'!$B$17,Paramètres!$A$1:$I$89,3,0)*0.475*44/12</f>
        <v>3.885628980534619E-26</v>
      </c>
      <c r="GO201" s="21">
        <f t="shared" si="187"/>
        <v>15.855764603015563</v>
      </c>
      <c r="GP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614.99999999999989</v>
      </c>
      <c r="GV201" s="17">
        <f>GU201*VLOOKUP('Données projet'!$B$18,Paramètres!$A$1:$I$89,3,0)*VLOOKUP('Données projet'!$B$18,Paramètres!$A$1:$I$89,5,0)</f>
        <v>351.78</v>
      </c>
      <c r="GW201" s="13">
        <f t="shared" si="188"/>
        <v>81.92892344316067</v>
      </c>
      <c r="GX201" s="20">
        <f t="shared" si="189"/>
        <v>755.37637499683808</v>
      </c>
      <c r="GY201" s="59">
        <f t="shared" si="201"/>
        <v>1048.7097083301715</v>
      </c>
      <c r="GZ201" s="59">
        <f ca="1">AVERAGE(OFFSET($GY$3,0,0,'Données projet'!$E$18+1,1))-AVERAGE(OFFSET($H$3,0,0,'Données projet'!$E$18+1,1))</f>
        <v>362.57172983134313</v>
      </c>
      <c r="HA201" s="59">
        <f t="shared" si="213"/>
        <v>232.03250917542471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12.487813262332665</v>
      </c>
      <c r="HH201" s="21">
        <f>EXP(-LN(2)/25)*HH200+(1-EXP(-LN(2)/25))/(LN(2)/25)*Calculateur!HC201*Calculateur!HE201*VLOOKUP('Données projet'!$B$18,Paramètres!$A$1:$I$89,3,0)*0.475*44/12</f>
        <v>0.29571101519572413</v>
      </c>
      <c r="HI201" s="21">
        <f>EXP(-LN(2)/2)*HI200+(1-EXP(-LN(2)/2))/(LN(2)/2)*HC201*HF201*VLOOKUP('Données projet'!$B$18,Paramètres!$A$1:$I$89,3,0)*0.475*44/12</f>
        <v>3.8713610650614188E-26</v>
      </c>
      <c r="HJ201" s="22">
        <f t="shared" si="190"/>
        <v>12.783524277528389</v>
      </c>
    </row>
    <row r="202" spans="1:218" x14ac:dyDescent="0.3">
      <c r="A202" s="10">
        <f t="shared" si="161"/>
        <v>199</v>
      </c>
      <c r="B202" s="71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5">
        <f t="shared" si="192"/>
        <v>505.22193245351531</v>
      </c>
      <c r="I202" s="6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266.99999999999983</v>
      </c>
      <c r="O202" s="13">
        <f>N202*VLOOKUP('Données projet'!$B$9,Paramètres!$A$1:$I$89,3,0)*VLOOKUP('Données projet'!$B$9,Paramètres!$A$1:$I$89,5,0)</f>
        <v>212.42519999999985</v>
      </c>
      <c r="P202" s="13">
        <f t="shared" si="203"/>
        <v>52.465198231787184</v>
      </c>
      <c r="Q202" s="20">
        <f t="shared" si="162"/>
        <v>461.35077692036231</v>
      </c>
      <c r="R202" s="59">
        <f t="shared" si="191"/>
        <v>754.68411025369562</v>
      </c>
      <c r="S202" s="59">
        <f ca="1">AVERAGE(OFFSET($R$3,0,0,'Données projet'!$E$9+1,1))-AVERAGE(OFFSET($H$3,0,0,'Données projet'!$E$9+1,1))</f>
        <v>225.2323446080772</v>
      </c>
      <c r="T202" s="59">
        <f t="shared" si="204"/>
        <v>222.29030402759292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4.1101285323551879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4.1101285323551879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732.99999999999966</v>
      </c>
      <c r="AJ202" s="13">
        <f>AI202*VLOOKUP('Données projet'!$B$10,Paramètres!$A$1:$I$89,3,0)*VLOOKUP('Données projet'!$B$10,Paramètres!$A$1:$I$89,5,0)</f>
        <v>362.1019999999998</v>
      </c>
      <c r="AK202" s="13">
        <f t="shared" si="164"/>
        <v>84.049487364732272</v>
      </c>
      <c r="AL202" s="20">
        <f t="shared" si="165"/>
        <v>777.04717382690842</v>
      </c>
      <c r="AM202" s="59">
        <f t="shared" si="193"/>
        <v>1070.3805071602417</v>
      </c>
      <c r="AN202" s="59">
        <f ca="1">AVERAGE(OFFSET($AM$3,0,0,'Données projet'!$E$10+1,1))-AVERAGE(OFFSET($H$3,0,0,'Données projet'!$E$10+1,1))</f>
        <v>360.05819346986135</v>
      </c>
      <c r="AO202" s="59">
        <f t="shared" si="205"/>
        <v>300.47468388351081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12.308373159016101</v>
      </c>
      <c r="AV202" s="21">
        <f>EXP(-LN(2)/25)*AV201+(1-EXP(-LN(2)/25))/(LN(2)/25)*Calculateur!AQ202*Calculateur!AS202*VLOOKUP('Données projet'!$B$10,Paramètres!$A$1:$I$89,3,0)*0.475*44/12</f>
        <v>0.39034791833958349</v>
      </c>
      <c r="AW202" s="21">
        <f>EXP(-LN(2)/2)*AW201+(1-EXP(-LN(2)/2))/(LN(2)/2)*AQ202*AT202*VLOOKUP('Données projet'!$B$10,Paramètres!$A$1:$I$89,3,0)*0.475*44/12</f>
        <v>1.9168985590541862E-27</v>
      </c>
      <c r="AX202" s="21">
        <f t="shared" si="166"/>
        <v>12.698721077355685</v>
      </c>
      <c r="AY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465.00000000000006</v>
      </c>
      <c r="BE202" s="13">
        <f>BD202*VLOOKUP('Données projet'!$B$11,Paramètres!$A$1:$I$89,3,0)*VLOOKUP('Données projet'!$B$11,Paramètres!$A$1:$I$89,5,0)</f>
        <v>265.98</v>
      </c>
      <c r="BF202" s="13">
        <f t="shared" si="167"/>
        <v>63.995380422211589</v>
      </c>
      <c r="BG202" s="20">
        <f t="shared" si="168"/>
        <v>574.70712090201857</v>
      </c>
      <c r="BH202" s="59">
        <f t="shared" si="194"/>
        <v>868.04045423535194</v>
      </c>
      <c r="BI202" s="59">
        <f ca="1">AVERAGE(OFFSET($BH$3,0,0,'Données projet'!$E$11+1,1))-AVERAGE(OFFSET($H$3,0,0,'Données projet'!$E$11+1,1))</f>
        <v>250.90038883668348</v>
      </c>
      <c r="BJ202" s="59">
        <f t="shared" si="206"/>
        <v>141.96132114475608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9.4267972799897439</v>
      </c>
      <c r="BQ202" s="21">
        <f>EXP(-LN(2)/25)*BQ201+(1-EXP(-LN(2)/25))/(LN(2)/25)*Calculateur!BL202*Calculateur!BN202*VLOOKUP('Données projet'!$B$11,Paramètres!$A$1:$I$89,3,0)*0.475*44/12</f>
        <v>0.10983198040275767</v>
      </c>
      <c r="BR202" s="21">
        <f>EXP(-LN(2)/2)*BR201+(1-EXP(-LN(2)/2))/(LN(2)/2)*BL202*BO202*VLOOKUP('Données projet'!$B$11,Paramètres!$A$1:$I$89,3,0)*0.475*44/12</f>
        <v>1.3811342178057015E-25</v>
      </c>
      <c r="BS202" s="22">
        <f t="shared" si="169"/>
        <v>9.5366292603925018</v>
      </c>
      <c r="BT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319</v>
      </c>
      <c r="BZ202" s="13">
        <f>BY202*VLOOKUP('Données projet'!$B$12,Paramètres!$A$1:$I$89,3,0)*VLOOKUP('Données projet'!$B$12,Paramètres!$A$1:$I$89,5,0)</f>
        <v>253.79640000000001</v>
      </c>
      <c r="CA202" s="13">
        <f t="shared" si="170"/>
        <v>61.39816832228076</v>
      </c>
      <c r="CB202" s="20">
        <f t="shared" si="171"/>
        <v>548.96387316130563</v>
      </c>
      <c r="CC202" s="59">
        <f t="shared" si="195"/>
        <v>842.29720649463889</v>
      </c>
      <c r="CD202" s="59">
        <f ca="1">AVERAGE(OFFSET($CC$3,0,0,'Données projet'!$E$12+1,1))-AVERAGE(OFFSET($H$3,0,0,'Données projet'!$E$12+1,1))</f>
        <v>279.49721661620544</v>
      </c>
      <c r="CE202" s="59">
        <f t="shared" si="207"/>
        <v>275.18739333988754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5.036748663150628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5.036748663150628</v>
      </c>
      <c r="CO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789</v>
      </c>
      <c r="CU202" s="17">
        <f>CT202*VLOOKUP('Données projet'!$B$13,Paramètres!$A$1:$I$89,3,0)*VLOOKUP('Données projet'!$B$13,Paramètres!$A$1:$I$89,5,0)</f>
        <v>389.76600000000002</v>
      </c>
      <c r="CV202" s="13">
        <f t="shared" si="173"/>
        <v>89.698759503620408</v>
      </c>
      <c r="CW202" s="20">
        <f t="shared" si="174"/>
        <v>835.06778946880547</v>
      </c>
      <c r="CX202" s="59">
        <f t="shared" si="196"/>
        <v>1128.4011228021388</v>
      </c>
      <c r="CY202" s="59">
        <f ca="1">AVERAGE(OFFSET($CX$3,0,0,'Données projet'!$E$13+1,1))-AVERAGE(OFFSET($H$3,0,0,'Données projet'!$E$13+1,1))</f>
        <v>396.27049617044378</v>
      </c>
      <c r="CZ202" s="59">
        <f t="shared" si="208"/>
        <v>335.2680289568774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13.653630169651546</v>
      </c>
      <c r="DG202" s="21">
        <f>EXP(-LN(2)/25)*DG201+(1-EXP(-LN(2)/25))/(LN(2)/25)*Calculateur!DB202*Calculateur!DD202*VLOOKUP('Données projet'!$B$13,Paramètres!$A$1:$I$89,3,0)*0.475*44/12</f>
        <v>0.43371990926620463</v>
      </c>
      <c r="DH202" s="21">
        <f>EXP(-LN(2)/2)*DH201+(1-EXP(-LN(2)/2))/(LN(2)/2)*DB202*DE202*VLOOKUP('Données projet'!$B$13,Paramètres!$A$1:$I$89,3,0)*0.475*44/12</f>
        <v>1.4057256099730708E-26</v>
      </c>
      <c r="DI202" s="22">
        <f t="shared" si="175"/>
        <v>14.087350078917751</v>
      </c>
      <c r="DJ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541.99999999999989</v>
      </c>
      <c r="DP202" s="17">
        <f>DO202*VLOOKUP('Données projet'!$B$14,Paramètres!$A$1:$I$89,3,0)*VLOOKUP('Données projet'!$B$14,Paramètres!$A$1:$I$89,5,0)</f>
        <v>310.02399999999994</v>
      </c>
      <c r="DQ202" s="13">
        <f t="shared" si="176"/>
        <v>73.27384230442388</v>
      </c>
      <c r="DR202" s="20">
        <f t="shared" si="177"/>
        <v>667.57707534687154</v>
      </c>
      <c r="DS202" s="59">
        <f t="shared" si="197"/>
        <v>960.91040868020491</v>
      </c>
      <c r="DT202" s="59">
        <f ca="1">AVERAGE(OFFSET($DS$3,0,0,'Données projet'!$E$14+1,1))-AVERAGE(OFFSET($H$3,0,0,'Données projet'!$E$14+1,1))</f>
        <v>307.43900954374504</v>
      </c>
      <c r="DU202" s="59">
        <f t="shared" si="209"/>
        <v>185.25270859048999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10.856601934375734</v>
      </c>
      <c r="EB202" s="21">
        <f>EXP(-LN(2)/25)*EB201+(1-EXP(-LN(2)/25))/(LN(2)/25)*Calculateur!DW202*Calculateur!DY202*VLOOKUP('Données projet'!$B$14,Paramètres!$A$1:$I$89,3,0)*0.475*44/12</f>
        <v>0.24653552737236886</v>
      </c>
      <c r="EC202" s="21">
        <f>EXP(-LN(2)/2)*EC201+(1-EXP(-LN(2)/2))/(LN(2)/2)*DW202*DZ202*VLOOKUP('Données projet'!$B$14,Paramètres!$A$1:$I$89,3,0)*0.475*44/12</f>
        <v>1.3317400515534349E-26</v>
      </c>
      <c r="ED202" s="22">
        <f t="shared" si="178"/>
        <v>11.103137461748103</v>
      </c>
      <c r="EE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401</v>
      </c>
      <c r="EK202" s="17">
        <f>EJ202*VLOOKUP('Données projet'!$B$15,Paramètres!$A$1:$I$89,3,0)*VLOOKUP('Données projet'!$B$15,Paramètres!$A$1:$I$89,5,0)</f>
        <v>250.22399999999999</v>
      </c>
      <c r="EL202" s="13">
        <f t="shared" si="179"/>
        <v>60.633904580527918</v>
      </c>
      <c r="EM202" s="20">
        <f t="shared" si="180"/>
        <v>541.41085047775289</v>
      </c>
      <c r="EN202" s="59">
        <f t="shared" si="198"/>
        <v>834.74418381108626</v>
      </c>
      <c r="EO202" s="59">
        <f ca="1">AVERAGE(OFFSET($EN$3,0,0,'Données projet'!$E$15+1,1))-AVERAGE(OFFSET($H$3,0,0,'Données projet'!$E$15+1,1))</f>
        <v>269.77739619445515</v>
      </c>
      <c r="EP202" s="59">
        <f t="shared" si="210"/>
        <v>347.56964743629885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4.8818776320518795</v>
      </c>
      <c r="EW202" s="21">
        <f>EXP(-LN(2)/25)*EW201+(1-EXP(-LN(2)/25))/(LN(2)/25)*Calculateur!ER202*Calculateur!ET202*VLOOKUP('Données projet'!$B$15,Paramètres!$A$1:$I$89,3,0)*0.475*44/12</f>
        <v>0.84645980820154321</v>
      </c>
      <c r="EX202" s="21">
        <f>EXP(-LN(2)/2)*EX201+(1-EXP(-LN(2)/2))/(LN(2)/2)*ER202*EU202*VLOOKUP('Données projet'!$B$15,Paramètres!$A$1:$I$89,3,0)*0.475*44/12</f>
        <v>9.0800458060461481E-28</v>
      </c>
      <c r="EY202" s="22">
        <f t="shared" si="181"/>
        <v>5.7283374402534228</v>
      </c>
      <c r="EZ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367.99999999999972</v>
      </c>
      <c r="FF202" s="17">
        <f>FE202*VLOOKUP('Données projet'!$B$16,Paramètres!$A$1:$I$89,3,0)*VLOOKUP('Données projet'!$B$16,Paramètres!$A$1:$I$89,5,0)</f>
        <v>292.78079999999977</v>
      </c>
      <c r="FG202" s="13">
        <f t="shared" si="182"/>
        <v>69.660903052386217</v>
      </c>
      <c r="FH202" s="20">
        <f t="shared" si="183"/>
        <v>631.25263281623893</v>
      </c>
      <c r="FI202" s="59">
        <f t="shared" si="199"/>
        <v>924.58596614957219</v>
      </c>
      <c r="FJ202" s="59">
        <f ca="1">AVERAGE(OFFSET($FI$3,0,0,'Données projet'!$E$16+1,1))-AVERAGE(OFFSET($H$3,0,0,'Données projet'!$E$16+1,1))</f>
        <v>331.52724290297675</v>
      </c>
      <c r="FK202" s="59">
        <f t="shared" si="211"/>
        <v>322.79102610158054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5.8386054988442062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5.8386054988442062</v>
      </c>
      <c r="FU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852.00000000000011</v>
      </c>
      <c r="GA202" s="17">
        <f>FZ202*VLOOKUP('Données projet'!$B$17,Paramètres!$A$1:$I$89,3,0)*VLOOKUP('Données projet'!$B$17,Paramètres!$A$1:$I$89,5,0)</f>
        <v>420.88800000000009</v>
      </c>
      <c r="GB202" s="13">
        <f t="shared" si="185"/>
        <v>95.998759891259041</v>
      </c>
      <c r="GC202" s="20">
        <f t="shared" si="186"/>
        <v>900.24444014394294</v>
      </c>
      <c r="GD202" s="59">
        <f t="shared" si="200"/>
        <v>1193.5777734772762</v>
      </c>
      <c r="GE202" s="59">
        <f ca="1">AVERAGE(OFFSET($GD$3,0,0,'Données projet'!$E$17+1,1))-AVERAGE(OFFSET($H$3,0,0,'Données projet'!$E$17+1,1))</f>
        <v>434.08297999735811</v>
      </c>
      <c r="GF202" s="59">
        <f t="shared" si="212"/>
        <v>371.04090283546122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15.063956450579264</v>
      </c>
      <c r="GM202" s="21">
        <f>EXP(-LN(2)/25)*GM201+(1-EXP(-LN(2)/25))/(LN(2)/25)*Calculateur!GH202*Calculateur!GJ202*VLOOKUP('Données projet'!$B$17,Paramètres!$A$1:$I$89,3,0)*0.475*44/12</f>
        <v>0.47709190019282532</v>
      </c>
      <c r="GN202" s="21">
        <f>EXP(-LN(2)/2)*GN201+(1-EXP(-LN(2)/2))/(LN(2)/2)*GH202*GK202*VLOOKUP('Données projet'!$B$17,Paramètres!$A$1:$I$89,3,0)*0.475*44/12</f>
        <v>2.7475546013110005E-26</v>
      </c>
      <c r="GO202" s="21">
        <f t="shared" si="187"/>
        <v>15.541048350772089</v>
      </c>
      <c r="GP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614.99999999999989</v>
      </c>
      <c r="GV202" s="17">
        <f>GU202*VLOOKUP('Données projet'!$B$18,Paramètres!$A$1:$I$89,3,0)*VLOOKUP('Données projet'!$B$18,Paramètres!$A$1:$I$89,5,0)</f>
        <v>351.78</v>
      </c>
      <c r="GW202" s="13">
        <f t="shared" si="188"/>
        <v>81.92892344316067</v>
      </c>
      <c r="GX202" s="20">
        <f t="shared" si="189"/>
        <v>755.37637499683808</v>
      </c>
      <c r="GY202" s="59">
        <f t="shared" si="201"/>
        <v>1048.7097083301715</v>
      </c>
      <c r="GZ202" s="59">
        <f ca="1">AVERAGE(OFFSET($GY$3,0,0,'Données projet'!$E$18+1,1))-AVERAGE(OFFSET($H$3,0,0,'Données projet'!$E$18+1,1))</f>
        <v>362.57172983134313</v>
      </c>
      <c r="HA202" s="59">
        <f t="shared" si="213"/>
        <v>232.03250917542471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12.242934861072314</v>
      </c>
      <c r="HH202" s="21">
        <f>EXP(-LN(2)/25)*HH201+(1-EXP(-LN(2)/25))/(LN(2)/25)*Calculateur!HC202*Calculateur!HE202*VLOOKUP('Données projet'!$B$18,Paramètres!$A$1:$I$89,3,0)*0.475*44/12</f>
        <v>0.28762478193443064</v>
      </c>
      <c r="HI202" s="21">
        <f>EXP(-LN(2)/2)*HI201+(1-EXP(-LN(2)/2))/(LN(2)/2)*HC202*HF202*VLOOKUP('Données projet'!$B$18,Paramètres!$A$1:$I$89,3,0)*0.475*44/12</f>
        <v>2.7374656615265042E-26</v>
      </c>
      <c r="HJ202" s="22">
        <f t="shared" si="190"/>
        <v>12.530559643006745</v>
      </c>
    </row>
    <row r="203" spans="1:218" ht="15" thickBot="1" x14ac:dyDescent="0.35">
      <c r="A203" s="10">
        <f>A202+1</f>
        <v>200</v>
      </c>
      <c r="B203" s="71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5">
        <f t="shared" si="192"/>
        <v>506.26021499592679</v>
      </c>
      <c r="I203" s="6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266.99999999999983</v>
      </c>
      <c r="O203" s="13">
        <f>N203*VLOOKUP('Données projet'!$B$9,Paramètres!$A$1:$I$89,3,0)*VLOOKUP('Données projet'!$B$9,Paramètres!$A$1:$I$89,5,0)</f>
        <v>212.42519999999985</v>
      </c>
      <c r="P203" s="13">
        <f t="shared" si="203"/>
        <v>52.465198231787184</v>
      </c>
      <c r="Q203" s="20">
        <f t="shared" si="162"/>
        <v>461.35077692036231</v>
      </c>
      <c r="R203" s="59">
        <f t="shared" si="191"/>
        <v>754.68411025369562</v>
      </c>
      <c r="S203" s="59">
        <f ca="1">AVERAGE(OFFSET($R$3,0,0,'Données projet'!$E$9+1,1))-AVERAGE(OFFSET($H$3,0,0,'Données projet'!$E$9+1,1))</f>
        <v>225.2323446080772</v>
      </c>
      <c r="T203" s="59">
        <f t="shared" si="204"/>
        <v>222.29030402759292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4.0295314187665685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4.0295314187665685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732.99999999999966</v>
      </c>
      <c r="AJ203" s="13">
        <f>AI203*VLOOKUP('Données projet'!$B$10,Paramètres!$A$1:$I$89,3,0)*VLOOKUP('Données projet'!$B$10,Paramètres!$A$1:$I$89,5,0)</f>
        <v>362.1019999999998</v>
      </c>
      <c r="AK203" s="13">
        <f t="shared" si="164"/>
        <v>84.049487364732272</v>
      </c>
      <c r="AL203" s="20">
        <f t="shared" si="165"/>
        <v>777.04717382690842</v>
      </c>
      <c r="AM203" s="59">
        <f t="shared" si="193"/>
        <v>1070.3805071602417</v>
      </c>
      <c r="AN203" s="59">
        <f ca="1">AVERAGE(OFFSET($AM$3,0,0,'Données projet'!$E$10+1,1))-AVERAGE(OFFSET($H$3,0,0,'Données projet'!$E$10+1,1))</f>
        <v>360.05819346986135</v>
      </c>
      <c r="AO203" s="59">
        <f t="shared" si="205"/>
        <v>300.47468388351081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12.067013468734132</v>
      </c>
      <c r="AV203" s="21">
        <f>EXP(-LN(2)/25)*AV202+(1-EXP(-LN(2)/25))/(LN(2)/25)*Calculateur!AQ203*Calculateur!AS203*VLOOKUP('Données projet'!$B$10,Paramètres!$A$1:$I$89,3,0)*0.475*44/12</f>
        <v>0.3796738339850827</v>
      </c>
      <c r="AW203" s="21">
        <f>EXP(-LN(2)/2)*AW202+(1-EXP(-LN(2)/2))/(LN(2)/2)*AQ203*AT203*VLOOKUP('Données projet'!$B$10,Paramètres!$A$1:$I$89,3,0)*0.475*44/12</f>
        <v>1.3554519699539367E-27</v>
      </c>
      <c r="AX203" s="21">
        <f t="shared" si="166"/>
        <v>12.446687302719214</v>
      </c>
      <c r="AY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465.00000000000006</v>
      </c>
      <c r="BE203" s="13">
        <f>BD203*VLOOKUP('Données projet'!$B$11,Paramètres!$A$1:$I$89,3,0)*VLOOKUP('Données projet'!$B$11,Paramètres!$A$1:$I$89,5,0)</f>
        <v>265.98</v>
      </c>
      <c r="BF203" s="13">
        <f t="shared" si="167"/>
        <v>63.995380422211589</v>
      </c>
      <c r="BG203" s="20">
        <f t="shared" si="168"/>
        <v>574.70712090201857</v>
      </c>
      <c r="BH203" s="59">
        <f t="shared" si="194"/>
        <v>868.04045423535194</v>
      </c>
      <c r="BI203" s="59">
        <f ca="1">AVERAGE(OFFSET($BH$3,0,0,'Données projet'!$E$11+1,1))-AVERAGE(OFFSET($H$3,0,0,'Données projet'!$E$11+1,1))</f>
        <v>250.90038883668348</v>
      </c>
      <c r="BJ203" s="59">
        <f t="shared" si="206"/>
        <v>141.96132114475608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9.2419435351077421</v>
      </c>
      <c r="BQ203" s="21">
        <f>EXP(-LN(2)/25)*BQ202+(1-EXP(-LN(2)/25))/(LN(2)/25)*Calculateur!BL203*Calculateur!BN203*VLOOKUP('Données projet'!$B$11,Paramètres!$A$1:$I$89,3,0)*0.475*44/12</f>
        <v>0.10682861912283144</v>
      </c>
      <c r="BR203" s="21">
        <f>EXP(-LN(2)/2)*BR202+(1-EXP(-LN(2)/2))/(LN(2)/2)*BL203*BO203*VLOOKUP('Données projet'!$B$11,Paramètres!$A$1:$I$89,3,0)*0.475*44/12</f>
        <v>9.7660937113918963E-26</v>
      </c>
      <c r="BS203" s="22">
        <f t="shared" si="169"/>
        <v>9.3487721542305735</v>
      </c>
      <c r="BT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319</v>
      </c>
      <c r="BZ203" s="13">
        <f>BY203*VLOOKUP('Données projet'!$B$12,Paramètres!$A$1:$I$89,3,0)*VLOOKUP('Données projet'!$B$12,Paramètres!$A$1:$I$89,5,0)</f>
        <v>253.79640000000001</v>
      </c>
      <c r="CA203" s="13">
        <f t="shared" si="170"/>
        <v>61.39816832228076</v>
      </c>
      <c r="CB203" s="20">
        <f t="shared" si="171"/>
        <v>548.96387316130563</v>
      </c>
      <c r="CC203" s="59">
        <f t="shared" si="195"/>
        <v>842.29720649463889</v>
      </c>
      <c r="CD203" s="59">
        <f ca="1">AVERAGE(OFFSET($CC$3,0,0,'Données projet'!$E$12+1,1))-AVERAGE(OFFSET($H$3,0,0,'Données projet'!$E$12+1,1))</f>
        <v>279.49721661620544</v>
      </c>
      <c r="CE203" s="59">
        <f t="shared" si="207"/>
        <v>275.18739333988754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4.937981093979583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4.937981093979583</v>
      </c>
      <c r="CO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789</v>
      </c>
      <c r="CU203" s="17">
        <f>CT203*VLOOKUP('Données projet'!$B$13,Paramètres!$A$1:$I$89,3,0)*VLOOKUP('Données projet'!$B$13,Paramètres!$A$1:$I$89,5,0)</f>
        <v>389.76600000000002</v>
      </c>
      <c r="CV203" s="13">
        <f t="shared" si="173"/>
        <v>89.698759503620408</v>
      </c>
      <c r="CW203" s="20">
        <f t="shared" si="174"/>
        <v>835.06778946880547</v>
      </c>
      <c r="CX203" s="59">
        <f t="shared" si="196"/>
        <v>1128.4011228021388</v>
      </c>
      <c r="CY203" s="59">
        <f ca="1">AVERAGE(OFFSET($CX$3,0,0,'Données projet'!$E$13+1,1))-AVERAGE(OFFSET($H$3,0,0,'Données projet'!$E$13+1,1))</f>
        <v>396.27049617044378</v>
      </c>
      <c r="CZ203" s="59">
        <f t="shared" si="208"/>
        <v>335.2680289568774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13.385890809916772</v>
      </c>
      <c r="DG203" s="21">
        <f>EXP(-LN(2)/25)*DG202+(1-EXP(-LN(2)/25))/(LN(2)/25)*Calculateur!DB203*Calculateur!DD203*VLOOKUP('Données projet'!$B$13,Paramètres!$A$1:$I$89,3,0)*0.475*44/12</f>
        <v>0.4218598155389815</v>
      </c>
      <c r="DH203" s="21">
        <f>EXP(-LN(2)/2)*DH202+(1-EXP(-LN(2)/2))/(LN(2)/2)*DB203*DE203*VLOOKUP('Données projet'!$B$13,Paramètres!$A$1:$I$89,3,0)*0.475*44/12</f>
        <v>9.9399811129955421E-27</v>
      </c>
      <c r="DI203" s="22">
        <f t="shared" si="175"/>
        <v>13.807750625455753</v>
      </c>
      <c r="DJ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541.99999999999989</v>
      </c>
      <c r="DP203" s="17">
        <f>DO203*VLOOKUP('Données projet'!$B$14,Paramètres!$A$1:$I$89,3,0)*VLOOKUP('Données projet'!$B$14,Paramètres!$A$1:$I$89,5,0)</f>
        <v>310.02399999999994</v>
      </c>
      <c r="DQ203" s="13">
        <f t="shared" si="176"/>
        <v>73.27384230442388</v>
      </c>
      <c r="DR203" s="20">
        <f t="shared" si="177"/>
        <v>667.57707534687154</v>
      </c>
      <c r="DS203" s="59">
        <f t="shared" si="197"/>
        <v>960.91040868020491</v>
      </c>
      <c r="DT203" s="59">
        <f ca="1">AVERAGE(OFFSET($DS$3,0,0,'Données projet'!$E$14+1,1))-AVERAGE(OFFSET($H$3,0,0,'Données projet'!$E$14+1,1))</f>
        <v>307.43900954374504</v>
      </c>
      <c r="DU203" s="59">
        <f t="shared" si="209"/>
        <v>185.25270859048999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10.64371059231595</v>
      </c>
      <c r="EB203" s="21">
        <f>EXP(-LN(2)/25)*EB202+(1-EXP(-LN(2)/25))/(LN(2)/25)*Calculateur!DW203*Calculateur!DY203*VLOOKUP('Données projet'!$B$14,Paramètres!$A$1:$I$89,3,0)*0.475*44/12</f>
        <v>0.23979400041163151</v>
      </c>
      <c r="EC203" s="21">
        <f>EXP(-LN(2)/2)*EC202+(1-EXP(-LN(2)/2))/(LN(2)/2)*DW203*DZ203*VLOOKUP('Données projet'!$B$14,Paramètres!$A$1:$I$89,3,0)*0.475*44/12</f>
        <v>9.416824212311562E-27</v>
      </c>
      <c r="ED203" s="22">
        <f t="shared" si="178"/>
        <v>10.883504592727581</v>
      </c>
      <c r="EE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401</v>
      </c>
      <c r="EK203" s="17">
        <f>EJ203*VLOOKUP('Données projet'!$B$15,Paramètres!$A$1:$I$89,3,0)*VLOOKUP('Données projet'!$B$15,Paramètres!$A$1:$I$89,5,0)</f>
        <v>250.22399999999999</v>
      </c>
      <c r="EL203" s="13">
        <f t="shared" si="179"/>
        <v>60.633904580527918</v>
      </c>
      <c r="EM203" s="20">
        <f t="shared" si="180"/>
        <v>541.41085047775289</v>
      </c>
      <c r="EN203" s="59">
        <f t="shared" si="198"/>
        <v>834.74418381108626</v>
      </c>
      <c r="EO203" s="59">
        <f ca="1">AVERAGE(OFFSET($EN$3,0,0,'Données projet'!$E$15+1,1))-AVERAGE(OFFSET($H$3,0,0,'Données projet'!$E$15+1,1))</f>
        <v>269.77739619445515</v>
      </c>
      <c r="EP203" s="59">
        <f t="shared" si="210"/>
        <v>347.56964743629885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4.786146989338679</v>
      </c>
      <c r="EW203" s="21">
        <f>EXP(-LN(2)/25)*EW202+(1-EXP(-LN(2)/25))/(LN(2)/25)*Calculateur!ER203*Calculateur!ET203*VLOOKUP('Données projet'!$B$15,Paramètres!$A$1:$I$89,3,0)*0.475*44/12</f>
        <v>0.82331332023288528</v>
      </c>
      <c r="EX203" s="21">
        <f>EXP(-LN(2)/2)*EX202+(1-EXP(-LN(2)/2))/(LN(2)/2)*ER203*EU203*VLOOKUP('Données projet'!$B$15,Paramètres!$A$1:$I$89,3,0)*0.475*44/12</f>
        <v>6.4205619629397024E-28</v>
      </c>
      <c r="EY203" s="22">
        <f t="shared" si="181"/>
        <v>5.6094603095715643</v>
      </c>
      <c r="EZ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367.99999999999972</v>
      </c>
      <c r="FF203" s="17">
        <f>FE203*VLOOKUP('Données projet'!$B$16,Paramètres!$A$1:$I$89,3,0)*VLOOKUP('Données projet'!$B$16,Paramètres!$A$1:$I$89,5,0)</f>
        <v>292.78079999999977</v>
      </c>
      <c r="FG203" s="13">
        <f t="shared" si="182"/>
        <v>69.660903052386217</v>
      </c>
      <c r="FH203" s="20">
        <f t="shared" si="183"/>
        <v>631.25263281623893</v>
      </c>
      <c r="FI203" s="59">
        <f t="shared" si="199"/>
        <v>924.58596614957219</v>
      </c>
      <c r="FJ203" s="59">
        <f ca="1">AVERAGE(OFFSET($FI$3,0,0,'Données projet'!$E$16+1,1))-AVERAGE(OFFSET($H$3,0,0,'Données projet'!$E$16+1,1))</f>
        <v>331.52724290297675</v>
      </c>
      <c r="FK203" s="59">
        <f t="shared" si="211"/>
        <v>322.79102610158054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5.7241140062095868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5.7241140062095868</v>
      </c>
      <c r="FU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852.00000000000011</v>
      </c>
      <c r="GA203" s="17">
        <f>FZ203*VLOOKUP('Données projet'!$B$17,Paramètres!$A$1:$I$89,3,0)*VLOOKUP('Données projet'!$B$17,Paramètres!$A$1:$I$89,5,0)</f>
        <v>420.88800000000009</v>
      </c>
      <c r="GB203" s="13">
        <f t="shared" si="185"/>
        <v>95.998759891259041</v>
      </c>
      <c r="GC203" s="20">
        <f t="shared" si="186"/>
        <v>900.24444014394294</v>
      </c>
      <c r="GD203" s="59">
        <f t="shared" si="200"/>
        <v>1193.5777734772762</v>
      </c>
      <c r="GE203" s="59">
        <f ca="1">AVERAGE(OFFSET($GD$3,0,0,'Données projet'!$E$17+1,1))-AVERAGE(OFFSET($H$3,0,0,'Données projet'!$E$17+1,1))</f>
        <v>434.08297999735811</v>
      </c>
      <c r="GF203" s="59">
        <f t="shared" si="212"/>
        <v>371.04090283546122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14.768561452689589</v>
      </c>
      <c r="GM203" s="21">
        <f>EXP(-LN(2)/25)*GM202+(1-EXP(-LN(2)/25))/(LN(2)/25)*Calculateur!GH203*Calculateur!GJ203*VLOOKUP('Données projet'!$B$17,Paramètres!$A$1:$I$89,3,0)*0.475*44/12</f>
        <v>0.46404579709287991</v>
      </c>
      <c r="GN203" s="21">
        <f>EXP(-LN(2)/2)*GN202+(1-EXP(-LN(2)/2))/(LN(2)/2)*GH203*GK203*VLOOKUP('Données projet'!$B$17,Paramètres!$A$1:$I$89,3,0)*0.475*44/12</f>
        <v>1.9428144902673095E-26</v>
      </c>
      <c r="GO203" s="21">
        <f t="shared" si="187"/>
        <v>15.232607249782468</v>
      </c>
      <c r="GP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614.99999999999989</v>
      </c>
      <c r="GV203" s="17">
        <f>GU203*VLOOKUP('Données projet'!$B$18,Paramètres!$A$1:$I$89,3,0)*VLOOKUP('Données projet'!$B$18,Paramètres!$A$1:$I$89,5,0)</f>
        <v>351.78</v>
      </c>
      <c r="GW203" s="13">
        <f t="shared" si="188"/>
        <v>81.92892344316067</v>
      </c>
      <c r="GX203" s="20">
        <f t="shared" si="189"/>
        <v>755.37637499683808</v>
      </c>
      <c r="GY203" s="59">
        <f t="shared" si="201"/>
        <v>1048.7097083301715</v>
      </c>
      <c r="GZ203" s="59">
        <f ca="1">AVERAGE(OFFSET($GY$3,0,0,'Données projet'!$E$18+1,1))-AVERAGE(OFFSET($H$3,0,0,'Données projet'!$E$18+1,1))</f>
        <v>362.57172983134313</v>
      </c>
      <c r="HA203" s="59">
        <f t="shared" si="213"/>
        <v>232.03250917542471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12.002858375899601</v>
      </c>
      <c r="HH203" s="21">
        <f>EXP(-LN(2)/25)*HH202+(1-EXP(-LN(2)/25))/(LN(2)/25)*Calculateur!HC203*Calculateur!HE203*VLOOKUP('Données projet'!$B$18,Paramètres!$A$1:$I$89,3,0)*0.475*44/12</f>
        <v>0.2797596671469037</v>
      </c>
      <c r="HI203" s="21">
        <f>EXP(-LN(2)/2)*HI202+(1-EXP(-LN(2)/2))/(LN(2)/2)*HC203*HF203*VLOOKUP('Données projet'!$B$18,Paramètres!$A$1:$I$89,3,0)*0.475*44/12</f>
        <v>1.9356805325307094E-26</v>
      </c>
      <c r="HJ203" s="22">
        <f t="shared" si="190"/>
        <v>12.282618043046504</v>
      </c>
    </row>
    <row r="204" spans="1:218" ht="15" thickBot="1" x14ac:dyDescent="0.35">
      <c r="B204" s="10"/>
      <c r="C204" s="74"/>
      <c r="D204" s="75"/>
      <c r="E204" s="75"/>
      <c r="F204" s="75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4"/>
      <c r="I204" s="74"/>
      <c r="J204" s="74"/>
      <c r="K204" s="82" t="s">
        <v>293</v>
      </c>
      <c r="L204" s="76"/>
      <c r="M204" s="76"/>
      <c r="N204" s="76"/>
      <c r="O204" s="74"/>
      <c r="P204" s="74"/>
      <c r="Q204" s="75"/>
      <c r="R204" s="77"/>
      <c r="S204" s="77"/>
      <c r="T204" s="77"/>
      <c r="U204" s="76"/>
      <c r="V204" s="76"/>
      <c r="W204" s="78"/>
      <c r="X204" s="78"/>
      <c r="Y204" s="78"/>
      <c r="Z204" s="74"/>
      <c r="AA204" s="74"/>
      <c r="AB204" s="74"/>
      <c r="AC204" s="74"/>
      <c r="AD204" s="74"/>
      <c r="AE204" s="74"/>
      <c r="AF204" s="79" t="s">
        <v>293</v>
      </c>
      <c r="BA204" s="79" t="s">
        <v>293</v>
      </c>
      <c r="BV204" s="79" t="s">
        <v>293</v>
      </c>
      <c r="CQ204" s="79" t="s">
        <v>293</v>
      </c>
      <c r="DL204" s="79" t="s">
        <v>293</v>
      </c>
      <c r="EG204" s="79" t="s">
        <v>293</v>
      </c>
      <c r="FB204" s="79" t="s">
        <v>293</v>
      </c>
      <c r="FW204" s="79" t="s">
        <v>293</v>
      </c>
      <c r="GR204" s="79" t="s">
        <v>293</v>
      </c>
    </row>
    <row r="205" spans="1:218" ht="15" thickBot="1" x14ac:dyDescent="0.35">
      <c r="B205" s="10"/>
      <c r="C205" s="74"/>
      <c r="D205" s="75"/>
      <c r="E205" s="75"/>
      <c r="F205" s="75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4"/>
      <c r="I205" s="74"/>
      <c r="J205" s="74"/>
      <c r="K205" s="80">
        <f>EXP(LN('Données projet'!B36)/'Données projet'!A36)</f>
        <v>1.2721747796233518</v>
      </c>
      <c r="L205" s="76"/>
      <c r="M205" s="76"/>
      <c r="N205" s="76"/>
      <c r="O205" s="74"/>
      <c r="P205" s="74"/>
      <c r="Q205" s="75"/>
      <c r="R205" s="77"/>
      <c r="S205" s="77"/>
      <c r="T205" s="77"/>
      <c r="U205" s="76"/>
      <c r="V205" s="76"/>
      <c r="W205" s="78"/>
      <c r="X205" s="78"/>
      <c r="Y205" s="78"/>
      <c r="Z205" s="74"/>
      <c r="AA205" s="74"/>
      <c r="AB205" s="74"/>
      <c r="AC205" s="74"/>
      <c r="AD205" s="74"/>
      <c r="AE205" s="74"/>
      <c r="AF205" s="81">
        <f>EXP(LN('Données projet'!B62)/'Données projet'!A62)</f>
        <v>1.2487548905696053</v>
      </c>
      <c r="BA205" s="80">
        <f>EXP(LN('Données projet'!B88)/'Données projet'!A88)</f>
        <v>1.2545117989873635</v>
      </c>
      <c r="BV205" s="80">
        <f>EXP(LN('Données projet'!B114)/'Données projet'!A114)</f>
        <v>1.2709816152101407</v>
      </c>
      <c r="CQ205" s="80">
        <f>EXP(LN('Données projet'!B140)/'Données projet'!A140)</f>
        <v>1.282970348825361</v>
      </c>
      <c r="DL205" s="80">
        <f>EXP(LN('Données projet'!B166)/'Données projet'!A166)</f>
        <v>1.2907749310619425</v>
      </c>
      <c r="EG205" s="80">
        <f>EXP(LN('Données projet'!B192)/'Données projet'!A192)</f>
        <v>1.4714192565876152</v>
      </c>
      <c r="FB205" s="80">
        <f>EXP(LN('Données projet'!B218)/'Données projet'!A218)</f>
        <v>1.3423796509621049</v>
      </c>
      <c r="FW205" s="80">
        <f>EXP(LN('Données projet'!B244)/'Données projet'!A244)</f>
        <v>1.3078136577370625</v>
      </c>
      <c r="GR205" s="80">
        <f>EXP(LN('Données projet'!B270)/'Données projet'!A270)</f>
        <v>1.3195079107728942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7" t="s">
        <v>0</v>
      </c>
      <c r="B1" s="108" t="s">
        <v>106</v>
      </c>
      <c r="C1" s="109" t="s">
        <v>144</v>
      </c>
      <c r="D1" s="108" t="s">
        <v>100</v>
      </c>
      <c r="E1" s="109" t="s">
        <v>145</v>
      </c>
      <c r="F1" s="109" t="s">
        <v>100</v>
      </c>
      <c r="G1" s="109" t="s">
        <v>146</v>
      </c>
      <c r="H1" s="109" t="s">
        <v>100</v>
      </c>
      <c r="I1" s="110" t="s">
        <v>147</v>
      </c>
      <c r="J1" s="76"/>
      <c r="K1" s="76"/>
      <c r="L1" s="76"/>
      <c r="M1" s="76"/>
      <c r="N1" s="76"/>
    </row>
    <row r="2" spans="1:16" x14ac:dyDescent="0.3">
      <c r="A2" s="111" t="s">
        <v>1</v>
      </c>
      <c r="B2" s="112" t="s">
        <v>53</v>
      </c>
      <c r="C2" s="113">
        <v>0.62</v>
      </c>
      <c r="D2" s="113" t="s">
        <v>161</v>
      </c>
      <c r="E2" s="113">
        <v>1.56</v>
      </c>
      <c r="F2" s="113" t="s">
        <v>274</v>
      </c>
      <c r="G2" s="114">
        <v>0.43</v>
      </c>
      <c r="H2" s="115" t="s">
        <v>278</v>
      </c>
      <c r="I2" s="116">
        <v>0.25</v>
      </c>
      <c r="J2" s="76"/>
      <c r="K2" s="76"/>
      <c r="L2" s="76"/>
      <c r="M2" s="76"/>
      <c r="N2" s="76"/>
      <c r="O2" s="291" t="s">
        <v>238</v>
      </c>
      <c r="P2" s="117">
        <v>0</v>
      </c>
    </row>
    <row r="3" spans="1:16" ht="15" thickBot="1" x14ac:dyDescent="0.35">
      <c r="A3" s="118" t="s">
        <v>2</v>
      </c>
      <c r="B3" s="119" t="s">
        <v>54</v>
      </c>
      <c r="C3" s="120">
        <v>0.64</v>
      </c>
      <c r="D3" s="120" t="s">
        <v>161</v>
      </c>
      <c r="E3" s="120">
        <v>1.56</v>
      </c>
      <c r="F3" s="121" t="s">
        <v>274</v>
      </c>
      <c r="G3" s="122">
        <v>0.43</v>
      </c>
      <c r="H3" s="120" t="s">
        <v>278</v>
      </c>
      <c r="I3" s="123">
        <v>0.25</v>
      </c>
      <c r="J3" s="76"/>
      <c r="K3" s="76"/>
      <c r="L3" s="76"/>
      <c r="M3" s="76"/>
      <c r="N3" s="76"/>
      <c r="O3" s="292"/>
      <c r="P3" s="124">
        <v>0.2</v>
      </c>
    </row>
    <row r="4" spans="1:16" ht="15" thickBot="1" x14ac:dyDescent="0.35">
      <c r="A4" s="118" t="s">
        <v>98</v>
      </c>
      <c r="B4" s="119" t="s">
        <v>99</v>
      </c>
      <c r="C4" s="120">
        <v>0.42</v>
      </c>
      <c r="D4" s="120" t="s">
        <v>161</v>
      </c>
      <c r="E4" s="120">
        <v>1.56</v>
      </c>
      <c r="F4" s="121" t="s">
        <v>274</v>
      </c>
      <c r="G4" s="122">
        <v>0.43</v>
      </c>
      <c r="H4" s="120" t="s">
        <v>278</v>
      </c>
      <c r="I4" s="123">
        <v>0.25</v>
      </c>
      <c r="J4" s="76"/>
      <c r="K4" s="76"/>
      <c r="L4" s="76"/>
      <c r="M4" s="76"/>
      <c r="N4" s="76"/>
    </row>
    <row r="5" spans="1:16" x14ac:dyDescent="0.3">
      <c r="A5" s="118" t="s">
        <v>4</v>
      </c>
      <c r="B5" s="119" t="s">
        <v>55</v>
      </c>
      <c r="C5" s="120">
        <v>0.42</v>
      </c>
      <c r="D5" s="120" t="s">
        <v>161</v>
      </c>
      <c r="E5" s="120">
        <v>1.56</v>
      </c>
      <c r="F5" s="121" t="s">
        <v>274</v>
      </c>
      <c r="G5" s="122">
        <v>0.43</v>
      </c>
      <c r="H5" s="120" t="s">
        <v>278</v>
      </c>
      <c r="I5" s="123">
        <v>0.25</v>
      </c>
      <c r="J5" s="76"/>
      <c r="K5" s="76"/>
      <c r="L5" s="76"/>
      <c r="M5" s="76"/>
      <c r="N5" s="76"/>
      <c r="O5" s="291" t="s">
        <v>237</v>
      </c>
      <c r="P5" s="117">
        <v>0</v>
      </c>
    </row>
    <row r="6" spans="1:16" x14ac:dyDescent="0.3">
      <c r="A6" s="118" t="s">
        <v>3</v>
      </c>
      <c r="B6" s="119" t="s">
        <v>97</v>
      </c>
      <c r="C6" s="120">
        <v>0.42</v>
      </c>
      <c r="D6" s="120" t="s">
        <v>161</v>
      </c>
      <c r="E6" s="120">
        <v>1.56</v>
      </c>
      <c r="F6" s="121" t="s">
        <v>274</v>
      </c>
      <c r="G6" s="122">
        <v>0.43</v>
      </c>
      <c r="H6" s="120" t="s">
        <v>278</v>
      </c>
      <c r="I6" s="123">
        <v>0.25</v>
      </c>
      <c r="J6" s="76"/>
      <c r="K6" s="76"/>
      <c r="L6" s="76"/>
      <c r="M6" s="76"/>
      <c r="N6" s="76"/>
      <c r="O6" s="293"/>
      <c r="P6" s="125">
        <v>0.05</v>
      </c>
    </row>
    <row r="7" spans="1:16" x14ac:dyDescent="0.3">
      <c r="A7" s="118" t="s">
        <v>5</v>
      </c>
      <c r="B7" s="119" t="s">
        <v>56</v>
      </c>
      <c r="C7" s="120">
        <v>0.52</v>
      </c>
      <c r="D7" s="120" t="s">
        <v>161</v>
      </c>
      <c r="E7" s="120">
        <v>1.56</v>
      </c>
      <c r="F7" s="121" t="s">
        <v>274</v>
      </c>
      <c r="G7" s="122">
        <v>0.43</v>
      </c>
      <c r="H7" s="120" t="s">
        <v>278</v>
      </c>
      <c r="I7" s="123">
        <v>0.25</v>
      </c>
      <c r="J7" s="76"/>
      <c r="K7" s="76"/>
      <c r="L7" s="76"/>
      <c r="M7" s="76"/>
      <c r="N7" s="76"/>
      <c r="O7" s="293"/>
      <c r="P7" s="125">
        <v>0.1</v>
      </c>
    </row>
    <row r="8" spans="1:16" ht="15" thickBot="1" x14ac:dyDescent="0.35">
      <c r="A8" s="118" t="s">
        <v>164</v>
      </c>
      <c r="B8" s="119" t="s">
        <v>57</v>
      </c>
      <c r="C8" s="120">
        <v>0.36</v>
      </c>
      <c r="D8" s="120" t="s">
        <v>161</v>
      </c>
      <c r="E8" s="120">
        <v>1.3</v>
      </c>
      <c r="F8" s="121" t="s">
        <v>274</v>
      </c>
      <c r="G8" s="122">
        <v>0.55000000000000004</v>
      </c>
      <c r="H8" s="120" t="s">
        <v>153</v>
      </c>
      <c r="I8" s="123">
        <v>0.43</v>
      </c>
      <c r="J8" s="76"/>
      <c r="K8" s="76"/>
      <c r="L8" s="76"/>
      <c r="M8" s="76"/>
      <c r="N8" s="76"/>
      <c r="O8" s="292"/>
      <c r="P8" s="124">
        <v>0.15</v>
      </c>
    </row>
    <row r="9" spans="1:16" ht="15" thickBot="1" x14ac:dyDescent="0.35">
      <c r="A9" s="118" t="s">
        <v>6</v>
      </c>
      <c r="B9" s="119" t="s">
        <v>58</v>
      </c>
      <c r="C9" s="120">
        <v>0.61</v>
      </c>
      <c r="D9" s="120" t="s">
        <v>161</v>
      </c>
      <c r="E9" s="120">
        <v>1.56</v>
      </c>
      <c r="F9" s="121" t="s">
        <v>274</v>
      </c>
      <c r="G9" s="122">
        <v>0.43</v>
      </c>
      <c r="H9" s="120" t="s">
        <v>278</v>
      </c>
      <c r="I9" s="123">
        <v>0.25</v>
      </c>
      <c r="J9" s="76"/>
      <c r="K9" s="76"/>
      <c r="L9" s="76"/>
      <c r="M9" s="76"/>
      <c r="N9" s="76"/>
    </row>
    <row r="10" spans="1:16" x14ac:dyDescent="0.3">
      <c r="A10" s="118" t="s">
        <v>7</v>
      </c>
      <c r="B10" s="119" t="s">
        <v>59</v>
      </c>
      <c r="C10" s="120">
        <v>0.66</v>
      </c>
      <c r="D10" s="120" t="s">
        <v>161</v>
      </c>
      <c r="E10" s="120">
        <v>1.56</v>
      </c>
      <c r="F10" s="121" t="s">
        <v>274</v>
      </c>
      <c r="G10" s="122">
        <v>0.43</v>
      </c>
      <c r="H10" s="120" t="s">
        <v>278</v>
      </c>
      <c r="I10" s="123">
        <v>0.25</v>
      </c>
      <c r="J10" s="76"/>
      <c r="K10" s="76"/>
      <c r="L10" s="76"/>
      <c r="M10" s="76"/>
      <c r="N10" s="76"/>
      <c r="O10" s="291" t="s">
        <v>236</v>
      </c>
      <c r="P10" s="117">
        <v>0</v>
      </c>
    </row>
    <row r="11" spans="1:16" ht="15" thickBot="1" x14ac:dyDescent="0.35">
      <c r="A11" s="118" t="s">
        <v>8</v>
      </c>
      <c r="B11" s="119" t="s">
        <v>60</v>
      </c>
      <c r="C11" s="120">
        <v>0.47</v>
      </c>
      <c r="D11" s="120" t="s">
        <v>161</v>
      </c>
      <c r="E11" s="120">
        <v>1.56</v>
      </c>
      <c r="F11" s="121" t="s">
        <v>274</v>
      </c>
      <c r="G11" s="122">
        <v>0.43</v>
      </c>
      <c r="H11" s="120" t="s">
        <v>278</v>
      </c>
      <c r="I11" s="123">
        <v>0.25</v>
      </c>
      <c r="J11" s="76"/>
      <c r="K11" s="76"/>
      <c r="L11" s="76"/>
      <c r="M11" s="76"/>
      <c r="N11" s="76"/>
      <c r="O11" s="292"/>
      <c r="P11" s="124">
        <v>0.1</v>
      </c>
    </row>
    <row r="12" spans="1:16" x14ac:dyDescent="0.3">
      <c r="A12" s="118" t="s">
        <v>9</v>
      </c>
      <c r="B12" s="119" t="s">
        <v>61</v>
      </c>
      <c r="C12" s="120">
        <v>0.67</v>
      </c>
      <c r="D12" s="120" t="s">
        <v>161</v>
      </c>
      <c r="E12" s="120">
        <v>1.56</v>
      </c>
      <c r="F12" s="121" t="s">
        <v>274</v>
      </c>
      <c r="G12" s="122">
        <v>0.43</v>
      </c>
      <c r="H12" s="120" t="s">
        <v>152</v>
      </c>
      <c r="I12" s="123">
        <v>0.25</v>
      </c>
      <c r="J12" s="76"/>
      <c r="K12" s="76"/>
      <c r="L12" s="76"/>
      <c r="M12" s="76"/>
      <c r="N12" s="76"/>
    </row>
    <row r="13" spans="1:16" x14ac:dyDescent="0.3">
      <c r="A13" s="118" t="s">
        <v>10</v>
      </c>
      <c r="B13" s="119" t="s">
        <v>62</v>
      </c>
      <c r="C13" s="120">
        <v>0.7</v>
      </c>
      <c r="D13" s="120" t="s">
        <v>161</v>
      </c>
      <c r="E13" s="120">
        <v>1.56</v>
      </c>
      <c r="F13" s="121" t="s">
        <v>274</v>
      </c>
      <c r="G13" s="122">
        <v>0.43</v>
      </c>
      <c r="H13" s="120" t="s">
        <v>152</v>
      </c>
      <c r="I13" s="123">
        <v>0.25</v>
      </c>
      <c r="J13" s="76"/>
      <c r="K13" s="76"/>
      <c r="L13" s="76"/>
      <c r="M13" s="76"/>
      <c r="N13" s="76"/>
    </row>
    <row r="14" spans="1:16" x14ac:dyDescent="0.3">
      <c r="A14" s="118" t="s">
        <v>11</v>
      </c>
      <c r="B14" s="119" t="s">
        <v>63</v>
      </c>
      <c r="C14" s="120">
        <v>0.54</v>
      </c>
      <c r="D14" s="120" t="s">
        <v>161</v>
      </c>
      <c r="E14" s="120">
        <v>1.56</v>
      </c>
      <c r="F14" s="121" t="s">
        <v>274</v>
      </c>
      <c r="G14" s="122">
        <v>0.43</v>
      </c>
      <c r="H14" s="120" t="s">
        <v>152</v>
      </c>
      <c r="I14" s="123">
        <v>0.25</v>
      </c>
      <c r="J14" s="76"/>
      <c r="K14" s="76"/>
      <c r="L14" s="76"/>
      <c r="M14" s="76"/>
      <c r="N14" s="76"/>
    </row>
    <row r="15" spans="1:16" x14ac:dyDescent="0.3">
      <c r="A15" s="118" t="s">
        <v>12</v>
      </c>
      <c r="B15" s="119" t="s">
        <v>64</v>
      </c>
      <c r="C15" s="120">
        <v>0.65</v>
      </c>
      <c r="D15" s="120" t="s">
        <v>161</v>
      </c>
      <c r="E15" s="120">
        <v>1.56</v>
      </c>
      <c r="F15" s="121" t="s">
        <v>274</v>
      </c>
      <c r="G15" s="122">
        <v>0.43</v>
      </c>
      <c r="H15" s="120" t="s">
        <v>152</v>
      </c>
      <c r="I15" s="123">
        <v>0.25</v>
      </c>
      <c r="J15" s="76"/>
      <c r="K15" s="76"/>
      <c r="L15" s="76"/>
      <c r="M15" s="76"/>
      <c r="N15" s="76"/>
    </row>
    <row r="16" spans="1:16" x14ac:dyDescent="0.3">
      <c r="A16" s="118" t="s">
        <v>13</v>
      </c>
      <c r="B16" s="119" t="s">
        <v>65</v>
      </c>
      <c r="C16" s="120">
        <v>0.56000000000000005</v>
      </c>
      <c r="D16" s="120" t="s">
        <v>161</v>
      </c>
      <c r="E16" s="120">
        <v>1.56</v>
      </c>
      <c r="F16" s="121" t="s">
        <v>274</v>
      </c>
      <c r="G16" s="122">
        <v>0.43</v>
      </c>
      <c r="H16" s="120" t="s">
        <v>152</v>
      </c>
      <c r="I16" s="123">
        <v>0.25</v>
      </c>
      <c r="J16" s="76"/>
      <c r="K16" s="76"/>
      <c r="L16" s="76"/>
      <c r="M16" s="76"/>
      <c r="N16" s="76"/>
    </row>
    <row r="17" spans="1:14" x14ac:dyDescent="0.3">
      <c r="A17" s="118" t="s">
        <v>14</v>
      </c>
      <c r="B17" s="119" t="s">
        <v>66</v>
      </c>
      <c r="C17" s="120">
        <v>0.57999999999999996</v>
      </c>
      <c r="D17" s="120" t="s">
        <v>161</v>
      </c>
      <c r="E17" s="120">
        <v>1.56</v>
      </c>
      <c r="F17" s="121" t="s">
        <v>274</v>
      </c>
      <c r="G17" s="122">
        <v>0.43</v>
      </c>
      <c r="H17" s="120" t="s">
        <v>152</v>
      </c>
      <c r="I17" s="123">
        <v>0.25</v>
      </c>
      <c r="J17" s="76"/>
      <c r="K17" s="76"/>
      <c r="L17" s="76"/>
      <c r="M17" s="76"/>
      <c r="N17" s="76"/>
    </row>
    <row r="18" spans="1:14" x14ac:dyDescent="0.3">
      <c r="A18" s="118" t="s">
        <v>15</v>
      </c>
      <c r="B18" s="119" t="s">
        <v>67</v>
      </c>
      <c r="C18" s="120">
        <v>0.64</v>
      </c>
      <c r="D18" s="120" t="s">
        <v>161</v>
      </c>
      <c r="E18" s="120">
        <v>1.56</v>
      </c>
      <c r="F18" s="121" t="s">
        <v>274</v>
      </c>
      <c r="G18" s="122">
        <v>0.43</v>
      </c>
      <c r="H18" s="120" t="s">
        <v>152</v>
      </c>
      <c r="I18" s="123">
        <v>0.25</v>
      </c>
      <c r="J18" s="76"/>
      <c r="K18" s="76"/>
      <c r="L18" s="76"/>
      <c r="M18" s="76"/>
      <c r="N18" s="76"/>
    </row>
    <row r="19" spans="1:14" x14ac:dyDescent="0.3">
      <c r="A19" s="118" t="s">
        <v>16</v>
      </c>
      <c r="B19" s="119" t="s">
        <v>68</v>
      </c>
      <c r="C19" s="120">
        <v>0.73</v>
      </c>
      <c r="D19" s="120" t="s">
        <v>161</v>
      </c>
      <c r="E19" s="120">
        <v>1.56</v>
      </c>
      <c r="F19" s="121" t="s">
        <v>274</v>
      </c>
      <c r="G19" s="122">
        <v>0.43</v>
      </c>
      <c r="H19" s="120" t="s">
        <v>152</v>
      </c>
      <c r="I19" s="123">
        <v>0.25</v>
      </c>
      <c r="J19" s="76"/>
      <c r="K19" s="76"/>
      <c r="L19" s="76"/>
      <c r="M19" s="76"/>
      <c r="N19" s="76"/>
    </row>
    <row r="20" spans="1:14" x14ac:dyDescent="0.3">
      <c r="A20" s="118" t="s">
        <v>52</v>
      </c>
      <c r="B20" s="119" t="s">
        <v>69</v>
      </c>
      <c r="C20" s="120">
        <v>0.69</v>
      </c>
      <c r="D20" s="120" t="s">
        <v>131</v>
      </c>
      <c r="E20" s="120">
        <v>1.56</v>
      </c>
      <c r="F20" s="121" t="s">
        <v>274</v>
      </c>
      <c r="G20" s="122">
        <v>0.43</v>
      </c>
      <c r="H20" s="120" t="s">
        <v>282</v>
      </c>
      <c r="I20" s="123">
        <v>0.25</v>
      </c>
      <c r="J20" s="76"/>
      <c r="K20" s="76"/>
      <c r="L20" s="76"/>
      <c r="M20" s="76"/>
      <c r="N20" s="76"/>
    </row>
    <row r="21" spans="1:14" x14ac:dyDescent="0.3">
      <c r="A21" s="118" t="s">
        <v>154</v>
      </c>
      <c r="B21" s="119" t="s">
        <v>155</v>
      </c>
      <c r="C21" s="120">
        <v>0.36</v>
      </c>
      <c r="D21" s="120" t="s">
        <v>161</v>
      </c>
      <c r="E21" s="120">
        <v>1.3</v>
      </c>
      <c r="F21" s="121" t="s">
        <v>274</v>
      </c>
      <c r="G21" s="122">
        <v>0.55000000000000004</v>
      </c>
      <c r="H21" s="120" t="s">
        <v>153</v>
      </c>
      <c r="I21" s="123">
        <v>0.43</v>
      </c>
      <c r="J21" s="76"/>
      <c r="K21" s="76"/>
      <c r="L21" s="76"/>
      <c r="M21" s="76"/>
      <c r="N21" s="76"/>
    </row>
    <row r="22" spans="1:14" x14ac:dyDescent="0.3">
      <c r="A22" s="118" t="s">
        <v>17</v>
      </c>
      <c r="B22" s="119" t="s">
        <v>70</v>
      </c>
      <c r="C22" s="120">
        <v>0.4</v>
      </c>
      <c r="D22" s="120" t="s">
        <v>161</v>
      </c>
      <c r="E22" s="120">
        <v>1.3</v>
      </c>
      <c r="F22" s="121" t="s">
        <v>274</v>
      </c>
      <c r="G22" s="122">
        <v>0.55000000000000004</v>
      </c>
      <c r="H22" s="120" t="s">
        <v>153</v>
      </c>
      <c r="I22" s="123">
        <v>0.43</v>
      </c>
      <c r="J22" s="76"/>
      <c r="K22" s="76"/>
      <c r="L22" s="76"/>
      <c r="M22" s="76"/>
      <c r="N22" s="76"/>
    </row>
    <row r="23" spans="1:14" x14ac:dyDescent="0.3">
      <c r="A23" s="118" t="s">
        <v>18</v>
      </c>
      <c r="B23" s="119" t="s">
        <v>71</v>
      </c>
      <c r="C23" s="120">
        <v>0.43</v>
      </c>
      <c r="D23" s="120" t="s">
        <v>161</v>
      </c>
      <c r="E23" s="120">
        <v>1.3</v>
      </c>
      <c r="F23" s="121" t="s">
        <v>274</v>
      </c>
      <c r="G23" s="122">
        <v>0.55000000000000004</v>
      </c>
      <c r="H23" s="120" t="s">
        <v>153</v>
      </c>
      <c r="I23" s="123">
        <v>0.43</v>
      </c>
      <c r="J23" s="76"/>
      <c r="K23" s="76"/>
      <c r="L23" s="76"/>
      <c r="M23" s="76"/>
      <c r="N23" s="76"/>
    </row>
    <row r="24" spans="1:14" x14ac:dyDescent="0.3">
      <c r="A24" s="118" t="s">
        <v>19</v>
      </c>
      <c r="B24" s="119" t="s">
        <v>72</v>
      </c>
      <c r="C24" s="120">
        <v>0.37</v>
      </c>
      <c r="D24" s="120" t="s">
        <v>161</v>
      </c>
      <c r="E24" s="120">
        <v>1.3</v>
      </c>
      <c r="F24" s="121" t="s">
        <v>274</v>
      </c>
      <c r="G24" s="122">
        <v>0.55000000000000004</v>
      </c>
      <c r="H24" s="120" t="s">
        <v>152</v>
      </c>
      <c r="I24" s="123">
        <v>0.43</v>
      </c>
      <c r="J24" s="76"/>
      <c r="K24" s="76"/>
      <c r="L24" s="76"/>
      <c r="M24" s="76"/>
      <c r="N24" s="76"/>
    </row>
    <row r="25" spans="1:14" x14ac:dyDescent="0.3">
      <c r="A25" s="118" t="s">
        <v>20</v>
      </c>
      <c r="B25" s="119" t="s">
        <v>73</v>
      </c>
      <c r="C25" s="120">
        <v>0.36</v>
      </c>
      <c r="D25" s="120" t="s">
        <v>161</v>
      </c>
      <c r="E25" s="120">
        <v>1.3</v>
      </c>
      <c r="F25" s="121" t="s">
        <v>274</v>
      </c>
      <c r="G25" s="122">
        <v>0.55000000000000004</v>
      </c>
      <c r="H25" s="120" t="s">
        <v>152</v>
      </c>
      <c r="I25" s="123">
        <v>0.43</v>
      </c>
      <c r="J25" s="76"/>
      <c r="K25" s="76"/>
      <c r="L25" s="76"/>
      <c r="M25" s="76"/>
      <c r="N25" s="76"/>
    </row>
    <row r="26" spans="1:14" x14ac:dyDescent="0.3">
      <c r="A26" s="118" t="s">
        <v>21</v>
      </c>
      <c r="B26" s="119" t="s">
        <v>74</v>
      </c>
      <c r="C26" s="120">
        <v>0.56000000000000005</v>
      </c>
      <c r="D26" s="120" t="s">
        <v>161</v>
      </c>
      <c r="E26" s="120">
        <v>1.56</v>
      </c>
      <c r="F26" s="121" t="s">
        <v>274</v>
      </c>
      <c r="G26" s="122">
        <v>0.53</v>
      </c>
      <c r="H26" s="120" t="s">
        <v>275</v>
      </c>
      <c r="I26" s="123">
        <v>0.25</v>
      </c>
      <c r="J26" s="76"/>
      <c r="K26" s="76"/>
      <c r="L26" s="76"/>
      <c r="M26" s="76"/>
      <c r="N26" s="76"/>
    </row>
    <row r="27" spans="1:14" x14ac:dyDescent="0.3">
      <c r="A27" s="118" t="s">
        <v>22</v>
      </c>
      <c r="B27" s="119" t="s">
        <v>75</v>
      </c>
      <c r="C27" s="120">
        <v>0.51</v>
      </c>
      <c r="D27" s="120" t="s">
        <v>161</v>
      </c>
      <c r="E27" s="120">
        <v>1.56</v>
      </c>
      <c r="F27" s="121" t="s">
        <v>274</v>
      </c>
      <c r="G27" s="122">
        <v>0.53</v>
      </c>
      <c r="H27" s="120" t="s">
        <v>275</v>
      </c>
      <c r="I27" s="123">
        <v>0.25</v>
      </c>
      <c r="J27" s="76"/>
      <c r="K27" s="76"/>
      <c r="L27" s="76"/>
      <c r="M27" s="76"/>
      <c r="N27" s="76"/>
    </row>
    <row r="28" spans="1:14" x14ac:dyDescent="0.3">
      <c r="A28" s="118" t="s">
        <v>23</v>
      </c>
      <c r="B28" s="119" t="s">
        <v>76</v>
      </c>
      <c r="C28" s="120">
        <v>0.51</v>
      </c>
      <c r="D28" s="120" t="s">
        <v>161</v>
      </c>
      <c r="E28" s="120">
        <v>1.56</v>
      </c>
      <c r="F28" s="121" t="s">
        <v>274</v>
      </c>
      <c r="G28" s="122">
        <v>0.53</v>
      </c>
      <c r="H28" s="120" t="s">
        <v>275</v>
      </c>
      <c r="I28" s="123">
        <v>0.25</v>
      </c>
      <c r="J28" s="76"/>
      <c r="K28" s="76"/>
      <c r="L28" s="76"/>
      <c r="M28" s="76"/>
      <c r="N28" s="76"/>
    </row>
    <row r="29" spans="1:14" x14ac:dyDescent="0.3">
      <c r="A29" s="118" t="s">
        <v>24</v>
      </c>
      <c r="B29" s="119" t="s">
        <v>24</v>
      </c>
      <c r="C29" s="120">
        <v>0.56000000000000005</v>
      </c>
      <c r="D29" s="120" t="s">
        <v>161</v>
      </c>
      <c r="E29" s="120">
        <v>1.56</v>
      </c>
      <c r="F29" s="121" t="s">
        <v>274</v>
      </c>
      <c r="G29" s="122">
        <v>0.53</v>
      </c>
      <c r="H29" s="120" t="s">
        <v>275</v>
      </c>
      <c r="I29" s="123">
        <v>0.25</v>
      </c>
      <c r="J29" s="76"/>
      <c r="K29" s="76"/>
      <c r="L29" s="76"/>
      <c r="M29" s="76"/>
      <c r="N29" s="76"/>
    </row>
    <row r="30" spans="1:14" x14ac:dyDescent="0.3">
      <c r="A30" s="118" t="s">
        <v>25</v>
      </c>
      <c r="B30" s="119" t="s">
        <v>77</v>
      </c>
      <c r="C30" s="120">
        <v>0.55000000000000004</v>
      </c>
      <c r="D30" s="120" t="s">
        <v>161</v>
      </c>
      <c r="E30" s="120">
        <v>1.56</v>
      </c>
      <c r="F30" s="121" t="s">
        <v>274</v>
      </c>
      <c r="G30" s="122">
        <v>0.53</v>
      </c>
      <c r="H30" s="120" t="s">
        <v>152</v>
      </c>
      <c r="I30" s="123">
        <v>0.25</v>
      </c>
      <c r="J30" s="76"/>
      <c r="K30" s="76"/>
      <c r="L30" s="76"/>
      <c r="M30" s="76"/>
      <c r="N30" s="76"/>
    </row>
    <row r="31" spans="1:14" x14ac:dyDescent="0.3">
      <c r="A31" s="118" t="s">
        <v>26</v>
      </c>
      <c r="B31" s="119" t="s">
        <v>78</v>
      </c>
      <c r="C31" s="120">
        <v>0.56000000000000005</v>
      </c>
      <c r="D31" s="120" t="s">
        <v>161</v>
      </c>
      <c r="E31" s="120">
        <v>1.56</v>
      </c>
      <c r="F31" s="121" t="s">
        <v>274</v>
      </c>
      <c r="G31" s="122">
        <v>0.43</v>
      </c>
      <c r="H31" s="120" t="s">
        <v>278</v>
      </c>
      <c r="I31" s="123">
        <v>0.25</v>
      </c>
      <c r="J31" s="76"/>
      <c r="K31" s="76"/>
      <c r="L31" s="76"/>
      <c r="M31" s="76"/>
      <c r="N31" s="76"/>
    </row>
    <row r="32" spans="1:14" x14ac:dyDescent="0.3">
      <c r="A32" s="118" t="s">
        <v>27</v>
      </c>
      <c r="B32" s="119" t="s">
        <v>79</v>
      </c>
      <c r="C32" s="120">
        <v>0.48</v>
      </c>
      <c r="D32" s="120" t="s">
        <v>161</v>
      </c>
      <c r="E32" s="120">
        <v>1.3</v>
      </c>
      <c r="F32" s="121" t="s">
        <v>274</v>
      </c>
      <c r="G32" s="122">
        <v>0.6</v>
      </c>
      <c r="H32" s="120" t="s">
        <v>281</v>
      </c>
      <c r="I32" s="123">
        <v>0.43</v>
      </c>
      <c r="J32" s="76"/>
      <c r="K32" s="76"/>
      <c r="L32" s="76"/>
      <c r="M32" s="76"/>
      <c r="N32" s="76"/>
    </row>
    <row r="33" spans="1:14" x14ac:dyDescent="0.3">
      <c r="A33" s="118" t="s">
        <v>28</v>
      </c>
      <c r="B33" s="119" t="s">
        <v>80</v>
      </c>
      <c r="C33" s="120">
        <v>0.42</v>
      </c>
      <c r="D33" s="120" t="s">
        <v>161</v>
      </c>
      <c r="E33" s="120">
        <v>1.3</v>
      </c>
      <c r="F33" s="121" t="s">
        <v>274</v>
      </c>
      <c r="G33" s="122">
        <v>0.6</v>
      </c>
      <c r="H33" s="120" t="s">
        <v>281</v>
      </c>
      <c r="I33" s="123">
        <v>0.43</v>
      </c>
      <c r="J33" s="76"/>
      <c r="K33" s="76"/>
      <c r="L33" s="76"/>
      <c r="M33" s="76"/>
      <c r="N33" s="76"/>
    </row>
    <row r="34" spans="1:14" x14ac:dyDescent="0.3">
      <c r="A34" s="118" t="s">
        <v>81</v>
      </c>
      <c r="B34" s="119" t="s">
        <v>163</v>
      </c>
      <c r="C34" s="120">
        <v>0.42</v>
      </c>
      <c r="D34" s="120" t="s">
        <v>103</v>
      </c>
      <c r="E34" s="120">
        <v>1.3</v>
      </c>
      <c r="F34" s="121" t="s">
        <v>274</v>
      </c>
      <c r="G34" s="122">
        <v>0.6</v>
      </c>
      <c r="H34" s="119" t="s">
        <v>280</v>
      </c>
      <c r="I34" s="123">
        <v>0.43</v>
      </c>
      <c r="J34" s="76"/>
      <c r="K34" s="76"/>
      <c r="L34" s="76"/>
      <c r="M34" s="76"/>
      <c r="N34" s="76"/>
    </row>
    <row r="35" spans="1:14" x14ac:dyDescent="0.3">
      <c r="A35" s="118" t="s">
        <v>29</v>
      </c>
      <c r="B35" s="119" t="s">
        <v>82</v>
      </c>
      <c r="C35" s="120">
        <v>0.5</v>
      </c>
      <c r="D35" s="120" t="s">
        <v>161</v>
      </c>
      <c r="E35" s="120">
        <v>1.56</v>
      </c>
      <c r="F35" s="121" t="s">
        <v>274</v>
      </c>
      <c r="G35" s="122">
        <v>0.43</v>
      </c>
      <c r="H35" s="120" t="s">
        <v>278</v>
      </c>
      <c r="I35" s="123">
        <v>0.25</v>
      </c>
      <c r="J35" s="76"/>
      <c r="K35" s="76"/>
      <c r="L35" s="76"/>
      <c r="M35" s="76"/>
      <c r="N35" s="76"/>
    </row>
    <row r="36" spans="1:14" x14ac:dyDescent="0.3">
      <c r="A36" s="118" t="s">
        <v>102</v>
      </c>
      <c r="B36" s="119" t="s">
        <v>101</v>
      </c>
      <c r="C36" s="120">
        <v>0.55000000000000004</v>
      </c>
      <c r="D36" s="120" t="s">
        <v>161</v>
      </c>
      <c r="E36" s="120">
        <v>1.56</v>
      </c>
      <c r="F36" s="121" t="s">
        <v>274</v>
      </c>
      <c r="G36" s="122">
        <v>0.53</v>
      </c>
      <c r="H36" s="120" t="s">
        <v>275</v>
      </c>
      <c r="I36" s="123">
        <v>0.25</v>
      </c>
      <c r="J36" s="76"/>
      <c r="K36" s="76"/>
      <c r="L36" s="76"/>
      <c r="M36" s="76"/>
      <c r="N36" s="76"/>
    </row>
    <row r="37" spans="1:14" x14ac:dyDescent="0.3">
      <c r="A37" s="118" t="s">
        <v>30</v>
      </c>
      <c r="B37" s="119" t="s">
        <v>104</v>
      </c>
      <c r="C37" s="120">
        <v>0.52</v>
      </c>
      <c r="D37" s="120" t="s">
        <v>161</v>
      </c>
      <c r="E37" s="120">
        <v>1.56</v>
      </c>
      <c r="F37" s="121" t="s">
        <v>274</v>
      </c>
      <c r="G37" s="122">
        <v>0.53</v>
      </c>
      <c r="H37" s="120" t="s">
        <v>275</v>
      </c>
      <c r="I37" s="123">
        <v>0.25</v>
      </c>
      <c r="J37" s="76"/>
      <c r="K37" s="76"/>
      <c r="L37" s="76"/>
      <c r="M37" s="76"/>
      <c r="N37" s="76"/>
    </row>
    <row r="38" spans="1:14" x14ac:dyDescent="0.3">
      <c r="A38" s="118" t="s">
        <v>31</v>
      </c>
      <c r="B38" s="119" t="s">
        <v>105</v>
      </c>
      <c r="C38" s="120">
        <v>0.52</v>
      </c>
      <c r="D38" s="120" t="s">
        <v>161</v>
      </c>
      <c r="E38" s="120">
        <v>1.56</v>
      </c>
      <c r="F38" s="121" t="s">
        <v>274</v>
      </c>
      <c r="G38" s="122">
        <v>0.43</v>
      </c>
      <c r="H38" s="120" t="s">
        <v>278</v>
      </c>
      <c r="I38" s="123">
        <v>0.25</v>
      </c>
      <c r="J38" s="76"/>
      <c r="K38" s="76"/>
      <c r="L38" s="76"/>
      <c r="M38" s="76"/>
      <c r="N38" s="76"/>
    </row>
    <row r="39" spans="1:14" x14ac:dyDescent="0.3">
      <c r="A39" s="118" t="s">
        <v>107</v>
      </c>
      <c r="B39" s="119" t="s">
        <v>132</v>
      </c>
      <c r="C39" s="120">
        <v>0.313</v>
      </c>
      <c r="D39" s="120" t="s">
        <v>130</v>
      </c>
      <c r="E39" s="120">
        <v>1.56</v>
      </c>
      <c r="F39" s="121" t="s">
        <v>274</v>
      </c>
      <c r="G39" s="122">
        <v>0.6</v>
      </c>
      <c r="H39" s="120" t="s">
        <v>283</v>
      </c>
      <c r="I39" s="123">
        <v>1.03</v>
      </c>
      <c r="J39" s="76"/>
      <c r="K39" s="76"/>
      <c r="L39" s="76"/>
      <c r="M39" s="76"/>
      <c r="N39" s="76"/>
    </row>
    <row r="40" spans="1:14" x14ac:dyDescent="0.3">
      <c r="A40" s="118" t="s">
        <v>108</v>
      </c>
      <c r="B40" s="119" t="s">
        <v>132</v>
      </c>
      <c r="C40" s="120">
        <v>0.35199999999999998</v>
      </c>
      <c r="D40" s="120" t="s">
        <v>130</v>
      </c>
      <c r="E40" s="120">
        <v>1.56</v>
      </c>
      <c r="F40" s="121" t="s">
        <v>274</v>
      </c>
      <c r="G40" s="122">
        <v>0.6</v>
      </c>
      <c r="H40" s="120" t="s">
        <v>283</v>
      </c>
      <c r="I40" s="123">
        <v>1.03</v>
      </c>
      <c r="J40" s="76"/>
      <c r="K40" s="76"/>
      <c r="L40" s="76"/>
      <c r="M40" s="76"/>
      <c r="N40" s="76"/>
    </row>
    <row r="41" spans="1:14" x14ac:dyDescent="0.3">
      <c r="A41" s="118" t="s">
        <v>121</v>
      </c>
      <c r="B41" s="119" t="s">
        <v>132</v>
      </c>
      <c r="C41" s="120">
        <v>0.32200000000000001</v>
      </c>
      <c r="D41" s="120" t="s">
        <v>130</v>
      </c>
      <c r="E41" s="120">
        <v>1.56</v>
      </c>
      <c r="F41" s="121" t="s">
        <v>274</v>
      </c>
      <c r="G41" s="122">
        <v>0.6</v>
      </c>
      <c r="H41" s="120" t="s">
        <v>283</v>
      </c>
      <c r="I41" s="123">
        <v>1.03</v>
      </c>
      <c r="J41" s="76"/>
      <c r="K41" s="76"/>
      <c r="L41" s="76"/>
      <c r="M41" s="76"/>
      <c r="N41" s="76"/>
    </row>
    <row r="42" spans="1:14" x14ac:dyDescent="0.3">
      <c r="A42" s="118" t="s">
        <v>122</v>
      </c>
      <c r="B42" s="119" t="s">
        <v>132</v>
      </c>
      <c r="C42" s="120">
        <v>0.311</v>
      </c>
      <c r="D42" s="120" t="s">
        <v>130</v>
      </c>
      <c r="E42" s="120">
        <v>1.56</v>
      </c>
      <c r="F42" s="121" t="s">
        <v>274</v>
      </c>
      <c r="G42" s="122">
        <v>0.6</v>
      </c>
      <c r="H42" s="120" t="s">
        <v>283</v>
      </c>
      <c r="I42" s="123">
        <v>1.03</v>
      </c>
      <c r="J42" s="76"/>
      <c r="K42" s="76"/>
      <c r="L42" s="76"/>
      <c r="M42" s="76"/>
      <c r="N42" s="76"/>
    </row>
    <row r="43" spans="1:14" x14ac:dyDescent="0.3">
      <c r="A43" s="118" t="s">
        <v>109</v>
      </c>
      <c r="B43" s="119" t="s">
        <v>132</v>
      </c>
      <c r="C43" s="120">
        <v>0.33900000000000002</v>
      </c>
      <c r="D43" s="120" t="s">
        <v>130</v>
      </c>
      <c r="E43" s="120">
        <v>1.56</v>
      </c>
      <c r="F43" s="121" t="s">
        <v>274</v>
      </c>
      <c r="G43" s="122">
        <v>0.6</v>
      </c>
      <c r="H43" s="120" t="s">
        <v>283</v>
      </c>
      <c r="I43" s="123">
        <v>1.03</v>
      </c>
      <c r="J43" s="76"/>
      <c r="K43" s="76"/>
      <c r="L43" s="76"/>
      <c r="M43" s="76"/>
      <c r="N43" s="76"/>
    </row>
    <row r="44" spans="1:14" x14ac:dyDescent="0.3">
      <c r="A44" s="118" t="s">
        <v>123</v>
      </c>
      <c r="B44" s="119" t="s">
        <v>132</v>
      </c>
      <c r="C44" s="120">
        <v>0.33600000000000002</v>
      </c>
      <c r="D44" s="120" t="s">
        <v>130</v>
      </c>
      <c r="E44" s="120">
        <v>1.56</v>
      </c>
      <c r="F44" s="121" t="s">
        <v>274</v>
      </c>
      <c r="G44" s="122">
        <v>0.6</v>
      </c>
      <c r="H44" s="120" t="s">
        <v>283</v>
      </c>
      <c r="I44" s="123">
        <v>1.03</v>
      </c>
      <c r="J44" s="76"/>
      <c r="K44" s="76"/>
      <c r="L44" s="76"/>
      <c r="M44" s="76"/>
      <c r="N44" s="76"/>
    </row>
    <row r="45" spans="1:14" x14ac:dyDescent="0.3">
      <c r="A45" s="118" t="s">
        <v>110</v>
      </c>
      <c r="B45" s="119" t="s">
        <v>132</v>
      </c>
      <c r="C45" s="120">
        <v>0.32900000000000001</v>
      </c>
      <c r="D45" s="120" t="s">
        <v>130</v>
      </c>
      <c r="E45" s="120">
        <v>1.56</v>
      </c>
      <c r="F45" s="121" t="s">
        <v>274</v>
      </c>
      <c r="G45" s="122">
        <v>0.6</v>
      </c>
      <c r="H45" s="120" t="s">
        <v>283</v>
      </c>
      <c r="I45" s="123">
        <v>1.03</v>
      </c>
      <c r="J45" s="76"/>
      <c r="K45" s="76"/>
      <c r="L45" s="76"/>
      <c r="M45" s="76"/>
      <c r="N45" s="76"/>
    </row>
    <row r="46" spans="1:14" x14ac:dyDescent="0.3">
      <c r="A46" s="118" t="s">
        <v>124</v>
      </c>
      <c r="B46" s="119" t="s">
        <v>132</v>
      </c>
      <c r="C46" s="120">
        <v>0.34300000000000003</v>
      </c>
      <c r="D46" s="120" t="s">
        <v>130</v>
      </c>
      <c r="E46" s="120">
        <v>1.56</v>
      </c>
      <c r="F46" s="121" t="s">
        <v>274</v>
      </c>
      <c r="G46" s="122">
        <v>0.6</v>
      </c>
      <c r="H46" s="120" t="s">
        <v>283</v>
      </c>
      <c r="I46" s="123">
        <v>1.03</v>
      </c>
      <c r="J46" s="76"/>
      <c r="K46" s="76"/>
      <c r="L46" s="76"/>
      <c r="M46" s="76"/>
      <c r="N46" s="76"/>
    </row>
    <row r="47" spans="1:14" x14ac:dyDescent="0.3">
      <c r="A47" s="118" t="s">
        <v>125</v>
      </c>
      <c r="B47" s="119" t="s">
        <v>132</v>
      </c>
      <c r="C47" s="120">
        <v>0.32500000000000001</v>
      </c>
      <c r="D47" s="120" t="s">
        <v>130</v>
      </c>
      <c r="E47" s="120">
        <v>1.56</v>
      </c>
      <c r="F47" s="121" t="s">
        <v>274</v>
      </c>
      <c r="G47" s="122">
        <v>0.6</v>
      </c>
      <c r="H47" s="120" t="s">
        <v>283</v>
      </c>
      <c r="I47" s="123">
        <v>1.03</v>
      </c>
      <c r="J47" s="76"/>
      <c r="K47" s="76"/>
      <c r="L47" s="76"/>
      <c r="M47" s="76"/>
      <c r="N47" s="76"/>
    </row>
    <row r="48" spans="1:14" x14ac:dyDescent="0.3">
      <c r="A48" s="118" t="s">
        <v>126</v>
      </c>
      <c r="B48" s="119" t="s">
        <v>132</v>
      </c>
      <c r="C48" s="120">
        <v>0.32</v>
      </c>
      <c r="D48" s="120" t="s">
        <v>130</v>
      </c>
      <c r="E48" s="120">
        <v>1.56</v>
      </c>
      <c r="F48" s="121" t="s">
        <v>274</v>
      </c>
      <c r="G48" s="122">
        <v>0.6</v>
      </c>
      <c r="H48" s="120" t="s">
        <v>283</v>
      </c>
      <c r="I48" s="123">
        <v>1.03</v>
      </c>
      <c r="J48" s="76"/>
      <c r="K48" s="76"/>
      <c r="L48" s="76"/>
      <c r="M48" s="76"/>
      <c r="N48" s="76"/>
    </row>
    <row r="49" spans="1:14" x14ac:dyDescent="0.3">
      <c r="A49" s="118" t="s">
        <v>111</v>
      </c>
      <c r="B49" s="119" t="s">
        <v>132</v>
      </c>
      <c r="C49" s="120">
        <v>0.28199999999999997</v>
      </c>
      <c r="D49" s="120" t="s">
        <v>130</v>
      </c>
      <c r="E49" s="120">
        <v>1.56</v>
      </c>
      <c r="F49" s="121" t="s">
        <v>274</v>
      </c>
      <c r="G49" s="122">
        <v>0.6</v>
      </c>
      <c r="H49" s="120" t="s">
        <v>283</v>
      </c>
      <c r="I49" s="123">
        <v>1.03</v>
      </c>
      <c r="J49" s="76"/>
      <c r="K49" s="76"/>
      <c r="L49" s="76"/>
      <c r="M49" s="76"/>
      <c r="N49" s="76"/>
    </row>
    <row r="50" spans="1:14" x14ac:dyDescent="0.3">
      <c r="A50" s="118" t="s">
        <v>127</v>
      </c>
      <c r="B50" s="119" t="s">
        <v>132</v>
      </c>
      <c r="C50" s="120">
        <v>0.32800000000000001</v>
      </c>
      <c r="D50" s="120" t="s">
        <v>130</v>
      </c>
      <c r="E50" s="120">
        <v>1.56</v>
      </c>
      <c r="F50" s="121" t="s">
        <v>274</v>
      </c>
      <c r="G50" s="122">
        <v>0.6</v>
      </c>
      <c r="H50" s="120" t="s">
        <v>283</v>
      </c>
      <c r="I50" s="123">
        <v>1.03</v>
      </c>
      <c r="J50" s="76"/>
      <c r="K50" s="76"/>
      <c r="L50" s="76"/>
      <c r="M50" s="76"/>
      <c r="N50" s="76"/>
    </row>
    <row r="51" spans="1:14" x14ac:dyDescent="0.3">
      <c r="A51" s="118" t="s">
        <v>112</v>
      </c>
      <c r="B51" s="119" t="s">
        <v>132</v>
      </c>
      <c r="C51" s="120">
        <v>0.32600000000000001</v>
      </c>
      <c r="D51" s="120" t="s">
        <v>130</v>
      </c>
      <c r="E51" s="120">
        <v>1.56</v>
      </c>
      <c r="F51" s="121" t="s">
        <v>274</v>
      </c>
      <c r="G51" s="122">
        <v>0.6</v>
      </c>
      <c r="H51" s="120" t="s">
        <v>283</v>
      </c>
      <c r="I51" s="123">
        <v>1.03</v>
      </c>
      <c r="J51" s="76"/>
      <c r="K51" s="76"/>
      <c r="L51" s="76"/>
      <c r="M51" s="76"/>
      <c r="N51" s="76"/>
    </row>
    <row r="52" spans="1:14" x14ac:dyDescent="0.3">
      <c r="A52" s="118" t="s">
        <v>113</v>
      </c>
      <c r="B52" s="119" t="s">
        <v>132</v>
      </c>
      <c r="C52" s="120">
        <v>0.35899999999999999</v>
      </c>
      <c r="D52" s="120" t="s">
        <v>130</v>
      </c>
      <c r="E52" s="120">
        <v>1.56</v>
      </c>
      <c r="F52" s="121" t="s">
        <v>274</v>
      </c>
      <c r="G52" s="122">
        <v>0.6</v>
      </c>
      <c r="H52" s="120" t="s">
        <v>283</v>
      </c>
      <c r="I52" s="123">
        <v>1.03</v>
      </c>
      <c r="J52" s="76"/>
      <c r="K52" s="76"/>
      <c r="L52" s="76"/>
      <c r="M52" s="76"/>
      <c r="N52" s="76"/>
    </row>
    <row r="53" spans="1:14" x14ac:dyDescent="0.3">
      <c r="A53" s="118" t="s">
        <v>114</v>
      </c>
      <c r="B53" s="119" t="s">
        <v>132</v>
      </c>
      <c r="C53" s="120">
        <v>0.34599999999999997</v>
      </c>
      <c r="D53" s="120" t="s">
        <v>130</v>
      </c>
      <c r="E53" s="120">
        <v>1.56</v>
      </c>
      <c r="F53" s="121" t="s">
        <v>274</v>
      </c>
      <c r="G53" s="122">
        <v>0.6</v>
      </c>
      <c r="H53" s="120" t="s">
        <v>283</v>
      </c>
      <c r="I53" s="123">
        <v>1.03</v>
      </c>
      <c r="J53" s="76"/>
      <c r="K53" s="76"/>
      <c r="L53" s="76"/>
      <c r="M53" s="76"/>
      <c r="N53" s="76"/>
    </row>
    <row r="54" spans="1:14" x14ac:dyDescent="0.3">
      <c r="A54" s="118" t="s">
        <v>115</v>
      </c>
      <c r="B54" s="119" t="s">
        <v>132</v>
      </c>
      <c r="C54" s="120">
        <v>0.32600000000000001</v>
      </c>
      <c r="D54" s="120" t="s">
        <v>130</v>
      </c>
      <c r="E54" s="120">
        <v>1.56</v>
      </c>
      <c r="F54" s="121" t="s">
        <v>274</v>
      </c>
      <c r="G54" s="122">
        <v>0.6</v>
      </c>
      <c r="H54" s="120" t="s">
        <v>283</v>
      </c>
      <c r="I54" s="123">
        <v>1.03</v>
      </c>
      <c r="J54" s="76"/>
      <c r="K54" s="76"/>
      <c r="L54" s="76"/>
      <c r="M54" s="76"/>
      <c r="N54" s="76"/>
    </row>
    <row r="55" spans="1:14" x14ac:dyDescent="0.3">
      <c r="A55" s="118" t="s">
        <v>116</v>
      </c>
      <c r="B55" s="119" t="s">
        <v>132</v>
      </c>
      <c r="C55" s="120">
        <v>0.30499999999999999</v>
      </c>
      <c r="D55" s="120" t="s">
        <v>130</v>
      </c>
      <c r="E55" s="120">
        <v>1.56</v>
      </c>
      <c r="F55" s="121" t="s">
        <v>274</v>
      </c>
      <c r="G55" s="122">
        <v>0.6</v>
      </c>
      <c r="H55" s="120" t="s">
        <v>283</v>
      </c>
      <c r="I55" s="123">
        <v>1.03</v>
      </c>
      <c r="J55" s="76"/>
      <c r="K55" s="76"/>
      <c r="L55" s="76"/>
      <c r="M55" s="76"/>
      <c r="N55" s="76"/>
    </row>
    <row r="56" spans="1:14" x14ac:dyDescent="0.3">
      <c r="A56" s="118" t="s">
        <v>128</v>
      </c>
      <c r="B56" s="119" t="s">
        <v>132</v>
      </c>
      <c r="C56" s="120">
        <v>0.32300000000000001</v>
      </c>
      <c r="D56" s="120" t="s">
        <v>130</v>
      </c>
      <c r="E56" s="120">
        <v>1.56</v>
      </c>
      <c r="F56" s="121" t="s">
        <v>274</v>
      </c>
      <c r="G56" s="122">
        <v>0.6</v>
      </c>
      <c r="H56" s="120" t="s">
        <v>283</v>
      </c>
      <c r="I56" s="123">
        <v>1.03</v>
      </c>
      <c r="J56" s="76"/>
      <c r="K56" s="76"/>
      <c r="L56" s="76"/>
      <c r="M56" s="76"/>
      <c r="N56" s="76"/>
    </row>
    <row r="57" spans="1:14" x14ac:dyDescent="0.3">
      <c r="A57" s="118" t="s">
        <v>129</v>
      </c>
      <c r="B57" s="119" t="s">
        <v>132</v>
      </c>
      <c r="C57" s="120">
        <v>0.36699999999999999</v>
      </c>
      <c r="D57" s="120" t="s">
        <v>130</v>
      </c>
      <c r="E57" s="120">
        <v>1.56</v>
      </c>
      <c r="F57" s="121" t="s">
        <v>274</v>
      </c>
      <c r="G57" s="122">
        <v>0.6</v>
      </c>
      <c r="H57" s="120" t="s">
        <v>283</v>
      </c>
      <c r="I57" s="123">
        <v>1.03</v>
      </c>
      <c r="J57" s="76"/>
      <c r="K57" s="76"/>
      <c r="L57" s="76"/>
      <c r="M57" s="76"/>
      <c r="N57" s="76"/>
    </row>
    <row r="58" spans="1:14" x14ac:dyDescent="0.3">
      <c r="A58" s="118" t="s">
        <v>117</v>
      </c>
      <c r="B58" s="119" t="s">
        <v>132</v>
      </c>
      <c r="C58" s="120">
        <v>0.36</v>
      </c>
      <c r="D58" s="120" t="s">
        <v>130</v>
      </c>
      <c r="E58" s="120">
        <v>1.56</v>
      </c>
      <c r="F58" s="121" t="s">
        <v>274</v>
      </c>
      <c r="G58" s="122">
        <v>0.6</v>
      </c>
      <c r="H58" s="120" t="s">
        <v>283</v>
      </c>
      <c r="I58" s="123">
        <v>1.03</v>
      </c>
      <c r="J58" s="76"/>
      <c r="K58" s="76"/>
      <c r="L58" s="76"/>
      <c r="M58" s="76"/>
      <c r="N58" s="76"/>
    </row>
    <row r="59" spans="1:14" x14ac:dyDescent="0.3">
      <c r="A59" s="118" t="s">
        <v>118</v>
      </c>
      <c r="B59" s="119" t="s">
        <v>132</v>
      </c>
      <c r="C59" s="120">
        <v>0.36799999999999999</v>
      </c>
      <c r="D59" s="120" t="s">
        <v>130</v>
      </c>
      <c r="E59" s="120">
        <v>1.56</v>
      </c>
      <c r="F59" s="121" t="s">
        <v>274</v>
      </c>
      <c r="G59" s="122">
        <v>0.6</v>
      </c>
      <c r="H59" s="120" t="s">
        <v>283</v>
      </c>
      <c r="I59" s="123">
        <v>1.03</v>
      </c>
      <c r="J59" s="76"/>
      <c r="K59" s="76"/>
      <c r="L59" s="76"/>
      <c r="M59" s="76"/>
      <c r="N59" s="76"/>
    </row>
    <row r="60" spans="1:14" x14ac:dyDescent="0.3">
      <c r="A60" s="118" t="s">
        <v>119</v>
      </c>
      <c r="B60" s="119" t="s">
        <v>132</v>
      </c>
      <c r="C60" s="120">
        <v>0.30599999999999999</v>
      </c>
      <c r="D60" s="120" t="s">
        <v>130</v>
      </c>
      <c r="E60" s="120">
        <v>1.56</v>
      </c>
      <c r="F60" s="121" t="s">
        <v>274</v>
      </c>
      <c r="G60" s="122">
        <v>0.6</v>
      </c>
      <c r="H60" s="120" t="s">
        <v>283</v>
      </c>
      <c r="I60" s="123">
        <v>1.03</v>
      </c>
      <c r="J60" s="76"/>
      <c r="K60" s="76"/>
      <c r="L60" s="76"/>
      <c r="M60" s="76"/>
      <c r="N60" s="76"/>
    </row>
    <row r="61" spans="1:14" x14ac:dyDescent="0.3">
      <c r="A61" s="118" t="s">
        <v>120</v>
      </c>
      <c r="B61" s="119" t="s">
        <v>132</v>
      </c>
      <c r="C61" s="120">
        <v>0.313</v>
      </c>
      <c r="D61" s="120" t="s">
        <v>130</v>
      </c>
      <c r="E61" s="120">
        <v>1.56</v>
      </c>
      <c r="F61" s="121" t="s">
        <v>274</v>
      </c>
      <c r="G61" s="122">
        <v>0.6</v>
      </c>
      <c r="H61" s="120" t="s">
        <v>283</v>
      </c>
      <c r="I61" s="123">
        <v>1.03</v>
      </c>
      <c r="J61" s="76"/>
      <c r="K61" s="76"/>
      <c r="L61" s="76"/>
      <c r="M61" s="76"/>
      <c r="N61" s="76"/>
    </row>
    <row r="62" spans="1:14" x14ac:dyDescent="0.3">
      <c r="A62" s="118" t="s">
        <v>32</v>
      </c>
      <c r="B62" s="119" t="s">
        <v>133</v>
      </c>
      <c r="C62" s="120">
        <v>0.37</v>
      </c>
      <c r="D62" s="120" t="s">
        <v>161</v>
      </c>
      <c r="E62" s="120">
        <v>1.56</v>
      </c>
      <c r="F62" s="121" t="s">
        <v>274</v>
      </c>
      <c r="G62" s="122">
        <v>0.6</v>
      </c>
      <c r="H62" s="120" t="s">
        <v>283</v>
      </c>
      <c r="I62" s="123">
        <v>1.03</v>
      </c>
      <c r="J62" s="76"/>
      <c r="K62" s="76"/>
      <c r="L62" s="76"/>
      <c r="M62" s="76"/>
      <c r="N62" s="76"/>
    </row>
    <row r="63" spans="1:14" x14ac:dyDescent="0.3">
      <c r="A63" s="118" t="s">
        <v>90</v>
      </c>
      <c r="B63" s="119" t="s">
        <v>83</v>
      </c>
      <c r="C63" s="120">
        <v>0.45</v>
      </c>
      <c r="D63" s="120" t="s">
        <v>161</v>
      </c>
      <c r="E63" s="120">
        <v>1.3</v>
      </c>
      <c r="F63" s="121" t="s">
        <v>274</v>
      </c>
      <c r="G63" s="122">
        <v>0.45</v>
      </c>
      <c r="H63" s="120" t="s">
        <v>276</v>
      </c>
      <c r="I63" s="123">
        <v>0.43</v>
      </c>
      <c r="J63" s="76"/>
      <c r="K63" s="76"/>
      <c r="L63" s="76"/>
      <c r="M63" s="76"/>
      <c r="N63" s="76"/>
    </row>
    <row r="64" spans="1:14" x14ac:dyDescent="0.3">
      <c r="A64" s="118" t="s">
        <v>33</v>
      </c>
      <c r="B64" s="119" t="s">
        <v>134</v>
      </c>
      <c r="C64" s="120">
        <v>0.39</v>
      </c>
      <c r="D64" s="120" t="s">
        <v>161</v>
      </c>
      <c r="E64" s="120">
        <v>1.3</v>
      </c>
      <c r="F64" s="121" t="s">
        <v>274</v>
      </c>
      <c r="G64" s="122">
        <v>0.45</v>
      </c>
      <c r="H64" s="120" t="s">
        <v>276</v>
      </c>
      <c r="I64" s="123">
        <v>0.43</v>
      </c>
      <c r="J64" s="76"/>
      <c r="K64" s="76"/>
      <c r="L64" s="76"/>
      <c r="M64" s="76"/>
      <c r="N64" s="76"/>
    </row>
    <row r="65" spans="1:14" x14ac:dyDescent="0.3">
      <c r="A65" s="118" t="s">
        <v>34</v>
      </c>
      <c r="B65" s="119" t="s">
        <v>135</v>
      </c>
      <c r="C65" s="120">
        <v>0.44</v>
      </c>
      <c r="D65" s="120" t="s">
        <v>161</v>
      </c>
      <c r="E65" s="120">
        <v>1.3</v>
      </c>
      <c r="F65" s="121" t="s">
        <v>274</v>
      </c>
      <c r="G65" s="122">
        <v>0.45</v>
      </c>
      <c r="H65" s="120" t="s">
        <v>276</v>
      </c>
      <c r="I65" s="123">
        <v>0.43</v>
      </c>
      <c r="J65" s="76"/>
      <c r="K65" s="76"/>
      <c r="L65" s="76"/>
      <c r="M65" s="76"/>
      <c r="N65" s="76"/>
    </row>
    <row r="66" spans="1:14" x14ac:dyDescent="0.3">
      <c r="A66" s="118" t="s">
        <v>35</v>
      </c>
      <c r="B66" s="119" t="s">
        <v>84</v>
      </c>
      <c r="C66" s="120">
        <v>0.46</v>
      </c>
      <c r="D66" s="120" t="s">
        <v>161</v>
      </c>
      <c r="E66" s="120">
        <v>1.3</v>
      </c>
      <c r="F66" s="121" t="s">
        <v>274</v>
      </c>
      <c r="G66" s="122">
        <v>0.45</v>
      </c>
      <c r="H66" s="120" t="s">
        <v>276</v>
      </c>
      <c r="I66" s="123">
        <v>0.43</v>
      </c>
      <c r="J66" s="76"/>
      <c r="K66" s="76"/>
      <c r="L66" s="76"/>
      <c r="M66" s="76"/>
      <c r="N66" s="76"/>
    </row>
    <row r="67" spans="1:14" x14ac:dyDescent="0.3">
      <c r="A67" s="118" t="s">
        <v>36</v>
      </c>
      <c r="B67" s="119" t="s">
        <v>85</v>
      </c>
      <c r="C67" s="120">
        <v>0.46</v>
      </c>
      <c r="D67" s="120" t="s">
        <v>161</v>
      </c>
      <c r="E67" s="120">
        <v>1.3</v>
      </c>
      <c r="F67" s="121" t="s">
        <v>274</v>
      </c>
      <c r="G67" s="122">
        <v>0.45</v>
      </c>
      <c r="H67" s="120" t="s">
        <v>152</v>
      </c>
      <c r="I67" s="123">
        <v>0.59</v>
      </c>
      <c r="J67" s="76"/>
      <c r="K67" s="76"/>
      <c r="L67" s="76"/>
      <c r="M67" s="76"/>
      <c r="N67" s="76"/>
    </row>
    <row r="68" spans="1:14" x14ac:dyDescent="0.3">
      <c r="A68" s="118" t="s">
        <v>37</v>
      </c>
      <c r="B68" s="119" t="s">
        <v>136</v>
      </c>
      <c r="C68" s="120">
        <v>0.44</v>
      </c>
      <c r="D68" s="120" t="s">
        <v>161</v>
      </c>
      <c r="E68" s="120">
        <v>1.3</v>
      </c>
      <c r="F68" s="121" t="s">
        <v>274</v>
      </c>
      <c r="G68" s="122">
        <v>0.45</v>
      </c>
      <c r="H68" s="120" t="s">
        <v>276</v>
      </c>
      <c r="I68" s="123">
        <v>0.43</v>
      </c>
      <c r="J68" s="76"/>
      <c r="K68" s="76"/>
      <c r="L68" s="76"/>
      <c r="M68" s="76"/>
      <c r="N68" s="76"/>
    </row>
    <row r="69" spans="1:14" x14ac:dyDescent="0.3">
      <c r="A69" s="118" t="s">
        <v>38</v>
      </c>
      <c r="B69" s="119" t="s">
        <v>86</v>
      </c>
      <c r="C69" s="120">
        <v>0.46</v>
      </c>
      <c r="D69" s="120" t="s">
        <v>161</v>
      </c>
      <c r="E69" s="120">
        <v>1.3</v>
      </c>
      <c r="F69" s="121" t="s">
        <v>274</v>
      </c>
      <c r="G69" s="122">
        <v>0.45</v>
      </c>
      <c r="H69" s="120" t="s">
        <v>276</v>
      </c>
      <c r="I69" s="123">
        <v>0.43</v>
      </c>
      <c r="J69" s="76"/>
      <c r="K69" s="76"/>
      <c r="L69" s="76"/>
      <c r="M69" s="76"/>
      <c r="N69" s="76"/>
    </row>
    <row r="70" spans="1:14" x14ac:dyDescent="0.3">
      <c r="A70" s="118" t="s">
        <v>39</v>
      </c>
      <c r="B70" s="119" t="s">
        <v>137</v>
      </c>
      <c r="C70" s="120">
        <v>0.48</v>
      </c>
      <c r="D70" s="120" t="s">
        <v>161</v>
      </c>
      <c r="E70" s="120">
        <v>2.4</v>
      </c>
      <c r="F70" s="120" t="s">
        <v>284</v>
      </c>
      <c r="G70" s="122">
        <v>0.45</v>
      </c>
      <c r="H70" s="120" t="s">
        <v>276</v>
      </c>
      <c r="I70" s="123">
        <v>0.43</v>
      </c>
      <c r="J70" s="76"/>
      <c r="K70" s="76"/>
      <c r="L70" s="76"/>
      <c r="M70" s="76"/>
      <c r="N70" s="76"/>
    </row>
    <row r="71" spans="1:14" x14ac:dyDescent="0.3">
      <c r="A71" s="118" t="s">
        <v>40</v>
      </c>
      <c r="B71" s="119" t="s">
        <v>87</v>
      </c>
      <c r="C71" s="120">
        <v>0.46</v>
      </c>
      <c r="D71" s="120" t="s">
        <v>150</v>
      </c>
      <c r="E71" s="120">
        <v>1.3</v>
      </c>
      <c r="F71" s="121" t="s">
        <v>274</v>
      </c>
      <c r="G71" s="122">
        <v>0.45</v>
      </c>
      <c r="H71" s="120" t="s">
        <v>276</v>
      </c>
      <c r="I71" s="123">
        <v>0.43</v>
      </c>
      <c r="J71" s="76"/>
      <c r="K71" s="76"/>
      <c r="L71" s="76"/>
      <c r="M71" s="76"/>
      <c r="N71" s="76"/>
    </row>
    <row r="72" spans="1:14" x14ac:dyDescent="0.3">
      <c r="A72" s="118" t="s">
        <v>41</v>
      </c>
      <c r="B72" s="119" t="s">
        <v>88</v>
      </c>
      <c r="C72" s="120">
        <v>0.44</v>
      </c>
      <c r="D72" s="120" t="s">
        <v>161</v>
      </c>
      <c r="E72" s="120">
        <v>1.3</v>
      </c>
      <c r="F72" s="121" t="s">
        <v>274</v>
      </c>
      <c r="G72" s="122">
        <v>0.45</v>
      </c>
      <c r="H72" s="120" t="s">
        <v>276</v>
      </c>
      <c r="I72" s="123">
        <v>0.43</v>
      </c>
      <c r="J72" s="76"/>
      <c r="K72" s="76"/>
      <c r="L72" s="76"/>
      <c r="M72" s="76"/>
      <c r="N72" s="76"/>
    </row>
    <row r="73" spans="1:14" x14ac:dyDescent="0.3">
      <c r="A73" s="118" t="s">
        <v>138</v>
      </c>
      <c r="B73" s="119" t="s">
        <v>140</v>
      </c>
      <c r="C73" s="120">
        <v>0.46</v>
      </c>
      <c r="D73" s="120" t="s">
        <v>151</v>
      </c>
      <c r="E73" s="120">
        <v>1.3</v>
      </c>
      <c r="F73" s="121" t="s">
        <v>274</v>
      </c>
      <c r="G73" s="122">
        <v>0.45</v>
      </c>
      <c r="H73" s="120" t="s">
        <v>276</v>
      </c>
      <c r="I73" s="123">
        <v>0.43</v>
      </c>
      <c r="J73" s="76"/>
      <c r="K73" s="76"/>
      <c r="L73" s="76"/>
      <c r="M73" s="76"/>
      <c r="N73" s="76"/>
    </row>
    <row r="74" spans="1:14" x14ac:dyDescent="0.3">
      <c r="A74" s="118" t="s">
        <v>42</v>
      </c>
      <c r="B74" s="119" t="s">
        <v>139</v>
      </c>
      <c r="C74" s="120">
        <v>0.34</v>
      </c>
      <c r="D74" s="120" t="s">
        <v>161</v>
      </c>
      <c r="E74" s="120">
        <v>1.3</v>
      </c>
      <c r="F74" s="121" t="s">
        <v>274</v>
      </c>
      <c r="G74" s="122">
        <v>0.45</v>
      </c>
      <c r="H74" s="120" t="s">
        <v>276</v>
      </c>
      <c r="I74" s="123">
        <v>0.43</v>
      </c>
      <c r="J74" s="76"/>
      <c r="K74" s="76"/>
      <c r="L74" s="76"/>
      <c r="M74" s="76"/>
      <c r="N74" s="76"/>
    </row>
    <row r="75" spans="1:14" x14ac:dyDescent="0.3">
      <c r="A75" s="118" t="s">
        <v>43</v>
      </c>
      <c r="B75" s="119" t="s">
        <v>162</v>
      </c>
      <c r="C75" s="120">
        <v>0.5</v>
      </c>
      <c r="D75" s="120" t="s">
        <v>161</v>
      </c>
      <c r="E75" s="120">
        <v>1.56</v>
      </c>
      <c r="F75" s="121" t="s">
        <v>274</v>
      </c>
      <c r="G75" s="122">
        <v>0.53</v>
      </c>
      <c r="H75" s="120" t="s">
        <v>275</v>
      </c>
      <c r="I75" s="123">
        <v>0.25</v>
      </c>
      <c r="J75" s="76"/>
      <c r="K75" s="76"/>
      <c r="L75" s="76"/>
      <c r="M75" s="76"/>
      <c r="N75" s="76"/>
    </row>
    <row r="76" spans="1:14" x14ac:dyDescent="0.3">
      <c r="A76" s="118" t="s">
        <v>44</v>
      </c>
      <c r="B76" s="119" t="s">
        <v>89</v>
      </c>
      <c r="C76" s="120">
        <v>0.57999999999999996</v>
      </c>
      <c r="D76" s="120" t="s">
        <v>161</v>
      </c>
      <c r="E76" s="120">
        <v>1.56</v>
      </c>
      <c r="F76" s="121" t="s">
        <v>274</v>
      </c>
      <c r="G76" s="122">
        <v>0.3</v>
      </c>
      <c r="H76" s="120" t="s">
        <v>277</v>
      </c>
      <c r="I76" s="123">
        <v>0.25</v>
      </c>
      <c r="J76" s="76"/>
      <c r="K76" s="76"/>
      <c r="L76" s="76"/>
      <c r="M76" s="76"/>
      <c r="N76" s="76"/>
    </row>
    <row r="77" spans="1:14" x14ac:dyDescent="0.3">
      <c r="A77" s="118" t="s">
        <v>47</v>
      </c>
      <c r="B77" s="119" t="s">
        <v>141</v>
      </c>
      <c r="C77" s="120">
        <v>0.37</v>
      </c>
      <c r="D77" s="120" t="s">
        <v>161</v>
      </c>
      <c r="E77" s="120">
        <v>1.3</v>
      </c>
      <c r="F77" s="121" t="s">
        <v>274</v>
      </c>
      <c r="G77" s="122">
        <v>0.55000000000000004</v>
      </c>
      <c r="H77" s="120" t="s">
        <v>152</v>
      </c>
      <c r="I77" s="123">
        <v>0.43</v>
      </c>
      <c r="J77" s="76"/>
      <c r="K77" s="76"/>
      <c r="L77" s="76"/>
      <c r="M77" s="76"/>
      <c r="N77" s="76"/>
    </row>
    <row r="78" spans="1:14" x14ac:dyDescent="0.3">
      <c r="A78" s="118" t="s">
        <v>45</v>
      </c>
      <c r="B78" s="119" t="s">
        <v>96</v>
      </c>
      <c r="C78" s="120">
        <v>0.37</v>
      </c>
      <c r="D78" s="120" t="s">
        <v>161</v>
      </c>
      <c r="E78" s="120">
        <v>1.3</v>
      </c>
      <c r="F78" s="121" t="s">
        <v>274</v>
      </c>
      <c r="G78" s="122">
        <v>0.55000000000000004</v>
      </c>
      <c r="H78" s="120" t="s">
        <v>152</v>
      </c>
      <c r="I78" s="123">
        <v>0.43</v>
      </c>
      <c r="J78" s="76"/>
      <c r="K78" s="76"/>
      <c r="L78" s="76"/>
      <c r="M78" s="76"/>
      <c r="N78" s="76"/>
    </row>
    <row r="79" spans="1:14" x14ac:dyDescent="0.3">
      <c r="A79" s="118" t="s">
        <v>46</v>
      </c>
      <c r="B79" s="119" t="s">
        <v>95</v>
      </c>
      <c r="C79" s="120">
        <v>0.38</v>
      </c>
      <c r="D79" s="120" t="s">
        <v>161</v>
      </c>
      <c r="E79" s="120">
        <v>1.3</v>
      </c>
      <c r="F79" s="121" t="s">
        <v>274</v>
      </c>
      <c r="G79" s="122">
        <v>0.55000000000000004</v>
      </c>
      <c r="H79" s="120" t="s">
        <v>153</v>
      </c>
      <c r="I79" s="123">
        <v>0.43</v>
      </c>
      <c r="J79" s="76"/>
      <c r="K79" s="76"/>
      <c r="L79" s="76"/>
      <c r="M79" s="76"/>
      <c r="N79" s="76"/>
    </row>
    <row r="80" spans="1:14" x14ac:dyDescent="0.3">
      <c r="A80" s="118" t="s">
        <v>48</v>
      </c>
      <c r="B80" s="119" t="s">
        <v>94</v>
      </c>
      <c r="C80" s="120">
        <v>0.36</v>
      </c>
      <c r="D80" s="120" t="s">
        <v>161</v>
      </c>
      <c r="E80" s="120">
        <v>1.3</v>
      </c>
      <c r="F80" s="121" t="s">
        <v>274</v>
      </c>
      <c r="G80" s="122">
        <v>0.55000000000000004</v>
      </c>
      <c r="H80" s="120" t="s">
        <v>153</v>
      </c>
      <c r="I80" s="123">
        <v>0.43</v>
      </c>
      <c r="J80" s="76"/>
      <c r="K80" s="76"/>
      <c r="L80" s="76"/>
      <c r="M80" s="76"/>
      <c r="N80" s="76"/>
    </row>
    <row r="81" spans="1:14" x14ac:dyDescent="0.3">
      <c r="A81" s="118" t="s">
        <v>49</v>
      </c>
      <c r="B81" s="119" t="s">
        <v>142</v>
      </c>
      <c r="C81" s="120">
        <v>0.37</v>
      </c>
      <c r="D81" s="120" t="s">
        <v>161</v>
      </c>
      <c r="E81" s="120">
        <v>1.56</v>
      </c>
      <c r="F81" s="121" t="s">
        <v>274</v>
      </c>
      <c r="G81" s="122">
        <v>0.43</v>
      </c>
      <c r="H81" s="120" t="s">
        <v>278</v>
      </c>
      <c r="I81" s="123">
        <v>0.25</v>
      </c>
      <c r="J81" s="76"/>
      <c r="K81" s="76"/>
      <c r="L81" s="76"/>
      <c r="M81" s="76"/>
      <c r="N81" s="76"/>
    </row>
    <row r="82" spans="1:14" x14ac:dyDescent="0.3">
      <c r="A82" s="118" t="s">
        <v>158</v>
      </c>
      <c r="B82" s="119" t="s">
        <v>159</v>
      </c>
      <c r="C82" s="120">
        <v>0.35</v>
      </c>
      <c r="D82" s="120" t="s">
        <v>160</v>
      </c>
      <c r="E82" s="120">
        <v>1.3</v>
      </c>
      <c r="F82" s="121" t="s">
        <v>274</v>
      </c>
      <c r="G82" s="122">
        <v>0.55000000000000004</v>
      </c>
      <c r="H82" s="120" t="s">
        <v>153</v>
      </c>
      <c r="I82" s="123">
        <v>0.43</v>
      </c>
      <c r="J82" s="76"/>
      <c r="K82" s="76"/>
      <c r="L82" s="76"/>
      <c r="M82" s="76"/>
      <c r="N82" s="76"/>
    </row>
    <row r="83" spans="1:14" x14ac:dyDescent="0.3">
      <c r="A83" s="118" t="s">
        <v>156</v>
      </c>
      <c r="B83" s="119" t="s">
        <v>157</v>
      </c>
      <c r="C83" s="120">
        <v>0.34</v>
      </c>
      <c r="D83" s="120" t="s">
        <v>161</v>
      </c>
      <c r="E83" s="120">
        <v>1.3</v>
      </c>
      <c r="F83" s="121" t="s">
        <v>274</v>
      </c>
      <c r="G83" s="122">
        <v>0.55000000000000004</v>
      </c>
      <c r="H83" s="120" t="s">
        <v>153</v>
      </c>
      <c r="I83" s="123">
        <v>0.43</v>
      </c>
      <c r="J83" s="76"/>
      <c r="K83" s="76"/>
      <c r="L83" s="76"/>
      <c r="M83" s="76"/>
      <c r="N83" s="76"/>
    </row>
    <row r="84" spans="1:14" x14ac:dyDescent="0.3">
      <c r="A84" s="118" t="s">
        <v>92</v>
      </c>
      <c r="B84" s="119" t="s">
        <v>93</v>
      </c>
      <c r="C84" s="120">
        <v>0.31</v>
      </c>
      <c r="D84" s="120" t="s">
        <v>161</v>
      </c>
      <c r="E84" s="120">
        <v>1.3</v>
      </c>
      <c r="F84" s="121" t="s">
        <v>274</v>
      </c>
      <c r="G84" s="122">
        <v>0.55000000000000004</v>
      </c>
      <c r="H84" s="120" t="s">
        <v>153</v>
      </c>
      <c r="I84" s="123">
        <v>0.43</v>
      </c>
      <c r="J84" s="76"/>
      <c r="K84" s="76"/>
      <c r="L84" s="76"/>
      <c r="M84" s="76"/>
      <c r="N84" s="76"/>
    </row>
    <row r="85" spans="1:14" x14ac:dyDescent="0.3">
      <c r="A85" s="118" t="s">
        <v>50</v>
      </c>
      <c r="B85" s="119" t="s">
        <v>143</v>
      </c>
      <c r="C85" s="120">
        <v>0.43</v>
      </c>
      <c r="D85" s="120" t="s">
        <v>161</v>
      </c>
      <c r="E85" s="120">
        <v>1.56</v>
      </c>
      <c r="F85" s="121" t="s">
        <v>274</v>
      </c>
      <c r="G85" s="122">
        <v>0.53</v>
      </c>
      <c r="H85" s="120" t="s">
        <v>275</v>
      </c>
      <c r="I85" s="123">
        <v>0.25</v>
      </c>
      <c r="J85" s="76"/>
      <c r="K85" s="76"/>
      <c r="L85" s="76"/>
      <c r="M85" s="76"/>
      <c r="N85" s="76"/>
    </row>
    <row r="86" spans="1:14" x14ac:dyDescent="0.3">
      <c r="A86" s="118" t="s">
        <v>51</v>
      </c>
      <c r="B86" s="119" t="s">
        <v>91</v>
      </c>
      <c r="C86" s="120">
        <v>0.38</v>
      </c>
      <c r="D86" s="120" t="s">
        <v>161</v>
      </c>
      <c r="E86" s="120">
        <v>1.56</v>
      </c>
      <c r="F86" s="121" t="s">
        <v>274</v>
      </c>
      <c r="G86" s="122">
        <v>0.6</v>
      </c>
      <c r="H86" s="120" t="s">
        <v>279</v>
      </c>
      <c r="I86" s="123">
        <v>0.25</v>
      </c>
      <c r="J86" s="76"/>
      <c r="K86" s="76"/>
      <c r="L86" s="76"/>
      <c r="M86" s="76"/>
      <c r="N86" s="76"/>
    </row>
    <row r="87" spans="1:14" x14ac:dyDescent="0.3">
      <c r="A87" s="247" t="s">
        <v>321</v>
      </c>
      <c r="B87" s="248" t="s">
        <v>322</v>
      </c>
      <c r="C87" s="249">
        <v>0.41</v>
      </c>
      <c r="D87" s="249" t="s">
        <v>323</v>
      </c>
      <c r="E87" s="249">
        <v>1.56</v>
      </c>
      <c r="F87" s="250" t="s">
        <v>274</v>
      </c>
      <c r="G87" s="251">
        <v>0.43</v>
      </c>
      <c r="H87" s="249" t="s">
        <v>278</v>
      </c>
      <c r="I87" s="252">
        <v>0.25</v>
      </c>
      <c r="J87" s="76"/>
      <c r="K87" s="76"/>
      <c r="L87" s="76"/>
      <c r="M87" s="76"/>
      <c r="N87" s="76"/>
    </row>
    <row r="88" spans="1:14" x14ac:dyDescent="0.3">
      <c r="A88" s="118" t="s">
        <v>148</v>
      </c>
      <c r="B88" s="126"/>
      <c r="C88" s="120">
        <v>0.42</v>
      </c>
      <c r="D88" s="120" t="s">
        <v>161</v>
      </c>
      <c r="E88" s="120">
        <v>1.3</v>
      </c>
      <c r="F88" s="121" t="s">
        <v>274</v>
      </c>
      <c r="G88" s="127"/>
      <c r="H88" s="126"/>
      <c r="I88" s="128"/>
    </row>
    <row r="89" spans="1:14" ht="15" thickBot="1" x14ac:dyDescent="0.35">
      <c r="A89" s="129" t="s">
        <v>149</v>
      </c>
      <c r="B89" s="130"/>
      <c r="C89" s="131">
        <v>0.56999999999999995</v>
      </c>
      <c r="D89" s="132" t="s">
        <v>161</v>
      </c>
      <c r="E89" s="131">
        <v>1.56</v>
      </c>
      <c r="F89" s="131" t="s">
        <v>274</v>
      </c>
      <c r="G89" s="130"/>
      <c r="H89" s="130"/>
      <c r="I89" s="133"/>
    </row>
    <row r="93" spans="1:14" x14ac:dyDescent="0.3">
      <c r="A93" s="118" t="s">
        <v>208</v>
      </c>
    </row>
    <row r="94" spans="1:14" x14ac:dyDescent="0.3">
      <c r="A94" s="118" t="s">
        <v>209</v>
      </c>
    </row>
    <row r="95" spans="1:14" x14ac:dyDescent="0.3">
      <c r="A95" s="118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C19" sqref="C19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1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2" t="s">
        <v>271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4" t="s">
        <v>207</v>
      </c>
      <c r="B5" s="135" t="s">
        <v>250</v>
      </c>
      <c r="C5" s="136" t="str">
        <f>Calculateur!S2</f>
        <v>ΔStock moyen de long terme (tCO₂/ha)</v>
      </c>
      <c r="D5" s="136" t="str">
        <f>Calculateur!T2</f>
        <v>Δstock CO₂ 30 ans (tCO₂/ha)</v>
      </c>
      <c r="E5" s="136" t="s">
        <v>228</v>
      </c>
      <c r="F5" s="136" t="s">
        <v>239</v>
      </c>
      <c r="G5" s="136" t="s">
        <v>240</v>
      </c>
      <c r="H5" s="137" t="s">
        <v>241</v>
      </c>
      <c r="I5" s="138" t="s">
        <v>242</v>
      </c>
      <c r="J5" s="139" t="s">
        <v>243</v>
      </c>
      <c r="K5" s="140" t="s">
        <v>244</v>
      </c>
      <c r="L5" s="82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1" t="str">
        <f>IF('Données projet'!$B$9="","",'Données projet'!$B$9)</f>
        <v>Erable sycomore</v>
      </c>
      <c r="B6" s="142">
        <f>'Données projet'!D9</f>
        <v>0.30496200000000001</v>
      </c>
      <c r="C6" s="143">
        <f ca="1">IF(OR('Données projet'!B9="",'Données projet'!C9="",'Données projet'!C9=0%),0,Calculateur!S3)</f>
        <v>225.2323446080772</v>
      </c>
      <c r="D6" s="143">
        <f>IF(OR('Données projet'!B9="",'Données projet'!C9="",'Données projet'!C9=0%),0,Calculateur!T3)</f>
        <v>222.29030402759292</v>
      </c>
      <c r="E6" s="143">
        <f ca="1">MIN(C6,D6)</f>
        <v>222.29030402759292</v>
      </c>
      <c r="F6" s="143">
        <f ca="1">E6*B6</f>
        <v>67.790095696862792</v>
      </c>
      <c r="G6" s="143">
        <f ca="1">F6*(100%-'Données projet'!$C$24)*(100%-'Données projet'!$C$25)*(100%-'Données projet'!$C$26)*(100%-'Données projet'!$C$27)</f>
        <v>61.011086127176512</v>
      </c>
      <c r="H6" s="144">
        <f>IF(OR('Données projet'!B9="",'Données projet'!C9="",'Données projet'!C9=0%),0,AVERAGE(Calculateur!$AC$3:$AC$33)*B6)</f>
        <v>0</v>
      </c>
      <c r="I6" s="145">
        <f>H6*(100%-'Données projet'!$C$24)*(100%-'Données projet'!$C$25)*(100%-'Données projet'!$C$26)*(100%-'Données projet'!$C$27)</f>
        <v>0</v>
      </c>
      <c r="J6" s="146">
        <f>IF(OR('Données projet'!B9="",'Données projet'!C9="",'Données projet'!C9=0%),0,SUM(Calculateur!$V$3:$V$33)*VLOOKUP('Données projet'!$B$9,Paramètres!$A$1:$I$89,9,0)*B6)</f>
        <v>7.5478095000000005</v>
      </c>
      <c r="K6" s="147">
        <f>J6*(100%-'Données projet'!$C$24)*(100%-'Données projet'!$C$25)*(100%-'Données projet'!$C$26)*(100%-'Données projet'!$C$27)</f>
        <v>6.7930285500000007</v>
      </c>
      <c r="L6" s="148">
        <f ca="1">G6+I6+K6</f>
        <v>67.804114677176514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49" t="str">
        <f>IF('Données projet'!$B$10="","",'Données projet'!$B$10)</f>
        <v>Sapin pectiné</v>
      </c>
      <c r="B7" s="150">
        <f>'Données projet'!D10</f>
        <v>0.178398</v>
      </c>
      <c r="C7" s="143">
        <f ca="1">IF(OR('Données projet'!B10="",'Données projet'!C10="",'Données projet'!C10=0%),0,Calculateur!AN3)</f>
        <v>360.05819346986135</v>
      </c>
      <c r="D7" s="143">
        <f>IF(OR('Données projet'!B10="",'Données projet'!C10="",'Données projet'!C10=0%),0,Calculateur!AO3)</f>
        <v>300.47468388351081</v>
      </c>
      <c r="E7" s="143">
        <f t="shared" ref="E7:E15" ca="1" si="0">MIN(C7,D7)</f>
        <v>300.47468388351081</v>
      </c>
      <c r="F7" s="143">
        <f t="shared" ref="F7:F15" ca="1" si="1">E7*B7</f>
        <v>53.604082655450561</v>
      </c>
      <c r="G7" s="143">
        <f ca="1">F7*(100%-'Données projet'!$C$24)*(100%-'Données projet'!$C$25)*(100%-'Données projet'!$C$26)*(100%-'Données projet'!$C$27)</f>
        <v>48.243674389905507</v>
      </c>
      <c r="H7" s="151">
        <f>IF(OR('Données projet'!B10="",'Données projet'!C10="",'Données projet'!C10=0%),0,AVERAGE(Calculateur!$AX$3:$AX$33)*B7)</f>
        <v>0.89187078543252596</v>
      </c>
      <c r="I7" s="145">
        <f>H7*(100%-'Données projet'!$C$24)*(100%-'Données projet'!$C$25)*(100%-'Données projet'!$C$26)*(100%-'Données projet'!$C$27)</f>
        <v>0.80268370688927337</v>
      </c>
      <c r="J7" s="146">
        <f>IF(OR('Données projet'!B10="",'Données projet'!C10="",'Données projet'!C10=0%),0,SUM(Calculateur!$AQ$3:$AQ$33)*VLOOKUP('Données projet'!$B$10,Paramètres!$A$1:$I$89,9,0)*B7)</f>
        <v>9.8957370600000001</v>
      </c>
      <c r="K7" s="147">
        <f>J7*(100%-'Données projet'!$C$24)*(100%-'Données projet'!$C$25)*(100%-'Données projet'!$C$26)*(100%-'Données projet'!$C$27)</f>
        <v>8.9061633540000003</v>
      </c>
      <c r="L7" s="148">
        <f t="shared" ref="L7:L15" ca="1" si="2">G7+I7+K7</f>
        <v>57.952521450794784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49" t="str">
        <f>IF('Données projet'!$B$11="","",'Données projet'!$B$11)</f>
        <v>Pin sylvestre</v>
      </c>
      <c r="B8" s="150">
        <f>'Données projet'!D11</f>
        <v>7.139100000000001E-2</v>
      </c>
      <c r="C8" s="143">
        <f ca="1">IF(OR('Données projet'!B11="",'Données projet'!C11="",'Données projet'!C11=0%),0,Calculateur!BI3)</f>
        <v>250.90038883668348</v>
      </c>
      <c r="D8" s="143">
        <f>IF(OR('Données projet'!B11="",'Données projet'!C11="",'Données projet'!C11=0%),0,Calculateur!BJ3)</f>
        <v>141.96132114475608</v>
      </c>
      <c r="E8" s="143">
        <f t="shared" ca="1" si="0"/>
        <v>141.96132114475608</v>
      </c>
      <c r="F8" s="143">
        <f t="shared" ca="1" si="1"/>
        <v>10.134760677845284</v>
      </c>
      <c r="G8" s="143">
        <f ca="1">F8*(100%-'Données projet'!$C$24)*(100%-'Données projet'!$C$25)*(100%-'Données projet'!$C$26)*(100%-'Données projet'!$C$27)</f>
        <v>9.121284610060755</v>
      </c>
      <c r="H8" s="151">
        <f>IF(OR('Données projet'!B11="",'Données projet'!C11="",'Données projet'!C11=0%),0,AVERAGE(Calculateur!$BS$3:$BS$33)*B8)</f>
        <v>0.17445085074201958</v>
      </c>
      <c r="I8" s="145">
        <f>H8*(100%-'Données projet'!$C$24)*(100%-'Données projet'!$C$25)*(100%-'Données projet'!$C$26)*(100%-'Données projet'!$C$27)</f>
        <v>0.15700576566781763</v>
      </c>
      <c r="J8" s="146">
        <f>IF(OR('Données projet'!B11="",'Données projet'!C11="",'Données projet'!C11=0%),0,SUM(Calculateur!$BL$3:$BL$33)*VLOOKUP('Données projet'!$B$11,Paramètres!$A$1:$I$89,9,0)*B8)</f>
        <v>2.0874728400000002</v>
      </c>
      <c r="K8" s="147">
        <f>J8*(100%-'Données projet'!$C$24)*(100%-'Données projet'!$C$25)*(100%-'Données projet'!$C$26)*(100%-'Données projet'!$C$27)</f>
        <v>1.8787255560000002</v>
      </c>
      <c r="L8" s="148">
        <f t="shared" ca="1" si="2"/>
        <v>11.157015931728573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49" t="str">
        <f>IF('Données projet'!$B$12="","",'Données projet'!$B$12)</f>
        <v>Erable sycomore</v>
      </c>
      <c r="B9" s="150">
        <f>'Données projet'!D12</f>
        <v>0.26600699999999999</v>
      </c>
      <c r="C9" s="143">
        <f ca="1">IF(OR('Données projet'!B12="",'Données projet'!C12="",'Données projet'!C12=0%),0,Calculateur!CD3)</f>
        <v>279.49721661620544</v>
      </c>
      <c r="D9" s="143">
        <f>IF(OR('Données projet'!B12="",'Données projet'!C12="",'Données projet'!C12=0%),0,Calculateur!CE3)</f>
        <v>275.18739333988754</v>
      </c>
      <c r="E9" s="143">
        <f t="shared" ca="1" si="0"/>
        <v>275.18739333988754</v>
      </c>
      <c r="F9" s="143">
        <f t="shared" ca="1" si="1"/>
        <v>73.201772940163465</v>
      </c>
      <c r="G9" s="143">
        <f ca="1">F9*(100%-'Données projet'!$C$24)*(100%-'Données projet'!$C$25)*(100%-'Données projet'!$C$26)*(100%-'Données projet'!$C$27)</f>
        <v>65.881595646147119</v>
      </c>
      <c r="H9" s="151">
        <f>IF(OR('Données projet'!B12="",'Données projet'!C12="",'Données projet'!C12=0%),0,AVERAGE(Calculateur!$CN$3:$CN$33)*B9)</f>
        <v>0</v>
      </c>
      <c r="I9" s="145">
        <f>H9*(100%-'Données projet'!$C$24)*(100%-'Données projet'!$C$25)*(100%-'Données projet'!$C$26)*(100%-'Données projet'!$C$27)</f>
        <v>0</v>
      </c>
      <c r="J9" s="146">
        <f>IF(OR('Données projet'!B12="",'Données projet'!C12="",'Données projet'!C12=0%),0,SUM(Calculateur!$CG$3:$CG$33)*VLOOKUP('Données projet'!$B$12,Paramètres!$A$1:$I$89,9,0)*B9)</f>
        <v>9.1107397500000005</v>
      </c>
      <c r="K9" s="147">
        <f>J9*(100%-'Données projet'!$C$24)*(100%-'Données projet'!$C$25)*(100%-'Données projet'!$C$26)*(100%-'Données projet'!$C$27)</f>
        <v>8.1996657750000015</v>
      </c>
      <c r="L9" s="148">
        <f t="shared" ca="1" si="2"/>
        <v>74.081261421147119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49" t="str">
        <f>IF('Données projet'!$B$13="","",'Données projet'!$B$13)</f>
        <v>Sapin pectiné</v>
      </c>
      <c r="B10" s="150">
        <f>'Données projet'!D13</f>
        <v>9.7308000000000006E-2</v>
      </c>
      <c r="C10" s="143">
        <f ca="1">IF(OR('Données projet'!B13="",'Données projet'!C13="",'Données projet'!C13=0%),0,Calculateur!CY3)</f>
        <v>396.27049617044378</v>
      </c>
      <c r="D10" s="143">
        <f>IF(OR('Données projet'!B13="",'Données projet'!C13="",'Données projet'!C13=0%),0,Calculateur!CZ3)</f>
        <v>335.2680289568774</v>
      </c>
      <c r="E10" s="143">
        <f t="shared" ca="1" si="0"/>
        <v>335.2680289568774</v>
      </c>
      <c r="F10" s="143">
        <f t="shared" ca="1" si="1"/>
        <v>32.624261361735826</v>
      </c>
      <c r="G10" s="143">
        <f ca="1">F10*(100%-'Données projet'!$C$24)*(100%-'Données projet'!$C$25)*(100%-'Données projet'!$C$26)*(100%-'Données projet'!$C$27)</f>
        <v>29.361835225562245</v>
      </c>
      <c r="H10" s="151">
        <f>IF(OR('Données projet'!B13="",'Données projet'!C13="",'Données projet'!C13=0%),0,AVERAGE(Calculateur!$DI$3:$DI$33)*B10)</f>
        <v>0.64994921651813853</v>
      </c>
      <c r="I10" s="145">
        <f>H10*(100%-'Données projet'!$C$24)*(100%-'Données projet'!$C$25)*(100%-'Données projet'!$C$26)*(100%-'Données projet'!$C$27)</f>
        <v>0.58495429486632466</v>
      </c>
      <c r="J10" s="146">
        <f>IF(OR('Données projet'!B13="",'Données projet'!C13="",'Données projet'!C13=0%),0,SUM(Calculateur!$DB$3:$DB$33)*VLOOKUP('Données projet'!$B$13,Paramètres!$A$1:$I$89,9,0)*B10)</f>
        <v>6.7784752800000003</v>
      </c>
      <c r="K10" s="147">
        <f>J10*(100%-'Données projet'!$C$24)*(100%-'Données projet'!$C$25)*(100%-'Données projet'!$C$26)*(100%-'Données projet'!$C$27)</f>
        <v>6.1006277520000003</v>
      </c>
      <c r="L10" s="148">
        <f t="shared" ca="1" si="2"/>
        <v>36.047417272428568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49" t="str">
        <f>IF('Données projet'!$B$14="","",'Données projet'!$B$14)</f>
        <v>Pin sylvestre</v>
      </c>
      <c r="B11" s="150">
        <f>'Données projet'!D14</f>
        <v>8.4269999999999998E-2</v>
      </c>
      <c r="C11" s="143">
        <f ca="1">IF(OR('Données projet'!B14="",'Données projet'!C14="",'Données projet'!C14=0%),0,Calculateur!DT3)</f>
        <v>307.43900954374504</v>
      </c>
      <c r="D11" s="143">
        <f>IF(OR('Données projet'!B14="",'Données projet'!C14="",'Données projet'!C14=0%),0,Calculateur!DU3)</f>
        <v>185.25270859048999</v>
      </c>
      <c r="E11" s="143">
        <f t="shared" ca="1" si="0"/>
        <v>185.25270859048999</v>
      </c>
      <c r="F11" s="143">
        <f t="shared" ca="1" si="1"/>
        <v>15.61124575292059</v>
      </c>
      <c r="G11" s="143">
        <f ca="1">F11*(100%-'Données projet'!$C$24)*(100%-'Données projet'!$C$25)*(100%-'Données projet'!$C$26)*(100%-'Données projet'!$C$27)</f>
        <v>14.050121177628531</v>
      </c>
      <c r="H11" s="151">
        <f>IF(OR('Données projet'!B14="",'Données projet'!C14="",'Données projet'!C14=0%),0,AVERAGE(Calculateur!$ED$3:$ED$33)*B11)</f>
        <v>0.3622656132465995</v>
      </c>
      <c r="I11" s="145">
        <f>H11*(100%-'Données projet'!$C$24)*(100%-'Données projet'!$C$25)*(100%-'Données projet'!$C$26)*(100%-'Données projet'!$C$27)</f>
        <v>0.32603905192193955</v>
      </c>
      <c r="J11" s="146">
        <f>IF(OR('Données projet'!B14="",'Données projet'!C14="",'Données projet'!C14=0%),0,SUM(Calculateur!$DW$3:$DW$33)*VLOOKUP('Données projet'!$B$14,Paramètres!$A$1:$I$89,9,0)*B11)</f>
        <v>3.6960821999999998</v>
      </c>
      <c r="K11" s="147">
        <f>J11*(100%-'Données projet'!$C$24)*(100%-'Données projet'!$C$25)*(100%-'Données projet'!$C$26)*(100%-'Données projet'!$C$27)</f>
        <v>3.3264739799999998</v>
      </c>
      <c r="L11" s="148">
        <f t="shared" ca="1" si="2"/>
        <v>17.702634209550471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49" t="str">
        <f>IF('Données projet'!$B$15="","",'Données projet'!$B$15)</f>
        <v>Mélèze d'Europe</v>
      </c>
      <c r="B12" s="150">
        <f>'Données projet'!D15</f>
        <v>3.2436000000000006E-2</v>
      </c>
      <c r="C12" s="143">
        <f ca="1">IF(OR('Données projet'!B15="",'Données projet'!C15="",'Données projet'!C15=0%),0,Calculateur!EO3)</f>
        <v>269.77739619445515</v>
      </c>
      <c r="D12" s="143">
        <f>IF(OR('Données projet'!B15="",'Données projet'!C15="",'Données projet'!C15=0%),0,Calculateur!EP3)</f>
        <v>347.56964743629885</v>
      </c>
      <c r="E12" s="143">
        <f t="shared" ca="1" si="0"/>
        <v>269.77739619445515</v>
      </c>
      <c r="F12" s="143">
        <f t="shared" ca="1" si="1"/>
        <v>8.7504996229633498</v>
      </c>
      <c r="G12" s="143">
        <f ca="1">F12*(100%-'Données projet'!$C$24)*(100%-'Données projet'!$C$25)*(100%-'Données projet'!$C$26)*(100%-'Données projet'!$C$27)</f>
        <v>7.875449660667015</v>
      </c>
      <c r="H12" s="151">
        <f>IF(OR('Données projet'!B15="",'Données projet'!C15="",'Données projet'!C15=0%),0,AVERAGE(Calculateur!$EY$3:$EY$33)*B12)</f>
        <v>0.80679872500947691</v>
      </c>
      <c r="I12" s="145">
        <f>H12*(100%-'Données projet'!$C$24)*(100%-'Données projet'!$C$25)*(100%-'Données projet'!$C$26)*(100%-'Données projet'!$C$27)</f>
        <v>0.72611885250852926</v>
      </c>
      <c r="J12" s="146">
        <f>IF(OR('Données projet'!B15="",'Données projet'!C15="",'Données projet'!C15=0%),0,SUM(Calculateur!$ER$3:$ER$33)*VLOOKUP('Données projet'!$B$15,Paramètres!$A$1:$I$89,9,0)*B12)</f>
        <v>3.3278687280000008</v>
      </c>
      <c r="K12" s="147">
        <f>J12*(100%-'Données projet'!$C$24)*(100%-'Données projet'!$C$25)*(100%-'Données projet'!$C$26)*(100%-'Données projet'!$C$27)</f>
        <v>2.9950818552000009</v>
      </c>
      <c r="L12" s="148">
        <f t="shared" ca="1" si="2"/>
        <v>11.596650368375546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49" t="str">
        <f>IF('Données projet'!$B$16="","",'Données projet'!$B$16)</f>
        <v>Erable sycomore</v>
      </c>
      <c r="B13" s="150">
        <f>'Données projet'!D16</f>
        <v>0.30496200000000001</v>
      </c>
      <c r="C13" s="143">
        <f ca="1">IF(OR('Données projet'!B16="",'Données projet'!C16="",'Données projet'!C16=0%),0,Calculateur!FJ3)</f>
        <v>331.52724290297675</v>
      </c>
      <c r="D13" s="143">
        <f>IF(OR('Données projet'!B16="",'Données projet'!C16="",'Données projet'!C16=0%),0,Calculateur!FK3)</f>
        <v>322.79102610158054</v>
      </c>
      <c r="E13" s="143">
        <f t="shared" ca="1" si="0"/>
        <v>322.79102610158054</v>
      </c>
      <c r="F13" s="143">
        <f t="shared" ca="1" si="1"/>
        <v>98.438996901990208</v>
      </c>
      <c r="G13" s="143">
        <f ca="1">F13*(100%-'Données projet'!$C$24)*(100%-'Données projet'!$C$25)*(100%-'Données projet'!$C$26)*(100%-'Données projet'!$C$27)</f>
        <v>88.595097211791185</v>
      </c>
      <c r="H13" s="151">
        <f>IF(OR('Données projet'!B16="",'Données projet'!C16="",'Données projet'!C16=0%),0,AVERAGE(Calculateur!$FT$3:$FT$33)*B13)</f>
        <v>0</v>
      </c>
      <c r="I13" s="145">
        <f>H13*(100%-'Données projet'!$C$24)*(100%-'Données projet'!$C$25)*(100%-'Données projet'!$C$26)*(100%-'Données projet'!$C$27)</f>
        <v>0</v>
      </c>
      <c r="J13" s="146">
        <f>IF(OR('Données projet'!C16="",'Données projet'!C16=0%),0,SUM(Calculateur!$FM$3:$FM$33)*VLOOKUP('Données projet'!$B$16,Paramètres!$A$1:$I$89,9,0)*B13)</f>
        <v>13.3420875</v>
      </c>
      <c r="K13" s="147">
        <f>J13*(100%-'Données projet'!$C$24)*(100%-'Données projet'!$C$25)*(100%-'Données projet'!$C$26)*(100%-'Données projet'!$C$27)</f>
        <v>12.00787875</v>
      </c>
      <c r="L13" s="148">
        <f t="shared" ca="1" si="2"/>
        <v>100.60297596179119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49" t="str">
        <f>IF('Données projet'!$B$17="","",'Données projet'!$B$17)</f>
        <v>Sapin pectiné</v>
      </c>
      <c r="B14" s="150">
        <f>'Données projet'!D17</f>
        <v>0.178398</v>
      </c>
      <c r="C14" s="143">
        <f ca="1">IF(OR('Données projet'!B17="",'Données projet'!C17="",'Données projet'!C17=0%),0,Calculateur!GE3)</f>
        <v>434.08297999735811</v>
      </c>
      <c r="D14" s="143">
        <f>IF(OR('Données projet'!B17="",'Données projet'!C17="",'Données projet'!C17=0%),0,Calculateur!GF3)</f>
        <v>371.04090283546122</v>
      </c>
      <c r="E14" s="143">
        <f t="shared" ca="1" si="0"/>
        <v>371.04090283546122</v>
      </c>
      <c r="F14" s="143">
        <f t="shared" ca="1" si="1"/>
        <v>66.192954984040611</v>
      </c>
      <c r="G14" s="143">
        <f ca="1">F14*(100%-'Données projet'!$C$24)*(100%-'Données projet'!$C$25)*(100%-'Données projet'!$C$26)*(100%-'Données projet'!$C$27)</f>
        <v>59.573659485636554</v>
      </c>
      <c r="H14" s="151">
        <f>IF(OR('Données projet'!B17="",'Données projet'!C17="",'Données projet'!C17=0%),0,AVERAGE(Calculateur!$GO$3:$GO$33)*B14)</f>
        <v>1.5127698443985533</v>
      </c>
      <c r="I14" s="145">
        <f>H14*(100%-'Données projet'!$C$24)*(100%-'Données projet'!$C$25)*(100%-'Données projet'!$C$26)*(100%-'Données projet'!$C$27)</f>
        <v>1.361492859958698</v>
      </c>
      <c r="J14" s="146">
        <f>IF(OR('Données projet'!B17="",'Données projet'!C17="",'Données projet'!C17=0%),0,SUM(Calculateur!$GH$3:$GH$33)*VLOOKUP('Données projet'!$B$17,Paramètres!$A$1:$I$89,9,0)*B14)</f>
        <v>15.112094579999999</v>
      </c>
      <c r="K14" s="147">
        <f>J14*(100%-'Données projet'!$C$24)*(100%-'Données projet'!$C$25)*(100%-'Données projet'!$C$26)*(100%-'Données projet'!$C$27)</f>
        <v>13.600885121999999</v>
      </c>
      <c r="L14" s="148">
        <f t="shared" ca="1" si="2"/>
        <v>74.53603746759525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2" t="str">
        <f>IF('Données projet'!B18="","",'Données projet'!B18)</f>
        <v>Pin sylvestre</v>
      </c>
      <c r="B15" s="153">
        <f>'Données projet'!D18</f>
        <v>7.139100000000001E-2</v>
      </c>
      <c r="C15" s="154">
        <f ca="1">IF(OR('Données projet'!B18="",'Données projet'!C18="",'Données projet'!C18=0%),0,Calculateur!GZ3)</f>
        <v>362.57172983134313</v>
      </c>
      <c r="D15" s="154">
        <f>IF(OR('Données projet'!B18="",'Données projet'!C18="",'Données projet'!C18=0%),0,Calculateur!HA3)</f>
        <v>232.03250917542471</v>
      </c>
      <c r="E15" s="154">
        <f t="shared" ca="1" si="0"/>
        <v>232.03250917542471</v>
      </c>
      <c r="F15" s="155">
        <f t="shared" ca="1" si="1"/>
        <v>16.565032862542747</v>
      </c>
      <c r="G15" s="155">
        <f ca="1">F15*(100%-'Données projet'!$C$24)*(100%-'Données projet'!$C$25)*(100%-'Données projet'!$C$26)*(100%-'Données projet'!$C$27)</f>
        <v>14.908529576288473</v>
      </c>
      <c r="H15" s="156">
        <f>IF(OR('Données projet'!B18="",'Données projet'!C18="",'Données projet'!C18=0%),0,AVERAGE(Calculateur!$HJ$3:$HJ$33)*B15)</f>
        <v>0.43772514619017622</v>
      </c>
      <c r="I15" s="157">
        <f>H15*(100%-'Données projet'!$C$24)*(100%-'Données projet'!$C$25)*(100%-'Données projet'!$C$26)*(100%-'Données projet'!$C$27)</f>
        <v>0.39395263157115862</v>
      </c>
      <c r="J15" s="158">
        <f>IF(OR('Données projet'!B18="",'Données projet'!C18="",'Données projet'!C18=0%),0,SUM(Calculateur!$HC$3:$HC$33)*VLOOKUP('Données projet'!$B$18,Paramètres!$A$1:$I$89,9,0)*B15)</f>
        <v>4.1442475500000002</v>
      </c>
      <c r="K15" s="159">
        <f>J15*(100%-'Données projet'!$C$24)*(100%-'Données projet'!$C$25)*(100%-'Données projet'!$C$26)*(100%-'Données projet'!$C$27)</f>
        <v>3.7298227950000005</v>
      </c>
      <c r="L15" s="160">
        <f t="shared" ca="1" si="2"/>
        <v>19.03230500285963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5"/>
      <c r="B16" s="209"/>
      <c r="C16" s="210"/>
      <c r="D16" s="23"/>
      <c r="E16" s="23"/>
      <c r="F16" s="161">
        <f t="shared" ref="F16:L16" ca="1" si="3">SUM(F6:F15)</f>
        <v>442.91370345651546</v>
      </c>
      <c r="G16" s="162">
        <f t="shared" ca="1" si="3"/>
        <v>398.62233311086385</v>
      </c>
      <c r="H16" s="163">
        <f t="shared" si="3"/>
        <v>4.8358301815374896</v>
      </c>
      <c r="I16" s="163">
        <f t="shared" si="3"/>
        <v>4.3522471633837414</v>
      </c>
      <c r="J16" s="164">
        <f t="shared" si="3"/>
        <v>75.042614987999997</v>
      </c>
      <c r="K16" s="164">
        <f t="shared" si="3"/>
        <v>67.538353489200006</v>
      </c>
      <c r="L16" s="165">
        <f t="shared" ca="1" si="3"/>
        <v>470.51293376344762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5"/>
      <c r="B17" s="209"/>
      <c r="C17" s="210"/>
      <c r="D17" s="23"/>
      <c r="E17" s="23"/>
      <c r="F17" s="294" t="s">
        <v>246</v>
      </c>
      <c r="G17" s="295"/>
      <c r="H17" s="295"/>
      <c r="I17" s="295"/>
      <c r="J17" s="295"/>
      <c r="K17" s="295"/>
      <c r="L17" s="29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5"/>
      <c r="B18" s="209"/>
      <c r="C18" s="210"/>
      <c r="D18" s="23"/>
      <c r="E18" s="23"/>
      <c r="F18" s="281"/>
      <c r="G18" s="281"/>
      <c r="H18" s="281"/>
      <c r="I18" s="281"/>
      <c r="J18" s="281"/>
      <c r="K18" s="281"/>
      <c r="L18" s="28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6" t="str">
        <f>A6</f>
        <v>Erable sycomore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6" t="str">
        <f>A7</f>
        <v>Sapin pectiné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6" t="str">
        <f>A8</f>
        <v>Pin sylvestre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6" t="str">
        <f>A9</f>
        <v>Erable sycomore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6" t="str">
        <f>A10</f>
        <v>Sapin pectiné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6" t="str">
        <f>A11</f>
        <v>Pin sylvestre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6" t="str">
        <f>A12</f>
        <v>Mélèze d'Europe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6" t="str">
        <f>A13</f>
        <v>Erable sycomore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6" t="str">
        <f>A14</f>
        <v>Sapin pectiné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6" t="str">
        <f>A15</f>
        <v>Pin sylvestre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N19" sqref="N19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2" t="s">
        <v>272</v>
      </c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8" t="s">
        <v>315</v>
      </c>
      <c r="I4" s="268"/>
      <c r="K4" s="310" t="s">
        <v>253</v>
      </c>
      <c r="L4" s="311"/>
      <c r="M4" s="233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68"/>
      <c r="I6" s="168"/>
      <c r="J6" s="168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38"/>
      <c r="B7" s="239"/>
      <c r="C7" s="239"/>
      <c r="D7" s="239"/>
      <c r="E7" s="240"/>
      <c r="F7" s="240" t="s">
        <v>192</v>
      </c>
      <c r="G7" s="241"/>
      <c r="H7" s="239"/>
      <c r="I7" s="239"/>
      <c r="J7" s="242"/>
      <c r="K7" s="236"/>
      <c r="L7" s="237"/>
      <c r="M7" s="237"/>
      <c r="N7" s="243" t="s">
        <v>191</v>
      </c>
      <c r="O7" s="243"/>
      <c r="P7" s="244"/>
      <c r="Q7" s="245"/>
      <c r="R7" s="302" t="s">
        <v>310</v>
      </c>
      <c r="S7" s="303"/>
      <c r="T7" s="303"/>
      <c r="U7" s="303"/>
      <c r="V7" s="30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6"/>
      <c r="K8" s="204"/>
      <c r="L8" s="23"/>
      <c r="M8" s="23"/>
      <c r="N8" s="23"/>
      <c r="O8" s="23"/>
      <c r="P8" s="23"/>
      <c r="Q8" s="230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89" t="s">
        <v>311</v>
      </c>
      <c r="C9" s="23"/>
      <c r="D9" s="23"/>
      <c r="E9" s="23"/>
      <c r="F9" s="226"/>
      <c r="G9" s="89" t="s">
        <v>314</v>
      </c>
      <c r="J9" s="196"/>
      <c r="K9" s="204"/>
      <c r="O9" s="23"/>
      <c r="P9" s="23"/>
      <c r="Q9" s="230"/>
      <c r="R9" s="23"/>
      <c r="S9" s="4"/>
      <c r="T9" s="36" t="s">
        <v>262</v>
      </c>
      <c r="U9" s="172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89" t="s">
        <v>317</v>
      </c>
      <c r="C10" s="23"/>
      <c r="D10" s="23"/>
      <c r="E10" s="23"/>
      <c r="F10" s="226"/>
      <c r="G10" s="89" t="s">
        <v>316</v>
      </c>
      <c r="J10" s="196"/>
      <c r="K10" s="204"/>
      <c r="O10" s="23"/>
      <c r="P10" s="23"/>
      <c r="Q10" s="230"/>
      <c r="R10" s="23"/>
      <c r="S10" s="36" t="str">
        <f>B14</f>
        <v>Erable sycomore</v>
      </c>
      <c r="T10" s="173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-3366.8310422937543</v>
      </c>
      <c r="U10" s="174">
        <f>'Données projet'!D9</f>
        <v>0.30496200000000001</v>
      </c>
      <c r="V10" s="173">
        <f>U10*T10</f>
        <v>-1026.7555283199879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89" t="s">
        <v>312</v>
      </c>
      <c r="B11" s="23"/>
      <c r="C11" s="23"/>
      <c r="D11" s="23"/>
      <c r="E11" s="23"/>
      <c r="F11" s="226"/>
      <c r="G11" s="89" t="s">
        <v>313</v>
      </c>
      <c r="J11" s="196"/>
      <c r="K11" s="204"/>
      <c r="M11" s="4"/>
      <c r="N11" s="4"/>
      <c r="O11" s="23"/>
      <c r="P11" s="23"/>
      <c r="Q11" s="230"/>
      <c r="R11" s="23"/>
      <c r="S11" s="36" t="str">
        <f>B45</f>
        <v>Sapin pectiné</v>
      </c>
      <c r="T11" s="235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-2675.6097143234915</v>
      </c>
      <c r="U11" s="174">
        <f>'Données projet'!D10</f>
        <v>0.178398</v>
      </c>
      <c r="V11" s="173">
        <f t="shared" ref="V11" si="0">U11*T11</f>
        <v>-477.32342181588223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6"/>
      <c r="J12" s="196"/>
      <c r="K12" s="204"/>
      <c r="L12" s="198"/>
      <c r="M12" s="23"/>
      <c r="N12" s="23"/>
      <c r="O12" s="23"/>
      <c r="P12" s="23"/>
      <c r="Q12" s="230"/>
      <c r="R12" s="23"/>
      <c r="S12" s="36" t="str">
        <f>B76</f>
        <v>Pin sylvestre</v>
      </c>
      <c r="T12" s="235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-3443.6188976688318</v>
      </c>
      <c r="U12" s="174">
        <f>'Données projet'!D11</f>
        <v>7.139100000000001E-2</v>
      </c>
      <c r="V12" s="173">
        <f t="shared" ref="V12:V19" si="1">U12*T12</f>
        <v>-245.84339672347559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6"/>
      <c r="J13" s="23"/>
      <c r="K13" s="204"/>
      <c r="L13" s="89" t="s">
        <v>257</v>
      </c>
      <c r="M13" s="23"/>
      <c r="N13" s="23"/>
      <c r="O13" s="23"/>
      <c r="P13" s="23"/>
      <c r="Q13" s="230"/>
      <c r="R13" s="23"/>
      <c r="S13" s="36" t="str">
        <f>B107</f>
        <v>Erable sycomore</v>
      </c>
      <c r="T13" s="235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-3121.0381149569344</v>
      </c>
      <c r="U13" s="174">
        <f>'Données projet'!D12</f>
        <v>0.26600699999999999</v>
      </c>
      <c r="V13" s="173">
        <f t="shared" si="1"/>
        <v>-830.21798584534918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0" t="str">
        <f>IF('Données projet'!$B$9="","",'Données projet'!$B$9)</f>
        <v>Erable sycomore</v>
      </c>
      <c r="C14" s="4"/>
      <c r="D14" s="4"/>
      <c r="E14" s="4"/>
      <c r="F14" s="226"/>
      <c r="G14" s="23"/>
      <c r="H14" s="36" t="s">
        <v>178</v>
      </c>
      <c r="I14" s="36" t="s">
        <v>290</v>
      </c>
      <c r="J14" s="197"/>
      <c r="K14" s="169"/>
      <c r="L14" s="198"/>
      <c r="M14" s="23"/>
      <c r="N14" s="23"/>
      <c r="O14" s="4"/>
      <c r="P14" s="4"/>
      <c r="Q14" s="231"/>
      <c r="R14" s="4"/>
      <c r="S14" s="36" t="str">
        <f>B138</f>
        <v>Sapin pectiné</v>
      </c>
      <c r="T14" s="235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-2542.4171423399371</v>
      </c>
      <c r="U14" s="174">
        <f>'Données projet'!D13</f>
        <v>9.7308000000000006E-2</v>
      </c>
      <c r="V14" s="173">
        <f t="shared" si="1"/>
        <v>-247.39752728681461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6"/>
      <c r="G15" s="313" t="s">
        <v>318</v>
      </c>
      <c r="H15" s="186">
        <v>0</v>
      </c>
      <c r="I15" s="187"/>
      <c r="J15" s="198"/>
      <c r="K15" s="204"/>
      <c r="L15" s="198"/>
      <c r="M15" s="23"/>
      <c r="N15" s="23"/>
      <c r="O15" s="23"/>
      <c r="P15" s="23"/>
      <c r="Q15" s="230"/>
      <c r="R15" s="23"/>
      <c r="S15" s="36" t="str">
        <f>B169</f>
        <v>Pin sylvestre</v>
      </c>
      <c r="T15" s="235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-3320.357428139102</v>
      </c>
      <c r="U15" s="174">
        <f>'Données projet'!D14</f>
        <v>8.4269999999999998E-2</v>
      </c>
      <c r="V15" s="173">
        <f t="shared" si="1"/>
        <v>-279.80652046928213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6"/>
      <c r="G16" s="313"/>
      <c r="H16" s="186"/>
      <c r="I16" s="187"/>
      <c r="J16" s="198"/>
      <c r="K16" s="204"/>
      <c r="L16" s="310" t="s">
        <v>254</v>
      </c>
      <c r="M16" s="311"/>
      <c r="N16" s="2">
        <v>50</v>
      </c>
      <c r="O16" s="23"/>
      <c r="P16" s="23"/>
      <c r="Q16" s="230"/>
      <c r="R16" s="23"/>
      <c r="S16" s="36" t="str">
        <f>B200</f>
        <v>Mélèze d'Europe</v>
      </c>
      <c r="T16" s="235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-2091.3403236882491</v>
      </c>
      <c r="U16" s="174">
        <f>'Données projet'!D15</f>
        <v>3.2436000000000006E-2</v>
      </c>
      <c r="V16" s="173">
        <f t="shared" si="1"/>
        <v>-67.834714739152062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5" t="s">
        <v>132</v>
      </c>
      <c r="C17" s="194" t="s">
        <v>132</v>
      </c>
      <c r="D17" s="193" t="s">
        <v>132</v>
      </c>
      <c r="E17" s="189">
        <v>3909.13</v>
      </c>
      <c r="F17" s="226"/>
      <c r="G17" s="313"/>
      <c r="J17" s="198"/>
      <c r="K17" s="204"/>
      <c r="L17" s="270" t="s">
        <v>289</v>
      </c>
      <c r="M17" s="272"/>
      <c r="N17" s="171">
        <f>VLOOKUP(N16,Calculateur!$A$2:$H$153,3,0)/VLOOKUP('Scénario référence'!$G$15,Paramètres!A1:I89,3,0)/VLOOKUP('Scénario référence'!$G$15,Paramètres!A1:I89,5,0)</f>
        <v>50.00000000000005</v>
      </c>
      <c r="O17" s="23"/>
      <c r="P17" s="23"/>
      <c r="Q17" s="230"/>
      <c r="R17" s="23"/>
      <c r="S17" s="36" t="str">
        <f>B231</f>
        <v>Erable sycomore</v>
      </c>
      <c r="T17" s="235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-2876.9284274501151</v>
      </c>
      <c r="U17" s="174">
        <f>'Données projet'!D16</f>
        <v>0.30496200000000001</v>
      </c>
      <c r="V17" s="173">
        <f t="shared" si="1"/>
        <v>-877.35384709204209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5" t="s">
        <v>132</v>
      </c>
      <c r="C18" s="194" t="s">
        <v>132</v>
      </c>
      <c r="D18" s="193" t="s">
        <v>132</v>
      </c>
      <c r="E18" s="189"/>
      <c r="F18" s="226"/>
      <c r="G18" s="313"/>
      <c r="J18" s="198"/>
      <c r="K18" s="204"/>
      <c r="L18" s="270" t="s">
        <v>255</v>
      </c>
      <c r="M18" s="272"/>
      <c r="N18" s="188">
        <v>32</v>
      </c>
      <c r="O18" s="23"/>
      <c r="P18" s="23"/>
      <c r="Q18" s="230"/>
      <c r="R18" s="23"/>
      <c r="S18" s="36" t="str">
        <f>B262</f>
        <v>Sapin pectiné</v>
      </c>
      <c r="T18" s="235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-2413.3509989532295</v>
      </c>
      <c r="U18" s="174">
        <f>'Données projet'!D17</f>
        <v>0.178398</v>
      </c>
      <c r="V18" s="173">
        <f t="shared" si="1"/>
        <v>-430.53699151125824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5" t="s">
        <v>132</v>
      </c>
      <c r="C19" s="194" t="s">
        <v>132</v>
      </c>
      <c r="D19" s="193" t="s">
        <v>132</v>
      </c>
      <c r="E19" s="189"/>
      <c r="F19" s="226"/>
      <c r="G19" s="313"/>
      <c r="H19" s="208" t="s">
        <v>178</v>
      </c>
      <c r="I19" s="208" t="s">
        <v>287</v>
      </c>
      <c r="J19" s="89"/>
      <c r="K19" s="169"/>
      <c r="L19" s="310" t="s">
        <v>288</v>
      </c>
      <c r="M19" s="311"/>
      <c r="N19" s="175">
        <f>N17*N18</f>
        <v>1600.0000000000016</v>
      </c>
      <c r="O19" s="23"/>
      <c r="P19" s="4"/>
      <c r="Q19" s="231"/>
      <c r="R19" s="4"/>
      <c r="S19" s="36" t="str">
        <f>B293</f>
        <v>Pin sylvestre</v>
      </c>
      <c r="T19" s="235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-3353.0020000293821</v>
      </c>
      <c r="U19" s="174">
        <f>'Données projet'!D18</f>
        <v>7.139100000000001E-2</v>
      </c>
      <c r="V19" s="173">
        <f t="shared" si="1"/>
        <v>-239.37416578409764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5" t="s">
        <v>132</v>
      </c>
      <c r="C20" s="194" t="s">
        <v>132</v>
      </c>
      <c r="D20" s="193" t="s">
        <v>132</v>
      </c>
      <c r="E20" s="189"/>
      <c r="F20" s="226"/>
      <c r="G20" s="313"/>
      <c r="H20" s="186">
        <v>0</v>
      </c>
      <c r="I20" s="187">
        <v>11363.95</v>
      </c>
      <c r="J20" s="4"/>
      <c r="K20" s="169"/>
      <c r="O20" s="23"/>
      <c r="P20" s="4"/>
      <c r="Q20" s="231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5" t="s">
        <v>132</v>
      </c>
      <c r="C21" s="194" t="s">
        <v>132</v>
      </c>
      <c r="D21" s="193" t="s">
        <v>132</v>
      </c>
      <c r="E21" s="189"/>
      <c r="F21" s="226"/>
      <c r="H21" s="186">
        <v>1</v>
      </c>
      <c r="I21" s="187"/>
      <c r="K21" s="169"/>
      <c r="O21" s="23"/>
      <c r="P21" s="4"/>
      <c r="Q21" s="231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5" t="s">
        <v>132</v>
      </c>
      <c r="C22" s="194" t="s">
        <v>132</v>
      </c>
      <c r="D22" s="193" t="s">
        <v>132</v>
      </c>
      <c r="E22" s="189"/>
      <c r="F22" s="226"/>
      <c r="H22" s="186">
        <v>2</v>
      </c>
      <c r="I22" s="187"/>
      <c r="K22" s="169"/>
      <c r="O22" s="23"/>
      <c r="P22" s="4"/>
      <c r="Q22" s="231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6">
        <f>'Données projet'!A36</f>
        <v>15</v>
      </c>
      <c r="B23" s="177">
        <f>'Données projet'!D36</f>
        <v>15</v>
      </c>
      <c r="C23" s="189">
        <v>15</v>
      </c>
      <c r="D23" s="178">
        <f>B23*C23</f>
        <v>225</v>
      </c>
      <c r="E23" s="189"/>
      <c r="F23" s="226"/>
      <c r="H23" s="186">
        <v>3</v>
      </c>
      <c r="I23" s="187"/>
      <c r="K23" s="204"/>
      <c r="L23" s="312" t="s">
        <v>260</v>
      </c>
      <c r="M23" s="312"/>
      <c r="N23" s="312"/>
      <c r="O23" s="23"/>
      <c r="P23" s="23"/>
      <c r="Q23" s="230"/>
      <c r="R23" s="23"/>
      <c r="S23" s="36" t="s">
        <v>264</v>
      </c>
      <c r="T23" s="30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-22791.124599587343</v>
      </c>
      <c r="U23" s="307"/>
      <c r="V23" s="30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6">
        <f>'Données projet'!A37</f>
        <v>20</v>
      </c>
      <c r="B24" s="177">
        <f>'Données projet'!D37</f>
        <v>28</v>
      </c>
      <c r="C24" s="189">
        <v>15</v>
      </c>
      <c r="D24" s="178">
        <f t="shared" ref="D24:D42" si="2">B24*C24</f>
        <v>420</v>
      </c>
      <c r="E24" s="189"/>
      <c r="F24" s="229"/>
      <c r="H24" s="186">
        <v>4</v>
      </c>
      <c r="I24" s="187"/>
      <c r="K24" s="204"/>
      <c r="O24" s="23"/>
      <c r="P24" s="23"/>
      <c r="Q24" s="230"/>
      <c r="R24" s="23"/>
      <c r="S24" s="36" t="s">
        <v>261</v>
      </c>
      <c r="T24" s="308">
        <f ca="1">'Scénario référence'!$B$8*$M$30*'Données projet'!$C$5+('Scénario référence'!B9+'Scénario référence'!B10+'Scénario référence'!F8+'Scénario référence'!F9)*$N$19/(1+M4)^N16*'Données projet'!$C$5</f>
        <v>281.64534951261936</v>
      </c>
      <c r="U24" s="308"/>
      <c r="V24" s="30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6">
        <f>'Données projet'!A38</f>
        <v>25</v>
      </c>
      <c r="B25" s="177">
        <f>'Données projet'!D38</f>
        <v>28</v>
      </c>
      <c r="C25" s="189">
        <v>15</v>
      </c>
      <c r="D25" s="178">
        <f t="shared" si="2"/>
        <v>420</v>
      </c>
      <c r="E25" s="189"/>
      <c r="F25" s="229"/>
      <c r="H25" s="186">
        <v>5</v>
      </c>
      <c r="I25" s="187"/>
      <c r="K25" s="204"/>
      <c r="L25" s="126" t="s">
        <v>285</v>
      </c>
      <c r="M25" s="126"/>
      <c r="N25" s="126"/>
      <c r="O25" s="126"/>
      <c r="P25" s="188"/>
      <c r="Q25" s="230"/>
      <c r="R25" s="23"/>
      <c r="S25" s="182" t="s">
        <v>266</v>
      </c>
      <c r="T25" s="309">
        <f ca="1">T23-T24</f>
        <v>-23072.769949099962</v>
      </c>
      <c r="U25" s="309"/>
      <c r="V25" s="30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6">
        <f>'Données projet'!A39</f>
        <v>30</v>
      </c>
      <c r="B26" s="177">
        <f>'Données projet'!D39</f>
        <v>28</v>
      </c>
      <c r="C26" s="189">
        <v>15</v>
      </c>
      <c r="D26" s="178">
        <f t="shared" si="2"/>
        <v>420</v>
      </c>
      <c r="E26" s="189"/>
      <c r="F26" s="229"/>
      <c r="G26" s="225"/>
      <c r="H26" s="186"/>
      <c r="I26" s="187"/>
      <c r="K26" s="204"/>
      <c r="L26" s="296" t="s">
        <v>258</v>
      </c>
      <c r="M26" s="297"/>
      <c r="N26" s="297"/>
      <c r="O26" s="297"/>
      <c r="P26" s="298"/>
      <c r="Q26" s="230"/>
      <c r="R26" s="23"/>
      <c r="S26" s="182" t="s">
        <v>265</v>
      </c>
      <c r="T26" s="306" t="str">
        <f ca="1">IF(T25&lt;0,"Votre projet est additionnel","Votre projet n'est pas additionnel")</f>
        <v>Votre projet est additionnel</v>
      </c>
      <c r="U26" s="306"/>
      <c r="V26" s="30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6">
        <f>'Données projet'!A40</f>
        <v>35</v>
      </c>
      <c r="B27" s="177">
        <f>'Données projet'!D40</f>
        <v>28</v>
      </c>
      <c r="C27" s="189"/>
      <c r="D27" s="178">
        <f t="shared" si="2"/>
        <v>0</v>
      </c>
      <c r="E27" s="189"/>
      <c r="F27" s="229"/>
      <c r="G27" s="225"/>
      <c r="H27" s="186"/>
      <c r="I27" s="187"/>
      <c r="K27" s="204"/>
      <c r="L27" s="299"/>
      <c r="M27" s="300"/>
      <c r="N27" s="300"/>
      <c r="O27" s="300"/>
      <c r="P27" s="301"/>
      <c r="Q27" s="230"/>
      <c r="R27" s="23"/>
      <c r="S27" s="305" t="s">
        <v>267</v>
      </c>
      <c r="T27" s="305"/>
      <c r="U27" s="305"/>
      <c r="V27" s="30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6">
        <f>'Données projet'!A41</f>
        <v>40</v>
      </c>
      <c r="B28" s="177">
        <f>'Données projet'!D41</f>
        <v>28</v>
      </c>
      <c r="C28" s="189"/>
      <c r="D28" s="178">
        <f t="shared" si="2"/>
        <v>0</v>
      </c>
      <c r="E28" s="189"/>
      <c r="F28" s="229"/>
      <c r="G28" s="201"/>
      <c r="H28" s="186"/>
      <c r="I28" s="187"/>
      <c r="K28" s="204"/>
      <c r="Q28" s="230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6">
        <f>'Données projet'!A42</f>
        <v>45</v>
      </c>
      <c r="B29" s="177">
        <f>'Données projet'!D42</f>
        <v>22</v>
      </c>
      <c r="C29" s="189"/>
      <c r="D29" s="178">
        <f t="shared" si="2"/>
        <v>0</v>
      </c>
      <c r="E29" s="189"/>
      <c r="F29" s="229"/>
      <c r="G29" s="199"/>
      <c r="H29" s="186"/>
      <c r="I29" s="187"/>
      <c r="K29" s="204"/>
      <c r="O29" s="23"/>
      <c r="P29" s="23"/>
      <c r="Q29" s="230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6">
        <f>'Données projet'!A43</f>
        <v>50</v>
      </c>
      <c r="B30" s="177">
        <f>'Données projet'!D43</f>
        <v>17</v>
      </c>
      <c r="C30" s="189"/>
      <c r="D30" s="178">
        <f t="shared" si="2"/>
        <v>0</v>
      </c>
      <c r="E30" s="189"/>
      <c r="F30" s="229"/>
      <c r="G30" s="199"/>
      <c r="H30" s="186"/>
      <c r="I30" s="187"/>
      <c r="K30" s="179"/>
      <c r="L30" s="36" t="s">
        <v>259</v>
      </c>
      <c r="M30" s="180">
        <f ca="1">SUM(OFFSET($P$33,0,0,MIN('Données projet'!$E$9:$E$18)+1,1))</f>
        <v>0</v>
      </c>
      <c r="O30" s="4"/>
      <c r="P30" s="4"/>
      <c r="Q30" s="231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6">
        <f>'Données projet'!A44</f>
        <v>55</v>
      </c>
      <c r="B31" s="177">
        <f>'Données projet'!D44</f>
        <v>13</v>
      </c>
      <c r="C31" s="189"/>
      <c r="D31" s="178">
        <f t="shared" si="2"/>
        <v>0</v>
      </c>
      <c r="E31" s="189"/>
      <c r="F31" s="229"/>
      <c r="G31" s="199"/>
      <c r="H31" s="186"/>
      <c r="I31" s="187"/>
      <c r="K31" s="169"/>
      <c r="Q31" s="230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6">
        <f>'Données projet'!A45</f>
        <v>60</v>
      </c>
      <c r="B32" s="177">
        <f>'Données projet'!D45</f>
        <v>12</v>
      </c>
      <c r="C32" s="189"/>
      <c r="D32" s="178">
        <f t="shared" si="2"/>
        <v>0</v>
      </c>
      <c r="E32" s="189"/>
      <c r="F32" s="229"/>
      <c r="G32" s="199"/>
      <c r="H32" s="186"/>
      <c r="I32" s="187"/>
      <c r="K32" s="169"/>
      <c r="N32" s="4"/>
      <c r="O32" s="83" t="s">
        <v>178</v>
      </c>
      <c r="P32" s="83" t="s">
        <v>252</v>
      </c>
      <c r="Q32" s="230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6">
        <f>'Données projet'!A46</f>
        <v>65</v>
      </c>
      <c r="B33" s="177">
        <f>'Données projet'!D46</f>
        <v>11</v>
      </c>
      <c r="C33" s="189"/>
      <c r="D33" s="178">
        <f t="shared" si="2"/>
        <v>0</v>
      </c>
      <c r="E33" s="189"/>
      <c r="F33" s="229"/>
      <c r="G33" s="199"/>
      <c r="H33" s="186"/>
      <c r="I33" s="187"/>
      <c r="K33" s="169"/>
      <c r="L33" s="4"/>
      <c r="M33" s="4"/>
      <c r="N33" s="4"/>
      <c r="O33" s="190">
        <v>0</v>
      </c>
      <c r="P33" s="181">
        <f t="shared" ref="P33:P64" si="3">$P$25/(1+$M$4)^O33</f>
        <v>0</v>
      </c>
      <c r="Q33" s="230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6">
        <f>'Données projet'!A47</f>
        <v>70</v>
      </c>
      <c r="B34" s="177">
        <f>'Données projet'!D47</f>
        <v>10</v>
      </c>
      <c r="C34" s="189"/>
      <c r="D34" s="178">
        <f t="shared" si="2"/>
        <v>0</v>
      </c>
      <c r="E34" s="189"/>
      <c r="F34" s="229"/>
      <c r="G34" s="199"/>
      <c r="H34" s="186"/>
      <c r="I34" s="187"/>
      <c r="K34" s="169"/>
      <c r="L34" s="94"/>
      <c r="M34" s="94"/>
      <c r="N34" s="246"/>
      <c r="O34" s="190">
        <f>IF(O33+1&lt;=MIN('Données projet'!$E$9:$E$18),O33+1,"STOP")</f>
        <v>1</v>
      </c>
      <c r="P34" s="181">
        <f t="shared" si="3"/>
        <v>0</v>
      </c>
      <c r="Q34" s="230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6">
        <f>'Données projet'!A48</f>
        <v>75</v>
      </c>
      <c r="B35" s="177">
        <f>'Données projet'!D48</f>
        <v>9</v>
      </c>
      <c r="C35" s="189"/>
      <c r="D35" s="178">
        <f t="shared" si="2"/>
        <v>0</v>
      </c>
      <c r="E35" s="189"/>
      <c r="F35" s="229"/>
      <c r="G35" s="199"/>
      <c r="H35" s="186"/>
      <c r="I35" s="187"/>
      <c r="K35" s="169"/>
      <c r="L35" s="94"/>
      <c r="M35" s="94"/>
      <c r="N35" s="246"/>
      <c r="O35" s="190">
        <f>IF(O34+1&lt;=MIN('Données projet'!$E$9:$E$18),O34+1,"STOP")</f>
        <v>2</v>
      </c>
      <c r="P35" s="181">
        <f t="shared" si="3"/>
        <v>0</v>
      </c>
      <c r="Q35" s="230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6">
        <f>'Données projet'!A49</f>
        <v>80</v>
      </c>
      <c r="B36" s="177">
        <f>'Données projet'!D49</f>
        <v>8</v>
      </c>
      <c r="C36" s="189"/>
      <c r="D36" s="178">
        <f t="shared" si="2"/>
        <v>0</v>
      </c>
      <c r="E36" s="189"/>
      <c r="F36" s="229"/>
      <c r="G36" s="199"/>
      <c r="H36" s="186"/>
      <c r="I36" s="187"/>
      <c r="K36" s="169"/>
      <c r="L36" s="23"/>
      <c r="M36" s="23"/>
      <c r="N36" s="23"/>
      <c r="O36" s="190">
        <f>IF(O35+1&lt;=MIN('Données projet'!$E$9:$E$18),O35+1,"STOP")</f>
        <v>3</v>
      </c>
      <c r="P36" s="181">
        <f t="shared" si="3"/>
        <v>0</v>
      </c>
      <c r="Q36" s="230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6">
        <f>'Données projet'!A50</f>
        <v>0</v>
      </c>
      <c r="B37" s="177">
        <f>'Données projet'!D50</f>
        <v>0</v>
      </c>
      <c r="C37" s="189"/>
      <c r="D37" s="178">
        <f t="shared" si="2"/>
        <v>0</v>
      </c>
      <c r="E37" s="189"/>
      <c r="F37" s="229"/>
      <c r="G37" s="199"/>
      <c r="H37" s="186"/>
      <c r="I37" s="187"/>
      <c r="K37" s="169"/>
      <c r="L37" s="23"/>
      <c r="M37" s="23"/>
      <c r="N37" s="23"/>
      <c r="O37" s="190">
        <f>IF(O36+1&lt;=MIN('Données projet'!$E$9:$E$18),O36+1,"STOP")</f>
        <v>4</v>
      </c>
      <c r="P37" s="181">
        <f t="shared" si="3"/>
        <v>0</v>
      </c>
      <c r="Q37" s="230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6">
        <f>'Données projet'!A51</f>
        <v>0</v>
      </c>
      <c r="B38" s="177">
        <f>'Données projet'!D51</f>
        <v>0</v>
      </c>
      <c r="C38" s="189"/>
      <c r="D38" s="178">
        <f t="shared" si="2"/>
        <v>0</v>
      </c>
      <c r="E38" s="189"/>
      <c r="F38" s="229"/>
      <c r="G38" s="199"/>
      <c r="H38" s="186"/>
      <c r="I38" s="187"/>
      <c r="K38" s="169"/>
      <c r="L38" s="23"/>
      <c r="M38" s="23"/>
      <c r="N38" s="23"/>
      <c r="O38" s="190">
        <f>IF(O37+1&lt;=MIN('Données projet'!$E$9:$E$18),O37+1,"STOP")</f>
        <v>5</v>
      </c>
      <c r="P38" s="181">
        <f t="shared" si="3"/>
        <v>0</v>
      </c>
      <c r="Q38" s="230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6">
        <f>'Données projet'!A52</f>
        <v>0</v>
      </c>
      <c r="B39" s="177">
        <f>'Données projet'!D52</f>
        <v>0</v>
      </c>
      <c r="C39" s="189"/>
      <c r="D39" s="178">
        <f t="shared" si="2"/>
        <v>0</v>
      </c>
      <c r="E39" s="189"/>
      <c r="F39" s="229"/>
      <c r="G39" s="199"/>
      <c r="H39" s="186"/>
      <c r="I39" s="187"/>
      <c r="K39" s="204"/>
      <c r="L39" s="23"/>
      <c r="M39" s="23"/>
      <c r="N39" s="23"/>
      <c r="O39" s="190">
        <f>IF(O38+1&lt;=MIN('Données projet'!$E$9:$E$18),O38+1,"STOP")</f>
        <v>6</v>
      </c>
      <c r="P39" s="181">
        <f t="shared" si="3"/>
        <v>0</v>
      </c>
      <c r="Q39" s="230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6">
        <f>'Données projet'!A53</f>
        <v>0</v>
      </c>
      <c r="B40" s="177">
        <f>'Données projet'!D53</f>
        <v>0</v>
      </c>
      <c r="C40" s="189"/>
      <c r="D40" s="178">
        <f t="shared" si="2"/>
        <v>0</v>
      </c>
      <c r="E40" s="189"/>
      <c r="F40" s="229"/>
      <c r="G40" s="199"/>
      <c r="H40" s="186"/>
      <c r="I40" s="187"/>
      <c r="K40" s="204"/>
      <c r="L40" s="23"/>
      <c r="M40" s="23"/>
      <c r="N40" s="23"/>
      <c r="O40" s="190">
        <f>IF(O39+1&lt;=MIN('Données projet'!$E$9:$E$18),O39+1,"STOP")</f>
        <v>7</v>
      </c>
      <c r="P40" s="181">
        <f t="shared" si="3"/>
        <v>0</v>
      </c>
      <c r="Q40" s="230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6">
        <f>'Données projet'!A54</f>
        <v>0</v>
      </c>
      <c r="B41" s="177">
        <f>'Données projet'!D54</f>
        <v>0</v>
      </c>
      <c r="C41" s="189"/>
      <c r="D41" s="178">
        <f t="shared" si="2"/>
        <v>0</v>
      </c>
      <c r="E41" s="189"/>
      <c r="F41" s="229"/>
      <c r="G41" s="199"/>
      <c r="H41" s="186"/>
      <c r="I41" s="187"/>
      <c r="K41" s="204"/>
      <c r="L41" s="23"/>
      <c r="M41" s="23"/>
      <c r="N41" s="23"/>
      <c r="O41" s="190">
        <f>IF(O40+1&lt;=MIN('Données projet'!$E$9:$E$18),O40+1,"STOP")</f>
        <v>8</v>
      </c>
      <c r="P41" s="181">
        <f t="shared" si="3"/>
        <v>0</v>
      </c>
      <c r="Q41" s="230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6">
        <f>'Données projet'!A55</f>
        <v>0</v>
      </c>
      <c r="B42" s="177">
        <f>'Données projet'!D55</f>
        <v>0</v>
      </c>
      <c r="C42" s="189"/>
      <c r="D42" s="178">
        <f t="shared" si="2"/>
        <v>0</v>
      </c>
      <c r="E42" s="189"/>
      <c r="F42" s="229"/>
      <c r="G42" s="199"/>
      <c r="H42" s="186"/>
      <c r="I42" s="187"/>
      <c r="K42" s="204"/>
      <c r="L42" s="23"/>
      <c r="M42" s="23"/>
      <c r="N42" s="23"/>
      <c r="O42" s="190">
        <f>IF(O41+1&lt;=MIN('Données projet'!$E$9:$E$18),O41+1,"STOP")</f>
        <v>9</v>
      </c>
      <c r="P42" s="181">
        <f t="shared" si="3"/>
        <v>0</v>
      </c>
      <c r="Q42" s="230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3"/>
      <c r="B43" s="183"/>
      <c r="C43" s="183"/>
      <c r="D43" s="223"/>
      <c r="E43" s="223"/>
      <c r="F43" s="234"/>
      <c r="G43" s="199"/>
      <c r="H43" s="186"/>
      <c r="I43" s="187"/>
      <c r="K43" s="204"/>
      <c r="L43" s="23"/>
      <c r="M43" s="23"/>
      <c r="N43" s="23"/>
      <c r="O43" s="190">
        <f>IF(O42+1&lt;=MIN('Données projet'!$E$9:$E$18),O42+1,"STOP")</f>
        <v>10</v>
      </c>
      <c r="P43" s="181">
        <f t="shared" si="3"/>
        <v>0</v>
      </c>
      <c r="Q43" s="23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6"/>
      <c r="G44" s="199"/>
      <c r="H44" s="186"/>
      <c r="I44" s="187"/>
      <c r="K44" s="204"/>
      <c r="L44" s="23"/>
      <c r="M44" s="23"/>
      <c r="N44" s="23"/>
      <c r="O44" s="190">
        <f>IF(O43+1&lt;=MIN('Données projet'!$E$9:$E$18),O43+1,"STOP")</f>
        <v>11</v>
      </c>
      <c r="P44" s="181">
        <f t="shared" si="3"/>
        <v>0</v>
      </c>
      <c r="Q44" s="23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0" t="str">
        <f>IF('Données projet'!$B$10="","",'Données projet'!$B$10)</f>
        <v>Sapin pectiné</v>
      </c>
      <c r="C45" s="4"/>
      <c r="D45" s="4"/>
      <c r="E45" s="4"/>
      <c r="F45" s="226"/>
      <c r="G45" s="199"/>
      <c r="H45" s="186"/>
      <c r="I45" s="187"/>
      <c r="J45" s="23"/>
      <c r="K45" s="204"/>
      <c r="L45" s="23"/>
      <c r="M45" s="23"/>
      <c r="N45" s="23"/>
      <c r="O45" s="190">
        <f>IF(O44+1&lt;=MIN('Données projet'!$E$9:$E$18),O44+1,"STOP")</f>
        <v>12</v>
      </c>
      <c r="P45" s="181">
        <f t="shared" si="3"/>
        <v>0</v>
      </c>
      <c r="Q45" s="23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6"/>
      <c r="G46" s="199"/>
      <c r="H46" s="186"/>
      <c r="I46" s="187"/>
      <c r="J46" s="23"/>
      <c r="K46" s="204"/>
      <c r="L46" s="200"/>
      <c r="M46" s="200"/>
      <c r="N46" s="200"/>
      <c r="O46" s="190">
        <f>IF(O45+1&lt;=MIN('Données projet'!$E$9:$E$18),O45+1,"STOP")</f>
        <v>13</v>
      </c>
      <c r="P46" s="184">
        <f t="shared" si="3"/>
        <v>0</v>
      </c>
      <c r="Q46" s="23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7"/>
      <c r="G47" s="199"/>
      <c r="H47" s="186"/>
      <c r="I47" s="187"/>
      <c r="J47" s="23"/>
      <c r="K47" s="204"/>
      <c r="L47" s="4"/>
      <c r="M47" s="4"/>
      <c r="N47" s="4"/>
      <c r="O47" s="190">
        <f>IF(O46+1&lt;=MIN('Données projet'!$E$9:$E$18),O46+1,"STOP")</f>
        <v>14</v>
      </c>
      <c r="P47" s="181">
        <f t="shared" si="3"/>
        <v>0</v>
      </c>
      <c r="Q47" s="23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5" t="s">
        <v>132</v>
      </c>
      <c r="C48" s="194" t="s">
        <v>132</v>
      </c>
      <c r="D48" s="193" t="s">
        <v>132</v>
      </c>
      <c r="E48" s="189">
        <v>3053.44</v>
      </c>
      <c r="F48" s="227"/>
      <c r="G48" s="199"/>
      <c r="H48" s="186"/>
      <c r="I48" s="187"/>
      <c r="J48" s="23"/>
      <c r="K48" s="204"/>
      <c r="L48" s="4"/>
      <c r="M48" s="4"/>
      <c r="N48" s="4"/>
      <c r="O48" s="190">
        <f>IF(O47+1&lt;=MIN('Données projet'!$E$9:$E$18),O47+1,"STOP")</f>
        <v>15</v>
      </c>
      <c r="P48" s="181">
        <f t="shared" si="3"/>
        <v>0</v>
      </c>
      <c r="Q48" s="23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1" customFormat="1" ht="17.25" customHeight="1" x14ac:dyDescent="0.3">
      <c r="A49" s="49">
        <v>1</v>
      </c>
      <c r="B49" s="195" t="s">
        <v>132</v>
      </c>
      <c r="C49" s="194" t="s">
        <v>132</v>
      </c>
      <c r="D49" s="193" t="s">
        <v>132</v>
      </c>
      <c r="E49" s="189"/>
      <c r="F49" s="227"/>
      <c r="G49" s="200"/>
      <c r="H49" s="186"/>
      <c r="I49" s="187"/>
      <c r="J49" s="200"/>
      <c r="K49" s="206"/>
      <c r="L49" s="4"/>
      <c r="M49" s="4"/>
      <c r="N49" s="4"/>
      <c r="O49" s="190">
        <f>IF(O48+1&lt;=MIN('Données projet'!$E$9:$E$18),O48+1,"STOP")</f>
        <v>16</v>
      </c>
      <c r="P49" s="181">
        <f t="shared" si="3"/>
        <v>0</v>
      </c>
      <c r="Q49" s="232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3"/>
      <c r="BD49" s="183"/>
    </row>
    <row r="50" spans="1:56" x14ac:dyDescent="0.3">
      <c r="A50" s="49">
        <v>2</v>
      </c>
      <c r="B50" s="195" t="s">
        <v>132</v>
      </c>
      <c r="C50" s="194" t="s">
        <v>132</v>
      </c>
      <c r="D50" s="193" t="s">
        <v>132</v>
      </c>
      <c r="E50" s="189"/>
      <c r="F50" s="227"/>
      <c r="G50" s="23"/>
      <c r="H50" s="186"/>
      <c r="I50" s="187"/>
      <c r="J50" s="23"/>
      <c r="K50" s="169"/>
      <c r="L50" s="4"/>
      <c r="M50" s="4"/>
      <c r="N50" s="4"/>
      <c r="O50" s="190">
        <f>IF(O49+1&lt;=MIN('Données projet'!$E$9:$E$18),O49+1,"STOP")</f>
        <v>17</v>
      </c>
      <c r="P50" s="181">
        <f t="shared" si="3"/>
        <v>0</v>
      </c>
      <c r="Q50" s="23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5" t="s">
        <v>132</v>
      </c>
      <c r="C51" s="194" t="s">
        <v>132</v>
      </c>
      <c r="D51" s="193" t="s">
        <v>132</v>
      </c>
      <c r="E51" s="189"/>
      <c r="F51" s="227"/>
      <c r="G51" s="23"/>
      <c r="H51" s="186"/>
      <c r="I51" s="187"/>
      <c r="J51" s="23"/>
      <c r="K51" s="169"/>
      <c r="L51" s="4"/>
      <c r="M51" s="4"/>
      <c r="N51" s="4"/>
      <c r="O51" s="190">
        <f>IF(O50+1&lt;=MIN('Données projet'!$E$9:$E$18),O50+1,"STOP")</f>
        <v>18</v>
      </c>
      <c r="P51" s="181">
        <f t="shared" si="3"/>
        <v>0</v>
      </c>
      <c r="Q51" s="23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5" t="s">
        <v>132</v>
      </c>
      <c r="C52" s="194" t="s">
        <v>132</v>
      </c>
      <c r="D52" s="193" t="s">
        <v>132</v>
      </c>
      <c r="E52" s="189"/>
      <c r="F52" s="227"/>
      <c r="G52" s="23"/>
      <c r="H52" s="186"/>
      <c r="I52" s="187"/>
      <c r="J52" s="23"/>
      <c r="K52" s="169"/>
      <c r="L52" s="4"/>
      <c r="M52" s="4"/>
      <c r="N52" s="4"/>
      <c r="O52" s="190">
        <f>IF(O51+1&lt;=MIN('Données projet'!$E$9:$E$18),O51+1,"STOP")</f>
        <v>19</v>
      </c>
      <c r="P52" s="181">
        <f t="shared" si="3"/>
        <v>0</v>
      </c>
      <c r="Q52" s="231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5" t="s">
        <v>132</v>
      </c>
      <c r="C53" s="194" t="s">
        <v>132</v>
      </c>
      <c r="D53" s="193" t="s">
        <v>132</v>
      </c>
      <c r="E53" s="189"/>
      <c r="F53" s="227"/>
      <c r="G53" s="201"/>
      <c r="H53" s="186"/>
      <c r="I53" s="187"/>
      <c r="J53" s="23"/>
      <c r="K53" s="169"/>
      <c r="L53" s="4"/>
      <c r="M53" s="4"/>
      <c r="N53" s="4"/>
      <c r="O53" s="190">
        <f>IF(O52+1&lt;=MIN('Données projet'!$E$9:$E$18),O52+1,"STOP")</f>
        <v>20</v>
      </c>
      <c r="P53" s="181">
        <f t="shared" si="3"/>
        <v>0</v>
      </c>
      <c r="Q53" s="231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6">
        <f>'Données projet'!A62</f>
        <v>15</v>
      </c>
      <c r="B54" s="177">
        <f>'Données projet'!D62</f>
        <v>0</v>
      </c>
      <c r="C54" s="187"/>
      <c r="D54" s="175">
        <f>B54*C54</f>
        <v>0</v>
      </c>
      <c r="E54" s="189"/>
      <c r="F54" s="228"/>
      <c r="G54" s="201"/>
      <c r="H54" s="186"/>
      <c r="I54" s="187"/>
      <c r="J54" s="23"/>
      <c r="K54" s="169"/>
      <c r="L54" s="4"/>
      <c r="M54" s="4"/>
      <c r="N54" s="4"/>
      <c r="O54" s="190">
        <f>IF(O53+1&lt;=MIN('Données projet'!$E$9:$E$18),O53+1,"STOP")</f>
        <v>21</v>
      </c>
      <c r="P54" s="181">
        <f t="shared" si="3"/>
        <v>0</v>
      </c>
      <c r="Q54" s="231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6">
        <f>'Données projet'!A63</f>
        <v>20</v>
      </c>
      <c r="B55" s="177">
        <f>'Données projet'!D63</f>
        <v>3</v>
      </c>
      <c r="C55" s="187">
        <v>10</v>
      </c>
      <c r="D55" s="175">
        <f t="shared" ref="D55:D73" si="4">B55*C55</f>
        <v>30</v>
      </c>
      <c r="E55" s="189"/>
      <c r="F55" s="228"/>
      <c r="G55" s="201"/>
      <c r="H55" s="186"/>
      <c r="I55" s="187"/>
      <c r="J55" s="23"/>
      <c r="K55" s="169"/>
      <c r="L55" s="4"/>
      <c r="M55" s="4"/>
      <c r="N55" s="4"/>
      <c r="O55" s="190">
        <f>IF(O54+1&lt;=MIN('Données projet'!$E$9:$E$18),O54+1,"STOP")</f>
        <v>22</v>
      </c>
      <c r="P55" s="181">
        <f t="shared" si="3"/>
        <v>0</v>
      </c>
      <c r="Q55" s="231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6">
        <f>'Données projet'!A64</f>
        <v>25</v>
      </c>
      <c r="B56" s="177">
        <f>'Données projet'!D64</f>
        <v>63</v>
      </c>
      <c r="C56" s="187">
        <v>10</v>
      </c>
      <c r="D56" s="175">
        <f t="shared" si="4"/>
        <v>630</v>
      </c>
      <c r="E56" s="189"/>
      <c r="F56" s="228"/>
      <c r="G56" s="201"/>
      <c r="H56" s="186"/>
      <c r="I56" s="187"/>
      <c r="J56" s="23"/>
      <c r="K56" s="169"/>
      <c r="L56" s="4"/>
      <c r="M56" s="4"/>
      <c r="N56" s="4"/>
      <c r="O56" s="190">
        <f>IF(O55+1&lt;=MIN('Données projet'!$E$9:$E$18),O55+1,"STOP")</f>
        <v>23</v>
      </c>
      <c r="P56" s="181">
        <f t="shared" si="3"/>
        <v>0</v>
      </c>
      <c r="Q56" s="231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6">
        <f>'Données projet'!A65</f>
        <v>30</v>
      </c>
      <c r="B57" s="177">
        <f>'Données projet'!D65</f>
        <v>63</v>
      </c>
      <c r="C57" s="187">
        <v>10</v>
      </c>
      <c r="D57" s="175">
        <f t="shared" si="4"/>
        <v>630</v>
      </c>
      <c r="E57" s="189"/>
      <c r="F57" s="228"/>
      <c r="G57" s="201"/>
      <c r="H57" s="186"/>
      <c r="I57" s="187"/>
      <c r="J57" s="23"/>
      <c r="K57" s="169"/>
      <c r="L57" s="4"/>
      <c r="M57" s="4"/>
      <c r="N57" s="4"/>
      <c r="O57" s="190">
        <f>IF(O56+1&lt;=MIN('Données projet'!$E$9:$E$18),O56+1,"STOP")</f>
        <v>24</v>
      </c>
      <c r="P57" s="181">
        <f t="shared" si="3"/>
        <v>0</v>
      </c>
      <c r="Q57" s="231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6">
        <f>'Données projet'!A66</f>
        <v>35</v>
      </c>
      <c r="B58" s="177">
        <f>'Données projet'!D66</f>
        <v>63</v>
      </c>
      <c r="C58" s="187"/>
      <c r="D58" s="175">
        <f t="shared" si="4"/>
        <v>0</v>
      </c>
      <c r="E58" s="189"/>
      <c r="F58" s="228"/>
      <c r="G58" s="201"/>
      <c r="H58" s="186"/>
      <c r="I58" s="187"/>
      <c r="J58" s="23"/>
      <c r="K58" s="169"/>
      <c r="L58" s="4"/>
      <c r="M58" s="4"/>
      <c r="N58" s="4"/>
      <c r="O58" s="190">
        <f>IF(O57+1&lt;=MIN('Données projet'!$E$9:$E$18),O57+1,"STOP")</f>
        <v>25</v>
      </c>
      <c r="P58" s="181">
        <f t="shared" si="3"/>
        <v>0</v>
      </c>
      <c r="Q58" s="231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6">
        <f>'Données projet'!A67</f>
        <v>40</v>
      </c>
      <c r="B59" s="177">
        <f>'Données projet'!D67</f>
        <v>63</v>
      </c>
      <c r="C59" s="187"/>
      <c r="D59" s="175">
        <f t="shared" si="4"/>
        <v>0</v>
      </c>
      <c r="E59" s="189"/>
      <c r="F59" s="228"/>
      <c r="G59" s="201"/>
      <c r="H59" s="186"/>
      <c r="I59" s="187"/>
      <c r="J59" s="23"/>
      <c r="K59" s="169"/>
      <c r="L59" s="4"/>
      <c r="M59" s="4"/>
      <c r="N59" s="4"/>
      <c r="O59" s="190">
        <f>IF(O58+1&lt;=MIN('Données projet'!$E$9:$E$18),O58+1,"STOP")</f>
        <v>26</v>
      </c>
      <c r="P59" s="181">
        <f t="shared" si="3"/>
        <v>0</v>
      </c>
      <c r="Q59" s="231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6">
        <f>'Données projet'!A68</f>
        <v>45</v>
      </c>
      <c r="B60" s="177">
        <f>'Données projet'!D68</f>
        <v>63</v>
      </c>
      <c r="C60" s="187"/>
      <c r="D60" s="175">
        <f t="shared" si="4"/>
        <v>0</v>
      </c>
      <c r="E60" s="189"/>
      <c r="F60" s="228"/>
      <c r="G60" s="202"/>
      <c r="H60" s="186"/>
      <c r="I60" s="187"/>
      <c r="J60" s="23"/>
      <c r="K60" s="169"/>
      <c r="L60" s="4"/>
      <c r="M60" s="4"/>
      <c r="N60" s="4"/>
      <c r="O60" s="190">
        <f>IF(O59+1&lt;=MIN('Données projet'!$E$9:$E$18),O59+1,"STOP")</f>
        <v>27</v>
      </c>
      <c r="P60" s="181">
        <f t="shared" si="3"/>
        <v>0</v>
      </c>
      <c r="Q60" s="231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6">
        <f>'Données projet'!A69</f>
        <v>50</v>
      </c>
      <c r="B61" s="177">
        <f>'Données projet'!D69</f>
        <v>63</v>
      </c>
      <c r="C61" s="187"/>
      <c r="D61" s="175">
        <f t="shared" si="4"/>
        <v>0</v>
      </c>
      <c r="E61" s="189"/>
      <c r="F61" s="228"/>
      <c r="G61" s="202"/>
      <c r="H61" s="186"/>
      <c r="I61" s="187"/>
      <c r="J61" s="23"/>
      <c r="K61" s="169"/>
      <c r="L61" s="4"/>
      <c r="M61" s="4"/>
      <c r="N61" s="4"/>
      <c r="O61" s="190">
        <f>IF(O60+1&lt;=MIN('Données projet'!$E$9:$E$18),O60+1,"STOP")</f>
        <v>28</v>
      </c>
      <c r="P61" s="181">
        <f t="shared" si="3"/>
        <v>0</v>
      </c>
      <c r="Q61" s="231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6">
        <f>'Données projet'!A70</f>
        <v>55</v>
      </c>
      <c r="B62" s="177">
        <f>'Données projet'!D70</f>
        <v>63</v>
      </c>
      <c r="C62" s="187"/>
      <c r="D62" s="175">
        <f t="shared" si="4"/>
        <v>0</v>
      </c>
      <c r="E62" s="189"/>
      <c r="F62" s="228"/>
      <c r="G62" s="202"/>
      <c r="H62" s="186"/>
      <c r="I62" s="187"/>
      <c r="J62" s="23"/>
      <c r="K62" s="169"/>
      <c r="L62" s="4"/>
      <c r="M62" s="4"/>
      <c r="N62" s="4"/>
      <c r="O62" s="190">
        <f>IF(O61+1&lt;=MIN('Données projet'!$E$9:$E$18),O61+1,"STOP")</f>
        <v>29</v>
      </c>
      <c r="P62" s="181">
        <f t="shared" si="3"/>
        <v>0</v>
      </c>
      <c r="Q62" s="231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6">
        <f>'Données projet'!A71</f>
        <v>60</v>
      </c>
      <c r="B63" s="177">
        <f>'Données projet'!D71</f>
        <v>54</v>
      </c>
      <c r="C63" s="187"/>
      <c r="D63" s="175">
        <f t="shared" si="4"/>
        <v>0</v>
      </c>
      <c r="E63" s="189"/>
      <c r="F63" s="228"/>
      <c r="G63" s="202"/>
      <c r="H63" s="186"/>
      <c r="I63" s="187"/>
      <c r="J63" s="23"/>
      <c r="K63" s="169"/>
      <c r="L63" s="4"/>
      <c r="M63" s="4"/>
      <c r="N63" s="4"/>
      <c r="O63" s="190">
        <f>IF(O62+1&lt;=MIN('Données projet'!$E$9:$E$18),O62+1,"STOP")</f>
        <v>30</v>
      </c>
      <c r="P63" s="181">
        <f t="shared" si="3"/>
        <v>0</v>
      </c>
      <c r="Q63" s="231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6">
        <f>'Données projet'!A72</f>
        <v>65</v>
      </c>
      <c r="B64" s="177">
        <f>'Données projet'!D72</f>
        <v>50</v>
      </c>
      <c r="C64" s="187"/>
      <c r="D64" s="175">
        <f t="shared" si="4"/>
        <v>0</v>
      </c>
      <c r="E64" s="189"/>
      <c r="F64" s="228"/>
      <c r="G64" s="202"/>
      <c r="H64" s="186"/>
      <c r="I64" s="187"/>
      <c r="J64" s="203"/>
      <c r="K64" s="169"/>
      <c r="L64" s="4"/>
      <c r="M64" s="4"/>
      <c r="N64" s="4"/>
      <c r="O64" s="190">
        <f>IF(O63+1&lt;=MIN('Données projet'!$E$9:$E$18),O63+1,"STOP")</f>
        <v>31</v>
      </c>
      <c r="P64" s="181">
        <f t="shared" si="3"/>
        <v>0</v>
      </c>
      <c r="Q64" s="231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6">
        <f>'Données projet'!A73</f>
        <v>70</v>
      </c>
      <c r="B65" s="177">
        <f>'Données projet'!D73</f>
        <v>48</v>
      </c>
      <c r="C65" s="187"/>
      <c r="D65" s="175">
        <f t="shared" si="4"/>
        <v>0</v>
      </c>
      <c r="E65" s="189"/>
      <c r="F65" s="228"/>
      <c r="G65" s="202"/>
      <c r="H65" s="186"/>
      <c r="I65" s="187"/>
      <c r="J65" s="185"/>
      <c r="K65" s="169"/>
      <c r="L65" s="4"/>
      <c r="M65" s="4"/>
      <c r="N65" s="4"/>
      <c r="O65" s="190">
        <f>IF(O64+1&lt;=MIN('Données projet'!$E$9:$E$18),O64+1,"STOP")</f>
        <v>32</v>
      </c>
      <c r="P65" s="181">
        <f t="shared" ref="P65:P96" si="5">$P$25/(1+$M$4)^O65</f>
        <v>0</v>
      </c>
      <c r="Q65" s="231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6">
        <f>'Données projet'!A74</f>
        <v>75</v>
      </c>
      <c r="B66" s="177">
        <f>'Données projet'!D74</f>
        <v>47</v>
      </c>
      <c r="C66" s="187"/>
      <c r="D66" s="175">
        <f t="shared" si="4"/>
        <v>0</v>
      </c>
      <c r="E66" s="189"/>
      <c r="F66" s="228"/>
      <c r="G66" s="202"/>
      <c r="H66" s="186"/>
      <c r="I66" s="187"/>
      <c r="J66" s="185"/>
      <c r="K66" s="169"/>
      <c r="L66" s="4"/>
      <c r="M66" s="4"/>
      <c r="N66" s="4"/>
      <c r="O66" s="190">
        <f>IF(O65+1&lt;=MIN('Données projet'!$E$9:$E$18),O65+1,"STOP")</f>
        <v>33</v>
      </c>
      <c r="P66" s="181">
        <f t="shared" si="5"/>
        <v>0</v>
      </c>
      <c r="Q66" s="231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6">
        <f>'Données projet'!A75</f>
        <v>80</v>
      </c>
      <c r="B67" s="177">
        <f>'Données projet'!D75</f>
        <v>46</v>
      </c>
      <c r="C67" s="187"/>
      <c r="D67" s="175">
        <f t="shared" si="4"/>
        <v>0</v>
      </c>
      <c r="E67" s="189"/>
      <c r="F67" s="228"/>
      <c r="G67" s="202"/>
      <c r="H67" s="186"/>
      <c r="I67" s="187"/>
      <c r="J67" s="185"/>
      <c r="K67" s="169"/>
      <c r="L67" s="4"/>
      <c r="M67" s="4"/>
      <c r="N67" s="4"/>
      <c r="O67" s="190">
        <f>IF(O66+1&lt;=MIN('Données projet'!$E$9:$E$18),O66+1,"STOP")</f>
        <v>34</v>
      </c>
      <c r="P67" s="181">
        <f t="shared" si="5"/>
        <v>0</v>
      </c>
      <c r="Q67" s="231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6">
        <f>'Données projet'!A76</f>
        <v>0</v>
      </c>
      <c r="B68" s="177">
        <f>'Données projet'!D76</f>
        <v>0</v>
      </c>
      <c r="C68" s="187"/>
      <c r="D68" s="175">
        <f t="shared" si="4"/>
        <v>0</v>
      </c>
      <c r="E68" s="189"/>
      <c r="F68" s="228"/>
      <c r="G68" s="202"/>
      <c r="H68" s="186"/>
      <c r="I68" s="187"/>
      <c r="J68" s="185"/>
      <c r="K68" s="169"/>
      <c r="L68" s="4"/>
      <c r="M68" s="4"/>
      <c r="N68" s="4"/>
      <c r="O68" s="190">
        <f>IF(O67+1&lt;=MIN('Données projet'!$E$9:$E$18),O67+1,"STOP")</f>
        <v>35</v>
      </c>
      <c r="P68" s="181">
        <f t="shared" si="5"/>
        <v>0</v>
      </c>
      <c r="Q68" s="231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6">
        <f>'Données projet'!A77</f>
        <v>0</v>
      </c>
      <c r="B69" s="177">
        <f>'Données projet'!D77</f>
        <v>0</v>
      </c>
      <c r="C69" s="187"/>
      <c r="D69" s="175">
        <f t="shared" si="4"/>
        <v>0</v>
      </c>
      <c r="E69" s="189"/>
      <c r="F69" s="228"/>
      <c r="G69" s="202"/>
      <c r="H69" s="186"/>
      <c r="I69" s="187"/>
      <c r="J69" s="185"/>
      <c r="K69" s="169"/>
      <c r="L69" s="4"/>
      <c r="M69" s="4"/>
      <c r="N69" s="4"/>
      <c r="O69" s="190">
        <f>IF(O68+1&lt;=MIN('Données projet'!$E$9:$E$18),O68+1,"STOP")</f>
        <v>36</v>
      </c>
      <c r="P69" s="181">
        <f t="shared" si="5"/>
        <v>0</v>
      </c>
      <c r="Q69" s="231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6">
        <f>'Données projet'!A78</f>
        <v>0</v>
      </c>
      <c r="B70" s="177">
        <f>'Données projet'!D78</f>
        <v>0</v>
      </c>
      <c r="C70" s="187"/>
      <c r="D70" s="175">
        <f t="shared" si="4"/>
        <v>0</v>
      </c>
      <c r="E70" s="189"/>
      <c r="F70" s="228"/>
      <c r="G70" s="202"/>
      <c r="H70" s="186"/>
      <c r="I70" s="187"/>
      <c r="J70" s="185"/>
      <c r="K70" s="169"/>
      <c r="L70" s="4"/>
      <c r="M70" s="4"/>
      <c r="N70" s="4"/>
      <c r="O70" s="190">
        <f>IF(O69+1&lt;=MIN('Données projet'!$E$9:$E$18),O69+1,"STOP")</f>
        <v>37</v>
      </c>
      <c r="P70" s="181">
        <f t="shared" si="5"/>
        <v>0</v>
      </c>
      <c r="Q70" s="231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6">
        <f>'Données projet'!A79</f>
        <v>0</v>
      </c>
      <c r="B71" s="177">
        <f>'Données projet'!D79</f>
        <v>0</v>
      </c>
      <c r="C71" s="187"/>
      <c r="D71" s="175">
        <f t="shared" si="4"/>
        <v>0</v>
      </c>
      <c r="E71" s="189"/>
      <c r="F71" s="228"/>
      <c r="G71" s="202"/>
      <c r="H71" s="186"/>
      <c r="I71" s="187"/>
      <c r="J71" s="185"/>
      <c r="K71" s="169"/>
      <c r="L71" s="4"/>
      <c r="M71" s="4"/>
      <c r="N71" s="4"/>
      <c r="O71" s="190">
        <f>IF(O70+1&lt;=MIN('Données projet'!$E$9:$E$18),O70+1,"STOP")</f>
        <v>38</v>
      </c>
      <c r="P71" s="181">
        <f t="shared" si="5"/>
        <v>0</v>
      </c>
      <c r="Q71" s="231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6">
        <f>'Données projet'!A80</f>
        <v>0</v>
      </c>
      <c r="B72" s="177">
        <f>'Données projet'!D80</f>
        <v>0</v>
      </c>
      <c r="C72" s="187"/>
      <c r="D72" s="175">
        <f t="shared" si="4"/>
        <v>0</v>
      </c>
      <c r="E72" s="189"/>
      <c r="F72" s="228"/>
      <c r="G72" s="202"/>
      <c r="H72" s="186"/>
      <c r="I72" s="187"/>
      <c r="J72" s="4"/>
      <c r="K72" s="169"/>
      <c r="L72" s="4"/>
      <c r="M72" s="4"/>
      <c r="N72" s="4"/>
      <c r="O72" s="190">
        <f>IF(O71+1&lt;=MIN('Données projet'!$E$9:$E$18),O71+1,"STOP")</f>
        <v>39</v>
      </c>
      <c r="P72" s="181">
        <f t="shared" si="5"/>
        <v>0</v>
      </c>
      <c r="Q72" s="231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6">
        <f>'Données projet'!A81</f>
        <v>0</v>
      </c>
      <c r="B73" s="177">
        <f>'Données projet'!D81</f>
        <v>0</v>
      </c>
      <c r="C73" s="187"/>
      <c r="D73" s="175">
        <f t="shared" si="4"/>
        <v>0</v>
      </c>
      <c r="E73" s="189"/>
      <c r="F73" s="228"/>
      <c r="G73" s="202"/>
      <c r="H73" s="186"/>
      <c r="I73" s="187"/>
      <c r="J73" s="4"/>
      <c r="K73" s="169"/>
      <c r="L73" s="4"/>
      <c r="M73" s="4"/>
      <c r="N73" s="4"/>
      <c r="O73" s="190">
        <f>IF(O72+1&lt;=MIN('Données projet'!$E$9:$E$18),O72+1,"STOP")</f>
        <v>40</v>
      </c>
      <c r="P73" s="181">
        <f t="shared" si="5"/>
        <v>0</v>
      </c>
      <c r="Q73" s="231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6"/>
      <c r="G74" s="202"/>
      <c r="H74" s="186"/>
      <c r="I74" s="187"/>
      <c r="J74" s="4"/>
      <c r="K74" s="169"/>
      <c r="L74" s="4"/>
      <c r="M74" s="4"/>
      <c r="N74" s="4"/>
      <c r="O74" s="190">
        <f>IF(O73+1&lt;=MIN('Données projet'!$E$9:$E$18),O73+1,"STOP")</f>
        <v>41</v>
      </c>
      <c r="P74" s="181">
        <f t="shared" si="5"/>
        <v>0</v>
      </c>
      <c r="Q74" s="231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6"/>
      <c r="G75" s="202"/>
      <c r="H75" s="186"/>
      <c r="I75" s="187"/>
      <c r="J75" s="4"/>
      <c r="K75" s="169"/>
      <c r="L75" s="4"/>
      <c r="M75" s="4"/>
      <c r="N75" s="4"/>
      <c r="O75" s="190">
        <f>IF(O74+1&lt;=MIN('Données projet'!$E$9:$E$18),O74+1,"STOP")</f>
        <v>42</v>
      </c>
      <c r="P75" s="181">
        <f t="shared" si="5"/>
        <v>0</v>
      </c>
      <c r="Q75" s="231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0" t="str">
        <f>IF('Données projet'!B11="","",'Données projet'!B11)</f>
        <v>Pin sylvestre</v>
      </c>
      <c r="C76" s="4"/>
      <c r="D76" s="4"/>
      <c r="E76" s="4"/>
      <c r="F76" s="226"/>
      <c r="G76" s="202"/>
      <c r="H76" s="186"/>
      <c r="I76" s="187"/>
      <c r="J76" s="4"/>
      <c r="K76" s="169"/>
      <c r="L76" s="4"/>
      <c r="M76" s="4"/>
      <c r="N76" s="4"/>
      <c r="O76" s="190">
        <f>IF(O75+1&lt;=MIN('Données projet'!$E$9:$E$18),O75+1,"STOP")</f>
        <v>43</v>
      </c>
      <c r="P76" s="181">
        <f t="shared" si="5"/>
        <v>0</v>
      </c>
      <c r="Q76" s="231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6"/>
      <c r="G77" s="202"/>
      <c r="H77" s="186"/>
      <c r="I77" s="187"/>
      <c r="J77" s="4"/>
      <c r="K77" s="169"/>
      <c r="L77" s="4"/>
      <c r="M77" s="4"/>
      <c r="N77" s="4"/>
      <c r="O77" s="190">
        <f>IF(O76+1&lt;=MIN('Données projet'!$E$9:$E$18),O76+1,"STOP")</f>
        <v>44</v>
      </c>
      <c r="P77" s="181">
        <f t="shared" si="5"/>
        <v>0</v>
      </c>
      <c r="Q77" s="231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7"/>
      <c r="G78" s="202"/>
      <c r="H78" s="186"/>
      <c r="I78" s="187"/>
      <c r="J78" s="4"/>
      <c r="K78" s="169"/>
      <c r="L78" s="4"/>
      <c r="M78" s="4"/>
      <c r="N78" s="4"/>
      <c r="O78" s="190">
        <f>IF(O77+1&lt;=MIN('Données projet'!$E$9:$E$18),O77+1,"STOP")</f>
        <v>45</v>
      </c>
      <c r="P78" s="181">
        <f t="shared" si="5"/>
        <v>0</v>
      </c>
      <c r="Q78" s="231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5" t="s">
        <v>132</v>
      </c>
      <c r="C79" s="194" t="s">
        <v>132</v>
      </c>
      <c r="D79" s="193" t="s">
        <v>132</v>
      </c>
      <c r="E79" s="189">
        <v>3646.87</v>
      </c>
      <c r="F79" s="227"/>
      <c r="G79" s="202"/>
      <c r="H79" s="186"/>
      <c r="I79" s="187"/>
      <c r="J79" s="4"/>
      <c r="K79" s="169"/>
      <c r="L79" s="4"/>
      <c r="M79" s="4"/>
      <c r="N79" s="4"/>
      <c r="O79" s="190">
        <f>IF(O78+1&lt;=MIN('Données projet'!$E$9:$E$18),O78+1,"STOP")</f>
        <v>46</v>
      </c>
      <c r="P79" s="181">
        <f t="shared" si="5"/>
        <v>0</v>
      </c>
      <c r="Q79" s="231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5" t="s">
        <v>132</v>
      </c>
      <c r="C80" s="194" t="s">
        <v>132</v>
      </c>
      <c r="D80" s="193" t="s">
        <v>132</v>
      </c>
      <c r="E80" s="189"/>
      <c r="F80" s="227"/>
      <c r="G80" s="23"/>
      <c r="H80" s="186"/>
      <c r="I80" s="187"/>
      <c r="J80" s="4"/>
      <c r="K80" s="169"/>
      <c r="L80" s="4"/>
      <c r="M80" s="4"/>
      <c r="N80" s="4"/>
      <c r="O80" s="190">
        <f>IF(O79+1&lt;=MIN('Données projet'!$E$9:$E$18),O79+1,"STOP")</f>
        <v>47</v>
      </c>
      <c r="P80" s="181">
        <f t="shared" si="5"/>
        <v>0</v>
      </c>
      <c r="Q80" s="231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5" t="s">
        <v>132</v>
      </c>
      <c r="C81" s="194" t="s">
        <v>132</v>
      </c>
      <c r="D81" s="193" t="s">
        <v>132</v>
      </c>
      <c r="E81" s="189"/>
      <c r="F81" s="227"/>
      <c r="G81" s="23"/>
      <c r="H81" s="186"/>
      <c r="I81" s="187"/>
      <c r="J81" s="4"/>
      <c r="K81" s="169"/>
      <c r="L81" s="4"/>
      <c r="M81" s="4"/>
      <c r="N81" s="4"/>
      <c r="O81" s="190">
        <f>IF(O80+1&lt;=MIN('Données projet'!$E$9:$E$18),O80+1,"STOP")</f>
        <v>48</v>
      </c>
      <c r="P81" s="181">
        <f t="shared" si="5"/>
        <v>0</v>
      </c>
      <c r="Q81" s="231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5" t="s">
        <v>132</v>
      </c>
      <c r="C82" s="194" t="s">
        <v>132</v>
      </c>
      <c r="D82" s="193" t="s">
        <v>132</v>
      </c>
      <c r="E82" s="189"/>
      <c r="F82" s="227"/>
      <c r="G82" s="23"/>
      <c r="H82" s="186"/>
      <c r="I82" s="187"/>
      <c r="J82" s="4"/>
      <c r="K82" s="169"/>
      <c r="L82" s="4"/>
      <c r="M82" s="4"/>
      <c r="N82" s="4"/>
      <c r="O82" s="190">
        <f>IF(O81+1&lt;=MIN('Données projet'!$E$9:$E$18),O81+1,"STOP")</f>
        <v>49</v>
      </c>
      <c r="P82" s="181">
        <f t="shared" si="5"/>
        <v>0</v>
      </c>
      <c r="Q82" s="231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5" t="s">
        <v>132</v>
      </c>
      <c r="C83" s="194" t="s">
        <v>132</v>
      </c>
      <c r="D83" s="193" t="s">
        <v>132</v>
      </c>
      <c r="E83" s="189"/>
      <c r="F83" s="227"/>
      <c r="G83" s="23"/>
      <c r="H83" s="186"/>
      <c r="I83" s="187"/>
      <c r="J83" s="4"/>
      <c r="K83" s="169"/>
      <c r="L83" s="4"/>
      <c r="M83" s="4"/>
      <c r="N83" s="4"/>
      <c r="O83" s="190">
        <f>IF(O82+1&lt;=MIN('Données projet'!$E$9:$E$18),O82+1,"STOP")</f>
        <v>50</v>
      </c>
      <c r="P83" s="181">
        <f t="shared" si="5"/>
        <v>0</v>
      </c>
      <c r="Q83" s="231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5" t="s">
        <v>132</v>
      </c>
      <c r="C84" s="194" t="s">
        <v>132</v>
      </c>
      <c r="D84" s="193" t="s">
        <v>132</v>
      </c>
      <c r="E84" s="189"/>
      <c r="F84" s="227"/>
      <c r="G84" s="201"/>
      <c r="H84" s="186"/>
      <c r="I84" s="187"/>
      <c r="J84" s="4"/>
      <c r="K84" s="169"/>
      <c r="L84" s="4"/>
      <c r="M84" s="4"/>
      <c r="N84" s="4"/>
      <c r="O84" s="190">
        <f>IF(O83+1&lt;=MIN('Données projet'!$E$9:$E$18),O83+1,"STOP")</f>
        <v>51</v>
      </c>
      <c r="P84" s="181">
        <f t="shared" si="5"/>
        <v>0</v>
      </c>
      <c r="Q84" s="231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6">
        <f>'Données projet'!A88</f>
        <v>15</v>
      </c>
      <c r="B85" s="177">
        <f>'Données projet'!D88</f>
        <v>0</v>
      </c>
      <c r="C85" s="187"/>
      <c r="D85" s="175">
        <f>B85*C85</f>
        <v>0</v>
      </c>
      <c r="E85" s="189"/>
      <c r="F85" s="228"/>
      <c r="G85" s="201"/>
      <c r="H85" s="186"/>
      <c r="I85" s="187"/>
      <c r="J85" s="4"/>
      <c r="K85" s="169"/>
      <c r="L85" s="4"/>
      <c r="M85" s="4"/>
      <c r="N85" s="4"/>
      <c r="O85" s="190">
        <f>IF(O84+1&lt;=MIN('Données projet'!$E$9:$E$18),O84+1,"STOP")</f>
        <v>52</v>
      </c>
      <c r="P85" s="181">
        <f t="shared" si="5"/>
        <v>0</v>
      </c>
      <c r="Q85" s="231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6">
        <f>'Données projet'!A89</f>
        <v>20</v>
      </c>
      <c r="B86" s="177">
        <f>'Données projet'!D89</f>
        <v>0</v>
      </c>
      <c r="C86" s="187"/>
      <c r="D86" s="175">
        <f t="shared" ref="D86:D104" si="6">B86*C86</f>
        <v>0</v>
      </c>
      <c r="E86" s="189"/>
      <c r="F86" s="228"/>
      <c r="G86" s="201"/>
      <c r="H86" s="186"/>
      <c r="I86" s="187"/>
      <c r="J86" s="4"/>
      <c r="K86" s="169"/>
      <c r="L86" s="4"/>
      <c r="M86" s="4"/>
      <c r="N86" s="4"/>
      <c r="O86" s="190">
        <f>IF(O85+1&lt;=MIN('Données projet'!$E$9:$E$18),O85+1,"STOP")</f>
        <v>53</v>
      </c>
      <c r="P86" s="181">
        <f t="shared" si="5"/>
        <v>0</v>
      </c>
      <c r="Q86" s="231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6">
        <f>'Données projet'!A90</f>
        <v>25</v>
      </c>
      <c r="B87" s="177">
        <f>'Données projet'!D90</f>
        <v>33</v>
      </c>
      <c r="C87" s="187">
        <v>10</v>
      </c>
      <c r="D87" s="175">
        <f t="shared" si="6"/>
        <v>330</v>
      </c>
      <c r="E87" s="189"/>
      <c r="F87" s="228"/>
      <c r="G87" s="201"/>
      <c r="H87" s="186"/>
      <c r="I87" s="187"/>
      <c r="J87" s="4"/>
      <c r="K87" s="169"/>
      <c r="L87" s="4"/>
      <c r="M87" s="4"/>
      <c r="N87" s="4"/>
      <c r="O87" s="190">
        <f>IF(O86+1&lt;=MIN('Données projet'!$E$9:$E$18),O86+1,"STOP")</f>
        <v>54</v>
      </c>
      <c r="P87" s="181">
        <f t="shared" si="5"/>
        <v>0</v>
      </c>
      <c r="Q87" s="231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6">
        <f>'Données projet'!A91</f>
        <v>30</v>
      </c>
      <c r="B88" s="177">
        <f>'Données projet'!D91</f>
        <v>35</v>
      </c>
      <c r="C88" s="187">
        <v>10</v>
      </c>
      <c r="D88" s="175">
        <f t="shared" si="6"/>
        <v>350</v>
      </c>
      <c r="E88" s="189"/>
      <c r="F88" s="228"/>
      <c r="G88" s="201"/>
      <c r="H88" s="186"/>
      <c r="I88" s="187"/>
      <c r="J88" s="4"/>
      <c r="K88" s="169"/>
      <c r="L88" s="4"/>
      <c r="M88" s="4"/>
      <c r="N88" s="4"/>
      <c r="O88" s="190">
        <f>IF(O87+1&lt;=MIN('Données projet'!$E$9:$E$18),O87+1,"STOP")</f>
        <v>55</v>
      </c>
      <c r="P88" s="181">
        <f t="shared" si="5"/>
        <v>0</v>
      </c>
      <c r="Q88" s="231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6">
        <f>'Données projet'!A92</f>
        <v>35</v>
      </c>
      <c r="B89" s="177">
        <f>'Données projet'!D92</f>
        <v>35</v>
      </c>
      <c r="C89" s="187"/>
      <c r="D89" s="175">
        <f t="shared" si="6"/>
        <v>0</v>
      </c>
      <c r="E89" s="189"/>
      <c r="F89" s="228"/>
      <c r="G89" s="201"/>
      <c r="H89" s="186"/>
      <c r="I89" s="187"/>
      <c r="J89" s="4"/>
      <c r="K89" s="169"/>
      <c r="L89" s="4"/>
      <c r="M89" s="4"/>
      <c r="N89" s="4"/>
      <c r="O89" s="190">
        <f>IF(O88+1&lt;=MIN('Données projet'!$E$9:$E$18),O88+1,"STOP")</f>
        <v>56</v>
      </c>
      <c r="P89" s="181">
        <f t="shared" si="5"/>
        <v>0</v>
      </c>
      <c r="Q89" s="231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6">
        <f>'Données projet'!A93</f>
        <v>40</v>
      </c>
      <c r="B90" s="177">
        <f>'Données projet'!D93</f>
        <v>35</v>
      </c>
      <c r="C90" s="187"/>
      <c r="D90" s="175">
        <f t="shared" si="6"/>
        <v>0</v>
      </c>
      <c r="E90" s="189"/>
      <c r="F90" s="228"/>
      <c r="G90" s="201"/>
      <c r="H90" s="186"/>
      <c r="I90" s="187"/>
      <c r="J90" s="4"/>
      <c r="K90" s="169"/>
      <c r="L90" s="4"/>
      <c r="M90" s="4"/>
      <c r="N90" s="4"/>
      <c r="O90" s="190">
        <f>IF(O89+1&lt;=MIN('Données projet'!$E$9:$E$18),O89+1,"STOP")</f>
        <v>57</v>
      </c>
      <c r="P90" s="181">
        <f t="shared" si="5"/>
        <v>0</v>
      </c>
      <c r="Q90" s="231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6">
        <f>'Données projet'!A94</f>
        <v>45</v>
      </c>
      <c r="B91" s="177">
        <f>'Données projet'!D94</f>
        <v>35</v>
      </c>
      <c r="C91" s="187"/>
      <c r="D91" s="175">
        <f t="shared" si="6"/>
        <v>0</v>
      </c>
      <c r="E91" s="189"/>
      <c r="F91" s="228"/>
      <c r="G91" s="202"/>
      <c r="H91" s="186"/>
      <c r="I91" s="187"/>
      <c r="J91" s="4"/>
      <c r="K91" s="169"/>
      <c r="L91" s="4"/>
      <c r="M91" s="4"/>
      <c r="N91" s="4"/>
      <c r="O91" s="190">
        <f>IF(O90+1&lt;=MIN('Données projet'!$E$9:$E$18),O90+1,"STOP")</f>
        <v>58</v>
      </c>
      <c r="P91" s="181">
        <f t="shared" si="5"/>
        <v>0</v>
      </c>
      <c r="Q91" s="231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6">
        <f>'Données projet'!A95</f>
        <v>50</v>
      </c>
      <c r="B92" s="177">
        <f>'Données projet'!D95</f>
        <v>35</v>
      </c>
      <c r="C92" s="187"/>
      <c r="D92" s="175">
        <f t="shared" si="6"/>
        <v>0</v>
      </c>
      <c r="E92" s="189"/>
      <c r="F92" s="228"/>
      <c r="G92" s="202"/>
      <c r="H92" s="186"/>
      <c r="I92" s="187"/>
      <c r="J92" s="4"/>
      <c r="K92" s="169"/>
      <c r="L92" s="4"/>
      <c r="M92" s="4"/>
      <c r="N92" s="4"/>
      <c r="O92" s="190">
        <f>IF(O91+1&lt;=MIN('Données projet'!$E$9:$E$18),O91+1,"STOP")</f>
        <v>59</v>
      </c>
      <c r="P92" s="181">
        <f t="shared" si="5"/>
        <v>0</v>
      </c>
      <c r="Q92" s="231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6">
        <f>'Données projet'!A96</f>
        <v>55</v>
      </c>
      <c r="B93" s="177">
        <f>'Données projet'!D96</f>
        <v>35</v>
      </c>
      <c r="C93" s="187"/>
      <c r="D93" s="175">
        <f t="shared" si="6"/>
        <v>0</v>
      </c>
      <c r="E93" s="189"/>
      <c r="F93" s="228"/>
      <c r="G93" s="202"/>
      <c r="H93" s="186"/>
      <c r="I93" s="187"/>
      <c r="J93" s="4"/>
      <c r="K93" s="169"/>
      <c r="L93" s="4"/>
      <c r="M93" s="4"/>
      <c r="N93" s="4"/>
      <c r="O93" s="190">
        <f>IF(O92+1&lt;=MIN('Données projet'!$E$9:$E$18),O92+1,"STOP")</f>
        <v>60</v>
      </c>
      <c r="P93" s="181">
        <f t="shared" si="5"/>
        <v>0</v>
      </c>
      <c r="Q93" s="231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6">
        <f>'Données projet'!A97</f>
        <v>60</v>
      </c>
      <c r="B94" s="177">
        <f>'Données projet'!D97</f>
        <v>35</v>
      </c>
      <c r="C94" s="187"/>
      <c r="D94" s="175">
        <f t="shared" si="6"/>
        <v>0</v>
      </c>
      <c r="E94" s="189"/>
      <c r="F94" s="228"/>
      <c r="G94" s="202"/>
      <c r="H94" s="186"/>
      <c r="I94" s="187"/>
      <c r="J94" s="4"/>
      <c r="K94" s="169"/>
      <c r="L94" s="4"/>
      <c r="M94" s="4"/>
      <c r="N94" s="4"/>
      <c r="O94" s="190" t="str">
        <f>IF(O93+1&lt;=MIN('Données projet'!$E$9:$E$18),O93+1,"STOP")</f>
        <v>STOP</v>
      </c>
      <c r="P94" s="181" t="e">
        <f t="shared" si="5"/>
        <v>#VALUE!</v>
      </c>
      <c r="Q94" s="231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6">
        <f>'Données projet'!A98</f>
        <v>65</v>
      </c>
      <c r="B95" s="177">
        <f>'Données projet'!D98</f>
        <v>33</v>
      </c>
      <c r="C95" s="187"/>
      <c r="D95" s="175">
        <f t="shared" si="6"/>
        <v>0</v>
      </c>
      <c r="E95" s="189"/>
      <c r="F95" s="228"/>
      <c r="G95" s="202"/>
      <c r="H95" s="186"/>
      <c r="I95" s="187"/>
      <c r="J95" s="4"/>
      <c r="K95" s="169"/>
      <c r="L95" s="4"/>
      <c r="M95" s="4"/>
      <c r="N95" s="4"/>
      <c r="O95" s="190" t="e">
        <f>IF(O94+1&lt;=MIN('Données projet'!$E$9:$E$18),O94+1,"STOP")</f>
        <v>#VALUE!</v>
      </c>
      <c r="P95" s="181" t="e">
        <f t="shared" si="5"/>
        <v>#VALUE!</v>
      </c>
      <c r="Q95" s="231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6">
        <f>'Données projet'!A99</f>
        <v>70</v>
      </c>
      <c r="B96" s="177">
        <f>'Données projet'!D99</f>
        <v>30</v>
      </c>
      <c r="C96" s="187"/>
      <c r="D96" s="175">
        <f t="shared" si="6"/>
        <v>0</v>
      </c>
      <c r="E96" s="189"/>
      <c r="F96" s="228"/>
      <c r="G96" s="202"/>
      <c r="H96" s="186"/>
      <c r="I96" s="187"/>
      <c r="J96" s="4"/>
      <c r="K96" s="169"/>
      <c r="L96" s="4"/>
      <c r="M96" s="4"/>
      <c r="N96" s="4"/>
      <c r="O96" s="190" t="e">
        <f>IF(O95+1&lt;=MIN('Données projet'!$E$9:$E$18),O95+1,"STOP")</f>
        <v>#VALUE!</v>
      </c>
      <c r="P96" s="181" t="e">
        <f t="shared" si="5"/>
        <v>#VALUE!</v>
      </c>
      <c r="Q96" s="231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6">
        <f>'Données projet'!A100</f>
        <v>75</v>
      </c>
      <c r="B97" s="177">
        <f>'Données projet'!D100</f>
        <v>27</v>
      </c>
      <c r="C97" s="187"/>
      <c r="D97" s="175">
        <f t="shared" si="6"/>
        <v>0</v>
      </c>
      <c r="E97" s="189"/>
      <c r="F97" s="228"/>
      <c r="G97" s="202"/>
      <c r="H97" s="186"/>
      <c r="I97" s="187"/>
      <c r="J97" s="4"/>
      <c r="K97" s="169"/>
      <c r="L97" s="4"/>
      <c r="M97" s="4"/>
      <c r="N97" s="4"/>
      <c r="O97" s="190" t="e">
        <f>IF(O96+1&lt;=MIN('Données projet'!$E$9:$E$18),O96+1,"STOP")</f>
        <v>#VALUE!</v>
      </c>
      <c r="P97" s="181" t="e">
        <f t="shared" ref="P97:P128" si="7">$P$25/(1+$M$4)^O97</f>
        <v>#VALUE!</v>
      </c>
      <c r="Q97" s="231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6">
        <f>'Données projet'!A101</f>
        <v>80</v>
      </c>
      <c r="B98" s="177">
        <f>'Données projet'!D101</f>
        <v>24</v>
      </c>
      <c r="C98" s="187"/>
      <c r="D98" s="175">
        <f t="shared" si="6"/>
        <v>0</v>
      </c>
      <c r="E98" s="189"/>
      <c r="F98" s="228"/>
      <c r="G98" s="202"/>
      <c r="H98" s="186"/>
      <c r="I98" s="187"/>
      <c r="J98" s="4"/>
      <c r="K98" s="169"/>
      <c r="L98" s="4"/>
      <c r="M98" s="4"/>
      <c r="N98" s="4"/>
      <c r="O98" s="190" t="e">
        <f>IF(O97+1&lt;=MIN('Données projet'!$E$9:$E$18),O97+1,"STOP")</f>
        <v>#VALUE!</v>
      </c>
      <c r="P98" s="181" t="e">
        <f t="shared" si="7"/>
        <v>#VALUE!</v>
      </c>
      <c r="Q98" s="231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6">
        <f>'Données projet'!A102</f>
        <v>85</v>
      </c>
      <c r="B99" s="177">
        <f>'Données projet'!D102</f>
        <v>21</v>
      </c>
      <c r="C99" s="187"/>
      <c r="D99" s="175">
        <f t="shared" si="6"/>
        <v>0</v>
      </c>
      <c r="E99" s="189"/>
      <c r="F99" s="228"/>
      <c r="G99" s="202"/>
      <c r="H99" s="186"/>
      <c r="I99" s="187"/>
      <c r="J99" s="4"/>
      <c r="K99" s="169"/>
      <c r="L99" s="4"/>
      <c r="M99" s="4"/>
      <c r="N99" s="4"/>
      <c r="O99" s="190" t="e">
        <f>IF(O98+1&lt;=MIN('Données projet'!$E$9:$E$18),O98+1,"STOP")</f>
        <v>#VALUE!</v>
      </c>
      <c r="P99" s="181" t="e">
        <f t="shared" si="7"/>
        <v>#VALUE!</v>
      </c>
      <c r="Q99" s="231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6">
        <f>'Données projet'!A103</f>
        <v>90</v>
      </c>
      <c r="B100" s="177">
        <f>'Données projet'!D103</f>
        <v>17</v>
      </c>
      <c r="C100" s="187"/>
      <c r="D100" s="175">
        <f t="shared" si="6"/>
        <v>0</v>
      </c>
      <c r="E100" s="189"/>
      <c r="F100" s="228"/>
      <c r="G100" s="202"/>
      <c r="H100" s="186"/>
      <c r="I100" s="187"/>
      <c r="J100" s="4"/>
      <c r="K100" s="169"/>
      <c r="L100" s="4"/>
      <c r="M100" s="4"/>
      <c r="N100" s="4"/>
      <c r="O100" s="190" t="e">
        <f>IF(O99+1&lt;=MIN('Données projet'!$E$9:$E$18),O99+1,"STOP")</f>
        <v>#VALUE!</v>
      </c>
      <c r="P100" s="181" t="e">
        <f t="shared" si="7"/>
        <v>#VALUE!</v>
      </c>
      <c r="Q100" s="231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6">
        <f>'Données projet'!A104</f>
        <v>95</v>
      </c>
      <c r="B101" s="177">
        <f>'Données projet'!D104</f>
        <v>15</v>
      </c>
      <c r="C101" s="187"/>
      <c r="D101" s="175">
        <f t="shared" si="6"/>
        <v>0</v>
      </c>
      <c r="E101" s="189"/>
      <c r="F101" s="228"/>
      <c r="G101" s="202"/>
      <c r="H101" s="186"/>
      <c r="I101" s="187"/>
      <c r="J101" s="4"/>
      <c r="K101" s="169"/>
      <c r="L101" s="4"/>
      <c r="M101" s="4"/>
      <c r="N101" s="4"/>
      <c r="O101" s="190" t="e">
        <f>IF(O100+1&lt;=MIN('Données projet'!$E$9:$E$18),O100+1,"STOP")</f>
        <v>#VALUE!</v>
      </c>
      <c r="P101" s="181" t="e">
        <f t="shared" si="7"/>
        <v>#VALUE!</v>
      </c>
      <c r="Q101" s="231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6">
        <f>'Données projet'!A105</f>
        <v>100</v>
      </c>
      <c r="B102" s="177">
        <f>'Données projet'!D105</f>
        <v>12</v>
      </c>
      <c r="C102" s="187"/>
      <c r="D102" s="175">
        <f t="shared" si="6"/>
        <v>0</v>
      </c>
      <c r="E102" s="189"/>
      <c r="F102" s="228"/>
      <c r="G102" s="202"/>
      <c r="H102" s="186"/>
      <c r="I102" s="187"/>
      <c r="J102" s="4"/>
      <c r="K102" s="169"/>
      <c r="L102" s="4"/>
      <c r="M102" s="4"/>
      <c r="N102" s="4"/>
      <c r="O102" s="190" t="e">
        <f>IF(O101+1&lt;=MIN('Données projet'!$E$9:$E$18),O101+1,"STOP")</f>
        <v>#VALUE!</v>
      </c>
      <c r="P102" s="181" t="e">
        <f t="shared" si="7"/>
        <v>#VALUE!</v>
      </c>
      <c r="Q102" s="231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6">
        <f>'Données projet'!A106</f>
        <v>0</v>
      </c>
      <c r="B103" s="177">
        <f>'Données projet'!D106</f>
        <v>0</v>
      </c>
      <c r="C103" s="187"/>
      <c r="D103" s="175">
        <f t="shared" si="6"/>
        <v>0</v>
      </c>
      <c r="E103" s="189"/>
      <c r="F103" s="228"/>
      <c r="G103" s="202"/>
      <c r="H103" s="186"/>
      <c r="I103" s="187"/>
      <c r="J103" s="4"/>
      <c r="K103" s="169"/>
      <c r="L103" s="4"/>
      <c r="M103" s="4"/>
      <c r="N103" s="4"/>
      <c r="O103" s="190" t="e">
        <f>IF(O102+1&lt;=MIN('Données projet'!$E$9:$E$18),O102+1,"STOP")</f>
        <v>#VALUE!</v>
      </c>
      <c r="P103" s="181" t="e">
        <f t="shared" si="7"/>
        <v>#VALUE!</v>
      </c>
      <c r="Q103" s="231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6">
        <f>'Données projet'!A107</f>
        <v>0</v>
      </c>
      <c r="B104" s="177">
        <f>'Données projet'!D107</f>
        <v>0</v>
      </c>
      <c r="C104" s="187"/>
      <c r="D104" s="175">
        <f t="shared" si="6"/>
        <v>0</v>
      </c>
      <c r="E104" s="189"/>
      <c r="F104" s="228"/>
      <c r="G104" s="202"/>
      <c r="H104" s="186"/>
      <c r="I104" s="187"/>
      <c r="J104" s="4"/>
      <c r="K104" s="169"/>
      <c r="L104" s="4"/>
      <c r="M104" s="4"/>
      <c r="N104" s="4"/>
      <c r="O104" s="190" t="e">
        <f>IF(O103+1&lt;=MIN('Données projet'!$E$9:$E$18),O103+1,"STOP")</f>
        <v>#VALUE!</v>
      </c>
      <c r="P104" s="181" t="e">
        <f t="shared" si="7"/>
        <v>#VALUE!</v>
      </c>
      <c r="Q104" s="231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6"/>
      <c r="G105" s="202"/>
      <c r="H105" s="186"/>
      <c r="I105" s="187"/>
      <c r="J105" s="4"/>
      <c r="K105" s="169"/>
      <c r="L105" s="4"/>
      <c r="M105" s="4"/>
      <c r="N105" s="4"/>
      <c r="O105" s="190" t="e">
        <f>IF(O104+1&lt;=MIN('Données projet'!$E$9:$E$18),O104+1,"STOP")</f>
        <v>#VALUE!</v>
      </c>
      <c r="P105" s="181" t="e">
        <f t="shared" si="7"/>
        <v>#VALUE!</v>
      </c>
      <c r="Q105" s="231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6"/>
      <c r="G106" s="202"/>
      <c r="H106" s="186"/>
      <c r="I106" s="187"/>
      <c r="J106" s="4"/>
      <c r="K106" s="169"/>
      <c r="L106" s="4"/>
      <c r="M106" s="4"/>
      <c r="N106" s="4"/>
      <c r="O106" s="190" t="e">
        <f>IF(O105+1&lt;=MIN('Données projet'!$E$9:$E$18),O105+1,"STOP")</f>
        <v>#VALUE!</v>
      </c>
      <c r="P106" s="181" t="e">
        <f t="shared" si="7"/>
        <v>#VALUE!</v>
      </c>
      <c r="Q106" s="231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0" t="str">
        <f>IF('Données projet'!B12="","",'Données projet'!B12)</f>
        <v>Erable sycomore</v>
      </c>
      <c r="C107" s="4"/>
      <c r="D107" s="4"/>
      <c r="E107" s="4"/>
      <c r="F107" s="226"/>
      <c r="G107" s="202"/>
      <c r="H107" s="186"/>
      <c r="I107" s="187"/>
      <c r="J107" s="4"/>
      <c r="K107" s="169"/>
      <c r="L107" s="4"/>
      <c r="M107" s="4"/>
      <c r="N107" s="4"/>
      <c r="O107" s="190" t="e">
        <f>IF(O106+1&lt;=MIN('Données projet'!$E$9:$E$18),O106+1,"STOP")</f>
        <v>#VALUE!</v>
      </c>
      <c r="P107" s="181" t="e">
        <f t="shared" si="7"/>
        <v>#VALUE!</v>
      </c>
      <c r="Q107" s="231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6"/>
      <c r="G108" s="202"/>
      <c r="H108" s="186"/>
      <c r="I108" s="187"/>
      <c r="J108" s="4"/>
      <c r="K108" s="169"/>
      <c r="L108" s="4"/>
      <c r="M108" s="4"/>
      <c r="N108" s="4"/>
      <c r="O108" s="190" t="e">
        <f>IF(O107+1&lt;=MIN('Données projet'!$E$9:$E$18),O107+1,"STOP")</f>
        <v>#VALUE!</v>
      </c>
      <c r="P108" s="181" t="e">
        <f t="shared" si="7"/>
        <v>#VALUE!</v>
      </c>
      <c r="Q108" s="231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7"/>
      <c r="G109" s="202"/>
      <c r="H109" s="186"/>
      <c r="I109" s="187"/>
      <c r="J109" s="4"/>
      <c r="K109" s="169"/>
      <c r="L109" s="4"/>
      <c r="M109" s="4"/>
      <c r="N109" s="4"/>
      <c r="O109" s="190" t="e">
        <f>IF(O108+1&lt;=MIN('Données projet'!$E$9:$E$18),O108+1,"STOP")</f>
        <v>#VALUE!</v>
      </c>
      <c r="P109" s="181" t="e">
        <f t="shared" si="7"/>
        <v>#VALUE!</v>
      </c>
      <c r="Q109" s="231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5" t="s">
        <v>132</v>
      </c>
      <c r="C110" s="194" t="s">
        <v>132</v>
      </c>
      <c r="D110" s="193" t="s">
        <v>132</v>
      </c>
      <c r="E110" s="189">
        <v>3901.61</v>
      </c>
      <c r="F110" s="227"/>
      <c r="G110" s="202"/>
      <c r="H110" s="186"/>
      <c r="I110" s="187"/>
      <c r="J110" s="4"/>
      <c r="K110" s="169"/>
      <c r="L110" s="4"/>
      <c r="M110" s="4"/>
      <c r="N110" s="4"/>
      <c r="O110" s="190" t="e">
        <f>IF(O109+1&lt;=MIN('Données projet'!$E$9:$E$18),O109+1,"STOP")</f>
        <v>#VALUE!</v>
      </c>
      <c r="P110" s="181" t="e">
        <f t="shared" si="7"/>
        <v>#VALUE!</v>
      </c>
      <c r="Q110" s="231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5" t="s">
        <v>132</v>
      </c>
      <c r="C111" s="194" t="s">
        <v>132</v>
      </c>
      <c r="D111" s="193" t="s">
        <v>132</v>
      </c>
      <c r="E111" s="189"/>
      <c r="F111" s="227"/>
      <c r="G111" s="23"/>
      <c r="H111" s="186"/>
      <c r="I111" s="187"/>
      <c r="J111" s="4"/>
      <c r="K111" s="169"/>
      <c r="L111" s="4"/>
      <c r="M111" s="4"/>
      <c r="N111" s="4"/>
      <c r="O111" s="190" t="e">
        <f>IF(O110+1&lt;=MIN('Données projet'!$E$9:$E$18),O110+1,"STOP")</f>
        <v>#VALUE!</v>
      </c>
      <c r="P111" s="181" t="e">
        <f t="shared" si="7"/>
        <v>#VALUE!</v>
      </c>
      <c r="Q111" s="231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5" t="s">
        <v>132</v>
      </c>
      <c r="C112" s="194" t="s">
        <v>132</v>
      </c>
      <c r="D112" s="193" t="s">
        <v>132</v>
      </c>
      <c r="E112" s="189"/>
      <c r="F112" s="227"/>
      <c r="G112" s="23"/>
      <c r="H112" s="186"/>
      <c r="I112" s="187"/>
      <c r="J112" s="4"/>
      <c r="K112" s="169"/>
      <c r="L112" s="4"/>
      <c r="M112" s="4"/>
      <c r="N112" s="4"/>
      <c r="O112" s="190" t="e">
        <f>IF(O111+1&lt;=MIN('Données projet'!$E$9:$E$18),O111+1,"STOP")</f>
        <v>#VALUE!</v>
      </c>
      <c r="P112" s="181" t="e">
        <f t="shared" si="7"/>
        <v>#VALUE!</v>
      </c>
      <c r="Q112" s="231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5" t="s">
        <v>132</v>
      </c>
      <c r="C113" s="194" t="s">
        <v>132</v>
      </c>
      <c r="D113" s="193" t="s">
        <v>132</v>
      </c>
      <c r="E113" s="189"/>
      <c r="F113" s="227"/>
      <c r="G113" s="23"/>
      <c r="H113" s="186"/>
      <c r="I113" s="187"/>
      <c r="J113" s="4"/>
      <c r="K113" s="169"/>
      <c r="L113" s="4"/>
      <c r="M113" s="4"/>
      <c r="N113" s="4"/>
      <c r="O113" s="190" t="e">
        <f>IF(O112+1&lt;=MIN('Données projet'!$E$9:$E$18),O112+1,"STOP")</f>
        <v>#VALUE!</v>
      </c>
      <c r="P113" s="181" t="e">
        <f t="shared" si="7"/>
        <v>#VALUE!</v>
      </c>
      <c r="Q113" s="231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5" t="s">
        <v>132</v>
      </c>
      <c r="C114" s="194" t="s">
        <v>132</v>
      </c>
      <c r="D114" s="193" t="s">
        <v>132</v>
      </c>
      <c r="E114" s="189"/>
      <c r="F114" s="227"/>
      <c r="G114" s="23"/>
      <c r="H114" s="186"/>
      <c r="I114" s="187"/>
      <c r="J114" s="4"/>
      <c r="K114" s="169"/>
      <c r="L114" s="4"/>
      <c r="M114" s="4"/>
      <c r="N114" s="4"/>
      <c r="O114" s="190" t="e">
        <f>IF(O113+1&lt;=MIN('Données projet'!$E$9:$E$18),O113+1,"STOP")</f>
        <v>#VALUE!</v>
      </c>
      <c r="P114" s="181" t="e">
        <f t="shared" si="7"/>
        <v>#VALUE!</v>
      </c>
      <c r="Q114" s="231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5" t="s">
        <v>132</v>
      </c>
      <c r="C115" s="194" t="s">
        <v>132</v>
      </c>
      <c r="D115" s="193" t="s">
        <v>132</v>
      </c>
      <c r="E115" s="189"/>
      <c r="F115" s="227"/>
      <c r="G115" s="201"/>
      <c r="H115" s="186"/>
      <c r="I115" s="187"/>
      <c r="J115" s="4"/>
      <c r="K115" s="169"/>
      <c r="L115" s="4"/>
      <c r="M115" s="4"/>
      <c r="N115" s="4"/>
      <c r="O115" s="190" t="e">
        <f>IF(O114+1&lt;=MIN('Données projet'!$E$9:$E$18),O114+1,"STOP")</f>
        <v>#VALUE!</v>
      </c>
      <c r="P115" s="181" t="e">
        <f t="shared" si="7"/>
        <v>#VALUE!</v>
      </c>
      <c r="Q115" s="231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6">
        <f>'Données projet'!A114</f>
        <v>10</v>
      </c>
      <c r="B116" s="177">
        <f>'Données projet'!D114</f>
        <v>0</v>
      </c>
      <c r="C116" s="187"/>
      <c r="D116" s="175">
        <f>B116*C116</f>
        <v>0</v>
      </c>
      <c r="E116" s="189"/>
      <c r="F116" s="228"/>
      <c r="G116" s="201"/>
      <c r="H116" s="186"/>
      <c r="I116" s="187"/>
      <c r="J116" s="4"/>
      <c r="K116" s="169"/>
      <c r="L116" s="4"/>
      <c r="M116" s="4"/>
      <c r="N116" s="4"/>
      <c r="O116" s="190" t="e">
        <f>IF(O115+1&lt;=MIN('Données projet'!$E$9:$E$18),O115+1,"STOP")</f>
        <v>#VALUE!</v>
      </c>
      <c r="P116" s="181" t="e">
        <f t="shared" si="7"/>
        <v>#VALUE!</v>
      </c>
      <c r="Q116" s="231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6">
        <f>'Données projet'!A115</f>
        <v>15</v>
      </c>
      <c r="B117" s="177">
        <f>'Données projet'!D115</f>
        <v>32</v>
      </c>
      <c r="C117" s="187">
        <v>15</v>
      </c>
      <c r="D117" s="175">
        <f t="shared" ref="D117:D135" si="8">B117*C117</f>
        <v>480</v>
      </c>
      <c r="E117" s="189"/>
      <c r="F117" s="228"/>
      <c r="G117" s="201"/>
      <c r="H117" s="186"/>
      <c r="I117" s="187"/>
      <c r="J117" s="4"/>
      <c r="K117" s="169"/>
      <c r="L117" s="4"/>
      <c r="M117" s="4"/>
      <c r="N117" s="4"/>
      <c r="O117" s="190" t="e">
        <f>IF(O116+1&lt;=MIN('Données projet'!$E$9:$E$18),O116+1,"STOP")</f>
        <v>#VALUE!</v>
      </c>
      <c r="P117" s="181" t="e">
        <f t="shared" si="7"/>
        <v>#VALUE!</v>
      </c>
      <c r="Q117" s="231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6">
        <f>'Données projet'!A116</f>
        <v>20</v>
      </c>
      <c r="B118" s="177">
        <f>'Données projet'!D116</f>
        <v>35</v>
      </c>
      <c r="C118" s="187">
        <v>15</v>
      </c>
      <c r="D118" s="175">
        <f t="shared" si="8"/>
        <v>525</v>
      </c>
      <c r="E118" s="189"/>
      <c r="F118" s="228"/>
      <c r="G118" s="201"/>
      <c r="H118" s="186"/>
      <c r="I118" s="187"/>
      <c r="J118" s="4"/>
      <c r="K118" s="169"/>
      <c r="L118" s="4"/>
      <c r="M118" s="4"/>
      <c r="N118" s="4"/>
      <c r="O118" s="190" t="e">
        <f>IF(O117+1&lt;=MIN('Données projet'!$E$9:$E$18),O117+1,"STOP")</f>
        <v>#VALUE!</v>
      </c>
      <c r="P118" s="181" t="e">
        <f t="shared" si="7"/>
        <v>#VALUE!</v>
      </c>
      <c r="Q118" s="231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6">
        <f>'Données projet'!A117</f>
        <v>25</v>
      </c>
      <c r="B119" s="177">
        <f>'Données projet'!D117</f>
        <v>35</v>
      </c>
      <c r="C119" s="187">
        <v>15</v>
      </c>
      <c r="D119" s="175">
        <f t="shared" si="8"/>
        <v>525</v>
      </c>
      <c r="E119" s="189"/>
      <c r="F119" s="228"/>
      <c r="G119" s="201"/>
      <c r="H119" s="186"/>
      <c r="I119" s="187"/>
      <c r="J119" s="4"/>
      <c r="K119" s="169"/>
      <c r="L119" s="4"/>
      <c r="M119" s="4"/>
      <c r="N119" s="4"/>
      <c r="O119" s="190" t="e">
        <f>IF(O118+1&lt;=MIN('Données projet'!$E$9:$E$18),O118+1,"STOP")</f>
        <v>#VALUE!</v>
      </c>
      <c r="P119" s="181" t="e">
        <f t="shared" si="7"/>
        <v>#VALUE!</v>
      </c>
      <c r="Q119" s="231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6">
        <f>'Données projet'!A118</f>
        <v>30</v>
      </c>
      <c r="B120" s="177">
        <f>'Données projet'!D118</f>
        <v>35</v>
      </c>
      <c r="C120" s="187">
        <v>15</v>
      </c>
      <c r="D120" s="175">
        <f t="shared" si="8"/>
        <v>525</v>
      </c>
      <c r="E120" s="189"/>
      <c r="F120" s="228"/>
      <c r="G120" s="201"/>
      <c r="H120" s="186"/>
      <c r="I120" s="187"/>
      <c r="J120" s="4"/>
      <c r="K120" s="169"/>
      <c r="L120" s="4"/>
      <c r="M120" s="4"/>
      <c r="N120" s="4"/>
      <c r="O120" s="190" t="e">
        <f>IF(O119+1&lt;=MIN('Données projet'!$E$9:$E$18),O119+1,"STOP")</f>
        <v>#VALUE!</v>
      </c>
      <c r="P120" s="181" t="e">
        <f t="shared" si="7"/>
        <v>#VALUE!</v>
      </c>
      <c r="Q120" s="231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6">
        <f>'Données projet'!A119</f>
        <v>35</v>
      </c>
      <c r="B121" s="177">
        <f>'Données projet'!D119</f>
        <v>35</v>
      </c>
      <c r="C121" s="187"/>
      <c r="D121" s="175">
        <f t="shared" si="8"/>
        <v>0</v>
      </c>
      <c r="E121" s="189"/>
      <c r="F121" s="228"/>
      <c r="G121" s="201"/>
      <c r="H121" s="186"/>
      <c r="I121" s="187"/>
      <c r="J121" s="4"/>
      <c r="K121" s="169"/>
      <c r="L121" s="4"/>
      <c r="M121" s="4"/>
      <c r="N121" s="4"/>
      <c r="O121" s="190" t="e">
        <f>IF(O120+1&lt;=MIN('Données projet'!$E$9:$E$18),O120+1,"STOP")</f>
        <v>#VALUE!</v>
      </c>
      <c r="P121" s="181" t="e">
        <f t="shared" si="7"/>
        <v>#VALUE!</v>
      </c>
      <c r="Q121" s="231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6">
        <f>'Données projet'!A120</f>
        <v>40</v>
      </c>
      <c r="B122" s="177">
        <f>'Données projet'!D120</f>
        <v>35</v>
      </c>
      <c r="C122" s="187"/>
      <c r="D122" s="175">
        <f t="shared" si="8"/>
        <v>0</v>
      </c>
      <c r="E122" s="189"/>
      <c r="F122" s="228"/>
      <c r="G122" s="202"/>
      <c r="H122" s="186"/>
      <c r="I122" s="187"/>
      <c r="J122" s="4"/>
      <c r="K122" s="169"/>
      <c r="L122" s="4"/>
      <c r="M122" s="4"/>
      <c r="N122" s="4"/>
      <c r="O122" s="190" t="e">
        <f>IF(O121+1&lt;=MIN('Données projet'!$E$9:$E$18),O121+1,"STOP")</f>
        <v>#VALUE!</v>
      </c>
      <c r="P122" s="181" t="e">
        <f t="shared" si="7"/>
        <v>#VALUE!</v>
      </c>
      <c r="Q122" s="231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6">
        <f>'Données projet'!A121</f>
        <v>45</v>
      </c>
      <c r="B123" s="177">
        <f>'Données projet'!D121</f>
        <v>24</v>
      </c>
      <c r="C123" s="187"/>
      <c r="D123" s="175">
        <f t="shared" si="8"/>
        <v>0</v>
      </c>
      <c r="E123" s="189"/>
      <c r="F123" s="228"/>
      <c r="G123" s="202"/>
      <c r="H123" s="186"/>
      <c r="I123" s="187"/>
      <c r="J123" s="4"/>
      <c r="K123" s="169"/>
      <c r="L123" s="4"/>
      <c r="M123" s="4"/>
      <c r="N123" s="4"/>
      <c r="O123" s="190" t="e">
        <f>IF(O122+1&lt;=MIN('Données projet'!$E$9:$E$18),O122+1,"STOP")</f>
        <v>#VALUE!</v>
      </c>
      <c r="P123" s="181" t="e">
        <f t="shared" si="7"/>
        <v>#VALUE!</v>
      </c>
      <c r="Q123" s="231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6">
        <f>'Données projet'!A122</f>
        <v>50</v>
      </c>
      <c r="B124" s="177">
        <f>'Données projet'!D122</f>
        <v>19</v>
      </c>
      <c r="C124" s="187"/>
      <c r="D124" s="175">
        <f t="shared" si="8"/>
        <v>0</v>
      </c>
      <c r="E124" s="189"/>
      <c r="F124" s="228"/>
      <c r="G124" s="202"/>
      <c r="H124" s="186"/>
      <c r="I124" s="187"/>
      <c r="J124" s="4"/>
      <c r="K124" s="169"/>
      <c r="L124" s="4"/>
      <c r="M124" s="4"/>
      <c r="N124" s="4"/>
      <c r="O124" s="190" t="e">
        <f>IF(O123+1&lt;=MIN('Données projet'!$E$9:$E$18),O123+1,"STOP")</f>
        <v>#VALUE!</v>
      </c>
      <c r="P124" s="181" t="e">
        <f t="shared" si="7"/>
        <v>#VALUE!</v>
      </c>
      <c r="Q124" s="231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6">
        <f>'Données projet'!A123</f>
        <v>55</v>
      </c>
      <c r="B125" s="177">
        <f>'Données projet'!D123</f>
        <v>16</v>
      </c>
      <c r="C125" s="187"/>
      <c r="D125" s="175">
        <f t="shared" si="8"/>
        <v>0</v>
      </c>
      <c r="E125" s="189"/>
      <c r="F125" s="228"/>
      <c r="G125" s="202"/>
      <c r="H125" s="186"/>
      <c r="I125" s="187"/>
      <c r="J125" s="4"/>
      <c r="K125" s="169"/>
      <c r="L125" s="4"/>
      <c r="M125" s="4"/>
      <c r="N125" s="4"/>
      <c r="O125" s="190" t="e">
        <f>IF(O124+1&lt;=MIN('Données projet'!$E$9:$E$18),O124+1,"STOP")</f>
        <v>#VALUE!</v>
      </c>
      <c r="P125" s="181" t="e">
        <f t="shared" si="7"/>
        <v>#VALUE!</v>
      </c>
      <c r="Q125" s="231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6">
        <f>'Données projet'!A124</f>
        <v>60</v>
      </c>
      <c r="B126" s="177">
        <f>'Données projet'!D124</f>
        <v>14</v>
      </c>
      <c r="C126" s="187"/>
      <c r="D126" s="175">
        <f t="shared" si="8"/>
        <v>0</v>
      </c>
      <c r="E126" s="189"/>
      <c r="F126" s="228"/>
      <c r="G126" s="202"/>
      <c r="H126" s="186"/>
      <c r="I126" s="187"/>
      <c r="J126" s="4"/>
      <c r="K126" s="169"/>
      <c r="L126" s="4"/>
      <c r="M126" s="4"/>
      <c r="N126" s="4"/>
      <c r="O126" s="190" t="e">
        <f>IF(O125+1&lt;=MIN('Données projet'!$E$9:$E$18),O125+1,"STOP")</f>
        <v>#VALUE!</v>
      </c>
      <c r="P126" s="181" t="e">
        <f t="shared" si="7"/>
        <v>#VALUE!</v>
      </c>
      <c r="Q126" s="231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6">
        <f>'Données projet'!A125</f>
        <v>65</v>
      </c>
      <c r="B127" s="177">
        <f>'Données projet'!D125</f>
        <v>13</v>
      </c>
      <c r="C127" s="187"/>
      <c r="D127" s="175">
        <f t="shared" si="8"/>
        <v>0</v>
      </c>
      <c r="E127" s="189"/>
      <c r="F127" s="228"/>
      <c r="G127" s="202"/>
      <c r="H127" s="186"/>
      <c r="I127" s="187"/>
      <c r="J127" s="4"/>
      <c r="K127" s="169"/>
      <c r="L127" s="4"/>
      <c r="M127" s="4"/>
      <c r="N127" s="4"/>
      <c r="O127" s="190" t="e">
        <f>IF(O126+1&lt;=MIN('Données projet'!$E$9:$E$18),O126+1,"STOP")</f>
        <v>#VALUE!</v>
      </c>
      <c r="P127" s="181" t="e">
        <f t="shared" si="7"/>
        <v>#VALUE!</v>
      </c>
      <c r="Q127" s="231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6">
        <f>'Données projet'!A126</f>
        <v>70</v>
      </c>
      <c r="B128" s="177">
        <f>'Données projet'!D126</f>
        <v>13</v>
      </c>
      <c r="C128" s="187"/>
      <c r="D128" s="175">
        <f t="shared" si="8"/>
        <v>0</v>
      </c>
      <c r="E128" s="189"/>
      <c r="F128" s="228"/>
      <c r="G128" s="202"/>
      <c r="H128" s="186"/>
      <c r="I128" s="187"/>
      <c r="J128" s="4"/>
      <c r="K128" s="169"/>
      <c r="L128" s="4"/>
      <c r="M128" s="4"/>
      <c r="N128" s="4"/>
      <c r="O128" s="190" t="e">
        <f>IF(O127+1&lt;=MIN('Données projet'!$E$9:$E$18),O127+1,"STOP")</f>
        <v>#VALUE!</v>
      </c>
      <c r="P128" s="181" t="e">
        <f t="shared" si="7"/>
        <v>#VALUE!</v>
      </c>
      <c r="Q128" s="231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6">
        <f>'Données projet'!A127</f>
        <v>75</v>
      </c>
      <c r="B129" s="177">
        <f>'Données projet'!D127</f>
        <v>12</v>
      </c>
      <c r="C129" s="187"/>
      <c r="D129" s="175">
        <f t="shared" si="8"/>
        <v>0</v>
      </c>
      <c r="E129" s="189"/>
      <c r="F129" s="228"/>
      <c r="G129" s="202"/>
      <c r="H129" s="186"/>
      <c r="I129" s="187"/>
      <c r="J129" s="4"/>
      <c r="K129" s="169"/>
      <c r="L129" s="4"/>
      <c r="M129" s="4"/>
      <c r="N129" s="4"/>
      <c r="O129" s="190" t="e">
        <f>IF(O128+1&lt;=MIN('Données projet'!$E$9:$E$18),O128+1,"STOP")</f>
        <v>#VALUE!</v>
      </c>
      <c r="P129" s="181" t="e">
        <f t="shared" ref="P129:P132" si="9">$P$25/(1+$M$4)^O129</f>
        <v>#VALUE!</v>
      </c>
      <c r="Q129" s="231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6">
        <f>'Données projet'!A128</f>
        <v>80</v>
      </c>
      <c r="B130" s="177">
        <f>'Données projet'!D128</f>
        <v>11</v>
      </c>
      <c r="C130" s="187"/>
      <c r="D130" s="175">
        <f t="shared" si="8"/>
        <v>0</v>
      </c>
      <c r="E130" s="189"/>
      <c r="F130" s="228"/>
      <c r="G130" s="202"/>
      <c r="H130" s="186"/>
      <c r="I130" s="187"/>
      <c r="J130" s="4"/>
      <c r="K130" s="169"/>
      <c r="L130" s="4"/>
      <c r="M130" s="4"/>
      <c r="N130" s="4"/>
      <c r="O130" s="190" t="e">
        <f>IF(O129+1&lt;=MIN('Données projet'!$E$9:$E$18),O129+1,"STOP")</f>
        <v>#VALUE!</v>
      </c>
      <c r="P130" s="181" t="e">
        <f t="shared" si="9"/>
        <v>#VALUE!</v>
      </c>
      <c r="Q130" s="231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6">
        <f>'Données projet'!A129</f>
        <v>0</v>
      </c>
      <c r="B131" s="177">
        <f>'Données projet'!D129</f>
        <v>0</v>
      </c>
      <c r="C131" s="187"/>
      <c r="D131" s="175">
        <f t="shared" si="8"/>
        <v>0</v>
      </c>
      <c r="E131" s="189"/>
      <c r="F131" s="228"/>
      <c r="G131" s="202"/>
      <c r="H131" s="186"/>
      <c r="I131" s="187"/>
      <c r="J131" s="4"/>
      <c r="K131" s="169"/>
      <c r="L131" s="4"/>
      <c r="M131" s="4"/>
      <c r="N131" s="4"/>
      <c r="O131" s="190" t="e">
        <f>IF(O130+1&lt;=MIN('Données projet'!$E$9:$E$18),O130+1,"STOP")</f>
        <v>#VALUE!</v>
      </c>
      <c r="P131" s="181" t="e">
        <f t="shared" si="9"/>
        <v>#VALUE!</v>
      </c>
      <c r="Q131" s="231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6">
        <f>'Données projet'!A130</f>
        <v>0</v>
      </c>
      <c r="B132" s="177">
        <f>'Données projet'!D130</f>
        <v>0</v>
      </c>
      <c r="C132" s="187"/>
      <c r="D132" s="175">
        <f t="shared" si="8"/>
        <v>0</v>
      </c>
      <c r="E132" s="189"/>
      <c r="F132" s="228"/>
      <c r="G132" s="202"/>
      <c r="H132" s="186"/>
      <c r="I132" s="187"/>
      <c r="J132" s="4"/>
      <c r="K132" s="169"/>
      <c r="L132" s="4"/>
      <c r="M132" s="4"/>
      <c r="N132" s="4"/>
      <c r="O132" s="190" t="e">
        <f>IF(O131+1&lt;=MIN('Données projet'!$E$9:$E$18),O131+1,"STOP")</f>
        <v>#VALUE!</v>
      </c>
      <c r="P132" s="181" t="e">
        <f t="shared" si="9"/>
        <v>#VALUE!</v>
      </c>
      <c r="Q132" s="231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6">
        <f>'Données projet'!A131</f>
        <v>0</v>
      </c>
      <c r="B133" s="177">
        <f>'Données projet'!D131</f>
        <v>0</v>
      </c>
      <c r="C133" s="187"/>
      <c r="D133" s="175">
        <f t="shared" si="8"/>
        <v>0</v>
      </c>
      <c r="E133" s="189"/>
      <c r="F133" s="228"/>
      <c r="G133" s="202"/>
      <c r="H133" s="186"/>
      <c r="I133" s="187"/>
      <c r="J133" s="4"/>
      <c r="K133" s="169"/>
      <c r="Q133" s="231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6">
        <f>'Données projet'!A132</f>
        <v>0</v>
      </c>
      <c r="B134" s="177">
        <f>'Données projet'!D132</f>
        <v>0</v>
      </c>
      <c r="C134" s="187"/>
      <c r="D134" s="175">
        <f t="shared" si="8"/>
        <v>0</v>
      </c>
      <c r="E134" s="189"/>
      <c r="F134" s="228"/>
      <c r="G134" s="202"/>
      <c r="H134" s="186"/>
      <c r="I134" s="187"/>
      <c r="J134" s="4"/>
      <c r="K134" s="169"/>
      <c r="Q134" s="231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6">
        <f>'Données projet'!A133</f>
        <v>0</v>
      </c>
      <c r="B135" s="177">
        <f>'Données projet'!D133</f>
        <v>0</v>
      </c>
      <c r="C135" s="187"/>
      <c r="D135" s="175">
        <f t="shared" si="8"/>
        <v>0</v>
      </c>
      <c r="E135" s="189"/>
      <c r="F135" s="228"/>
      <c r="G135" s="202"/>
      <c r="H135" s="186"/>
      <c r="I135" s="187"/>
      <c r="J135" s="4"/>
      <c r="K135" s="169"/>
      <c r="Q135" s="231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6"/>
      <c r="G136" s="202"/>
      <c r="H136" s="186"/>
      <c r="I136" s="187"/>
      <c r="J136" s="4"/>
      <c r="K136" s="169"/>
      <c r="L136" s="4"/>
      <c r="M136" s="4"/>
      <c r="N136" s="4"/>
      <c r="Q136" s="231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6"/>
      <c r="G137" s="202"/>
      <c r="H137" s="186"/>
      <c r="I137" s="187"/>
      <c r="J137" s="4"/>
      <c r="K137" s="169"/>
      <c r="L137" s="4"/>
      <c r="M137" s="4"/>
      <c r="N137" s="4"/>
      <c r="Q137" s="231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0" t="str">
        <f>IF('Données projet'!B13="","",'Données projet'!B13)</f>
        <v>Sapin pectiné</v>
      </c>
      <c r="C138" s="4"/>
      <c r="D138" s="4"/>
      <c r="E138" s="4"/>
      <c r="F138" s="226"/>
      <c r="G138" s="202"/>
      <c r="H138" s="186"/>
      <c r="I138" s="187"/>
      <c r="J138" s="4"/>
      <c r="K138" s="169"/>
      <c r="L138" s="4"/>
      <c r="M138" s="4"/>
      <c r="N138" s="4"/>
      <c r="Q138" s="231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6"/>
      <c r="G139" s="202"/>
      <c r="H139" s="186"/>
      <c r="I139" s="187"/>
      <c r="J139" s="4"/>
      <c r="K139" s="169"/>
      <c r="L139" s="4"/>
      <c r="M139" s="4"/>
      <c r="N139" s="4"/>
      <c r="Q139" s="231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7"/>
      <c r="G140" s="202"/>
      <c r="H140" s="186"/>
      <c r="I140" s="187"/>
      <c r="J140" s="4"/>
      <c r="K140" s="169"/>
      <c r="L140" s="4"/>
      <c r="M140" s="4"/>
      <c r="N140" s="4"/>
      <c r="Q140" s="231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5" t="s">
        <v>132</v>
      </c>
      <c r="C141" s="194" t="s">
        <v>132</v>
      </c>
      <c r="D141" s="193" t="s">
        <v>132</v>
      </c>
      <c r="E141" s="189">
        <v>3053.45</v>
      </c>
      <c r="F141" s="227"/>
      <c r="G141" s="202"/>
      <c r="H141" s="186"/>
      <c r="I141" s="187"/>
      <c r="J141" s="4"/>
      <c r="K141" s="169"/>
      <c r="L141" s="4"/>
      <c r="M141" s="4"/>
      <c r="N141" s="4"/>
      <c r="Q141" s="231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5" t="s">
        <v>132</v>
      </c>
      <c r="C142" s="194" t="s">
        <v>132</v>
      </c>
      <c r="D142" s="193" t="s">
        <v>132</v>
      </c>
      <c r="E142" s="189"/>
      <c r="F142" s="227"/>
      <c r="G142" s="23"/>
      <c r="H142" s="186"/>
      <c r="I142" s="187"/>
      <c r="J142" s="4"/>
      <c r="K142" s="169"/>
      <c r="L142" s="4"/>
      <c r="M142" s="4"/>
      <c r="N142" s="4"/>
      <c r="Q142" s="231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5" t="s">
        <v>132</v>
      </c>
      <c r="C143" s="194" t="s">
        <v>132</v>
      </c>
      <c r="D143" s="193" t="s">
        <v>132</v>
      </c>
      <c r="E143" s="189"/>
      <c r="F143" s="227"/>
      <c r="G143" s="23"/>
      <c r="H143" s="186"/>
      <c r="I143" s="187"/>
      <c r="J143" s="4"/>
      <c r="K143" s="169"/>
      <c r="L143" s="4"/>
      <c r="M143" s="4"/>
      <c r="N143" s="4"/>
      <c r="Q143" s="231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5" t="s">
        <v>132</v>
      </c>
      <c r="C144" s="194" t="s">
        <v>132</v>
      </c>
      <c r="D144" s="193" t="s">
        <v>132</v>
      </c>
      <c r="E144" s="189"/>
      <c r="F144" s="227"/>
      <c r="G144" s="23"/>
      <c r="H144" s="186"/>
      <c r="I144" s="187"/>
      <c r="J144" s="4"/>
      <c r="K144" s="169"/>
      <c r="L144" s="4"/>
      <c r="M144" s="4"/>
      <c r="N144" s="4"/>
      <c r="Q144" s="231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5" t="s">
        <v>132</v>
      </c>
      <c r="C145" s="194" t="s">
        <v>132</v>
      </c>
      <c r="D145" s="193" t="s">
        <v>132</v>
      </c>
      <c r="E145" s="189"/>
      <c r="F145" s="227"/>
      <c r="G145" s="23"/>
      <c r="H145" s="186"/>
      <c r="I145" s="187"/>
      <c r="J145" s="4"/>
      <c r="K145" s="169"/>
      <c r="L145" s="4"/>
      <c r="M145" s="4"/>
      <c r="N145" s="4"/>
      <c r="Q145" s="231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5" t="s">
        <v>132</v>
      </c>
      <c r="C146" s="194" t="s">
        <v>132</v>
      </c>
      <c r="D146" s="193" t="s">
        <v>132</v>
      </c>
      <c r="E146" s="189"/>
      <c r="F146" s="227"/>
      <c r="G146" s="201"/>
      <c r="H146" s="186"/>
      <c r="I146" s="187"/>
      <c r="J146" s="4"/>
      <c r="K146" s="169"/>
      <c r="L146" s="4"/>
      <c r="M146" s="4"/>
      <c r="N146" s="4"/>
      <c r="Q146" s="231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15</v>
      </c>
      <c r="B147" s="171">
        <f>'Données projet'!D140</f>
        <v>0</v>
      </c>
      <c r="C147" s="187"/>
      <c r="D147" s="178">
        <f>B147*C147</f>
        <v>0</v>
      </c>
      <c r="E147" s="189"/>
      <c r="F147" s="229"/>
      <c r="G147" s="201"/>
      <c r="H147" s="186"/>
      <c r="I147" s="187"/>
      <c r="J147" s="4"/>
      <c r="K147" s="169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1">
        <f>'Données projet'!D141</f>
        <v>22</v>
      </c>
      <c r="C148" s="187">
        <v>10</v>
      </c>
      <c r="D148" s="178">
        <f t="shared" ref="D148:D166" si="10">B148*C148</f>
        <v>220</v>
      </c>
      <c r="E148" s="189"/>
      <c r="F148" s="229"/>
      <c r="G148" s="201"/>
      <c r="H148" s="186"/>
      <c r="I148" s="187"/>
      <c r="J148" s="4"/>
      <c r="K148" s="169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25</v>
      </c>
      <c r="B149" s="171">
        <f>'Données projet'!D142</f>
        <v>70</v>
      </c>
      <c r="C149" s="187">
        <v>10</v>
      </c>
      <c r="D149" s="178">
        <f t="shared" si="10"/>
        <v>700</v>
      </c>
      <c r="E149" s="189"/>
      <c r="F149" s="229"/>
      <c r="G149" s="201"/>
      <c r="H149" s="186"/>
      <c r="I149" s="187"/>
      <c r="J149" s="4"/>
      <c r="K149" s="169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30</v>
      </c>
      <c r="B150" s="171">
        <f>'Données projet'!D143</f>
        <v>70</v>
      </c>
      <c r="C150" s="187">
        <v>10</v>
      </c>
      <c r="D150" s="178">
        <f t="shared" si="10"/>
        <v>700</v>
      </c>
      <c r="E150" s="189"/>
      <c r="F150" s="229"/>
      <c r="G150" s="201"/>
      <c r="H150" s="186"/>
      <c r="I150" s="187"/>
      <c r="J150" s="4"/>
      <c r="K150" s="169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35</v>
      </c>
      <c r="B151" s="171">
        <f>'Données projet'!D144</f>
        <v>70</v>
      </c>
      <c r="C151" s="187"/>
      <c r="D151" s="178">
        <f t="shared" si="10"/>
        <v>0</v>
      </c>
      <c r="E151" s="189"/>
      <c r="F151" s="229"/>
      <c r="G151" s="201"/>
      <c r="H151" s="186"/>
      <c r="I151" s="187"/>
      <c r="J151" s="4"/>
      <c r="K151" s="169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40</v>
      </c>
      <c r="B152" s="171">
        <f>'Données projet'!D145</f>
        <v>70</v>
      </c>
      <c r="C152" s="187"/>
      <c r="D152" s="178">
        <f t="shared" si="10"/>
        <v>0</v>
      </c>
      <c r="E152" s="189"/>
      <c r="F152" s="229"/>
      <c r="G152" s="201"/>
      <c r="H152" s="186"/>
      <c r="I152" s="187"/>
      <c r="J152" s="4"/>
      <c r="K152" s="169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45</v>
      </c>
      <c r="B153" s="171">
        <f>'Données projet'!D146</f>
        <v>70</v>
      </c>
      <c r="C153" s="187"/>
      <c r="D153" s="178">
        <f t="shared" si="10"/>
        <v>0</v>
      </c>
      <c r="E153" s="189"/>
      <c r="F153" s="229"/>
      <c r="G153" s="199"/>
      <c r="H153" s="186"/>
      <c r="I153" s="187"/>
      <c r="J153" s="4"/>
      <c r="K153" s="169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50</v>
      </c>
      <c r="B154" s="171">
        <f>'Données projet'!D147</f>
        <v>70</v>
      </c>
      <c r="C154" s="187"/>
      <c r="D154" s="178">
        <f t="shared" si="10"/>
        <v>0</v>
      </c>
      <c r="E154" s="189"/>
      <c r="F154" s="229"/>
      <c r="G154" s="199"/>
      <c r="H154" s="186"/>
      <c r="I154" s="187"/>
      <c r="J154" s="4"/>
      <c r="K154" s="169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55</v>
      </c>
      <c r="B155" s="171">
        <f>'Données projet'!D148</f>
        <v>68</v>
      </c>
      <c r="C155" s="187"/>
      <c r="D155" s="178">
        <f t="shared" si="10"/>
        <v>0</v>
      </c>
      <c r="E155" s="189"/>
      <c r="F155" s="229"/>
      <c r="G155" s="199"/>
      <c r="H155" s="186"/>
      <c r="I155" s="187"/>
      <c r="J155" s="4"/>
      <c r="K155" s="169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60</v>
      </c>
      <c r="B156" s="171">
        <f>'Données projet'!D149</f>
        <v>60</v>
      </c>
      <c r="C156" s="187"/>
      <c r="D156" s="178">
        <f t="shared" si="10"/>
        <v>0</v>
      </c>
      <c r="E156" s="189"/>
      <c r="F156" s="229"/>
      <c r="G156" s="199"/>
      <c r="H156" s="186"/>
      <c r="I156" s="187"/>
      <c r="J156" s="4"/>
      <c r="K156" s="169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65</v>
      </c>
      <c r="B157" s="171">
        <f>'Données projet'!D150</f>
        <v>56</v>
      </c>
      <c r="C157" s="187"/>
      <c r="D157" s="178">
        <f t="shared" si="10"/>
        <v>0</v>
      </c>
      <c r="E157" s="189"/>
      <c r="F157" s="229"/>
      <c r="G157" s="199"/>
      <c r="H157" s="186"/>
      <c r="I157" s="187"/>
      <c r="J157" s="4"/>
      <c r="K157" s="169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70</v>
      </c>
      <c r="B158" s="171">
        <f>'Données projet'!D151</f>
        <v>54</v>
      </c>
      <c r="C158" s="187"/>
      <c r="D158" s="178">
        <f t="shared" si="10"/>
        <v>0</v>
      </c>
      <c r="E158" s="189"/>
      <c r="F158" s="229"/>
      <c r="G158" s="199"/>
      <c r="H158" s="186"/>
      <c r="I158" s="187"/>
      <c r="J158" s="4"/>
      <c r="K158" s="169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75</v>
      </c>
      <c r="B159" s="171">
        <f>'Données projet'!D152</f>
        <v>52</v>
      </c>
      <c r="C159" s="187"/>
      <c r="D159" s="178">
        <f t="shared" si="10"/>
        <v>0</v>
      </c>
      <c r="E159" s="189"/>
      <c r="F159" s="229"/>
      <c r="G159" s="199"/>
      <c r="H159" s="186"/>
      <c r="I159" s="187"/>
      <c r="J159" s="4"/>
      <c r="K159" s="169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80</v>
      </c>
      <c r="B160" s="171">
        <f>'Données projet'!D153</f>
        <v>51</v>
      </c>
      <c r="C160" s="187"/>
      <c r="D160" s="178">
        <f t="shared" si="10"/>
        <v>0</v>
      </c>
      <c r="E160" s="189"/>
      <c r="F160" s="229"/>
      <c r="G160" s="199"/>
      <c r="H160" s="186"/>
      <c r="I160" s="187"/>
      <c r="J160" s="4"/>
      <c r="K160" s="169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1">
        <f>'Données projet'!D154</f>
        <v>0</v>
      </c>
      <c r="C161" s="187"/>
      <c r="D161" s="178">
        <f t="shared" si="10"/>
        <v>0</v>
      </c>
      <c r="E161" s="189"/>
      <c r="F161" s="229"/>
      <c r="G161" s="199"/>
      <c r="H161" s="186"/>
      <c r="I161" s="187"/>
      <c r="J161" s="4"/>
      <c r="K161" s="169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1">
        <f>'Données projet'!D155</f>
        <v>0</v>
      </c>
      <c r="C162" s="187"/>
      <c r="D162" s="178">
        <f t="shared" si="10"/>
        <v>0</v>
      </c>
      <c r="E162" s="189"/>
      <c r="F162" s="229"/>
      <c r="G162" s="199"/>
      <c r="H162" s="186"/>
      <c r="I162" s="187"/>
      <c r="J162" s="4"/>
      <c r="K162" s="169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1">
        <f>'Données projet'!D156</f>
        <v>0</v>
      </c>
      <c r="C163" s="187"/>
      <c r="D163" s="178">
        <f t="shared" si="10"/>
        <v>0</v>
      </c>
      <c r="E163" s="189"/>
      <c r="F163" s="229"/>
      <c r="G163" s="199"/>
      <c r="H163" s="186"/>
      <c r="I163" s="187"/>
      <c r="J163" s="4"/>
      <c r="K163" s="169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1">
        <f>'Données projet'!D157</f>
        <v>0</v>
      </c>
      <c r="C164" s="187"/>
      <c r="D164" s="178">
        <f t="shared" si="10"/>
        <v>0</v>
      </c>
      <c r="E164" s="189"/>
      <c r="F164" s="229"/>
      <c r="G164" s="199"/>
      <c r="H164" s="186"/>
      <c r="I164" s="187"/>
      <c r="J164" s="4"/>
      <c r="K164" s="169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1">
        <f>'Données projet'!D158</f>
        <v>0</v>
      </c>
      <c r="C165" s="187"/>
      <c r="D165" s="178">
        <f t="shared" si="10"/>
        <v>0</v>
      </c>
      <c r="E165" s="189"/>
      <c r="F165" s="229"/>
      <c r="G165" s="199"/>
      <c r="H165" s="186"/>
      <c r="I165" s="187"/>
      <c r="J165" s="4"/>
      <c r="K165" s="169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1">
        <f>'Données projet'!D159</f>
        <v>0</v>
      </c>
      <c r="C166" s="187"/>
      <c r="D166" s="178">
        <f t="shared" si="10"/>
        <v>0</v>
      </c>
      <c r="E166" s="189"/>
      <c r="F166" s="229"/>
      <c r="G166" s="199"/>
      <c r="H166" s="186"/>
      <c r="I166" s="187"/>
      <c r="J166" s="4"/>
      <c r="K166" s="169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6"/>
      <c r="G167" s="199"/>
      <c r="H167" s="186"/>
      <c r="I167" s="187"/>
      <c r="J167" s="4"/>
      <c r="K167" s="169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6"/>
      <c r="G168" s="199"/>
      <c r="H168" s="186"/>
      <c r="I168" s="187"/>
      <c r="J168" s="4"/>
      <c r="K168" s="169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0" t="str">
        <f>IF('Données projet'!B14="","",'Données projet'!B14)</f>
        <v>Pin sylvestre</v>
      </c>
      <c r="C169" s="4"/>
      <c r="D169" s="4"/>
      <c r="E169" s="4"/>
      <c r="F169" s="226"/>
      <c r="G169" s="199"/>
      <c r="H169" s="186"/>
      <c r="I169" s="187"/>
      <c r="J169" s="4"/>
      <c r="K169" s="169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6"/>
      <c r="G170" s="199"/>
      <c r="H170" s="186"/>
      <c r="I170" s="187"/>
      <c r="J170" s="4"/>
      <c r="K170" s="169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7"/>
      <c r="G171" s="199"/>
      <c r="H171" s="186"/>
      <c r="I171" s="187"/>
      <c r="J171" s="4"/>
      <c r="K171" s="169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5" t="s">
        <v>132</v>
      </c>
      <c r="C172" s="194" t="s">
        <v>132</v>
      </c>
      <c r="D172" s="193" t="s">
        <v>132</v>
      </c>
      <c r="E172" s="189">
        <v>3646.88</v>
      </c>
      <c r="F172" s="227"/>
      <c r="G172" s="199"/>
      <c r="H172" s="186"/>
      <c r="I172" s="187"/>
      <c r="J172" s="4"/>
      <c r="K172" s="169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5" t="s">
        <v>132</v>
      </c>
      <c r="C173" s="194" t="s">
        <v>132</v>
      </c>
      <c r="D173" s="193" t="s">
        <v>132</v>
      </c>
      <c r="E173" s="189"/>
      <c r="F173" s="227"/>
      <c r="G173" s="23"/>
      <c r="H173" s="186"/>
      <c r="I173" s="187"/>
      <c r="J173" s="4"/>
      <c r="K173" s="169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5" t="s">
        <v>132</v>
      </c>
      <c r="C174" s="194" t="s">
        <v>132</v>
      </c>
      <c r="D174" s="193" t="s">
        <v>132</v>
      </c>
      <c r="E174" s="189"/>
      <c r="F174" s="227"/>
      <c r="G174" s="23"/>
      <c r="H174" s="186"/>
      <c r="I174" s="187"/>
      <c r="J174" s="4"/>
      <c r="K174" s="169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5" t="s">
        <v>132</v>
      </c>
      <c r="C175" s="194" t="s">
        <v>132</v>
      </c>
      <c r="D175" s="193" t="s">
        <v>132</v>
      </c>
      <c r="E175" s="189"/>
      <c r="F175" s="227"/>
      <c r="G175" s="23"/>
      <c r="H175" s="186"/>
      <c r="I175" s="187"/>
      <c r="J175" s="4"/>
      <c r="K175" s="169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5" t="s">
        <v>132</v>
      </c>
      <c r="C176" s="194" t="s">
        <v>132</v>
      </c>
      <c r="D176" s="193" t="s">
        <v>132</v>
      </c>
      <c r="E176" s="189"/>
      <c r="F176" s="227"/>
      <c r="G176" s="23"/>
      <c r="H176" s="186"/>
      <c r="I176" s="187"/>
      <c r="J176" s="4"/>
      <c r="K176" s="169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5" t="s">
        <v>132</v>
      </c>
      <c r="C177" s="194" t="s">
        <v>132</v>
      </c>
      <c r="D177" s="193" t="s">
        <v>132</v>
      </c>
      <c r="E177" s="189"/>
      <c r="F177" s="227"/>
      <c r="G177" s="201"/>
      <c r="H177" s="186"/>
      <c r="I177" s="187"/>
      <c r="J177" s="4"/>
      <c r="K177" s="169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6">
        <f>'Données projet'!A166</f>
        <v>15</v>
      </c>
      <c r="B178" s="177">
        <f>'Données projet'!D166</f>
        <v>0</v>
      </c>
      <c r="C178" s="189"/>
      <c r="D178" s="175">
        <f>B178*C178</f>
        <v>0</v>
      </c>
      <c r="E178" s="189"/>
      <c r="F178" s="228"/>
      <c r="G178" s="201"/>
      <c r="H178" s="186"/>
      <c r="I178" s="187"/>
      <c r="J178" s="4"/>
      <c r="K178" s="169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6">
        <f>'Données projet'!A167</f>
        <v>20</v>
      </c>
      <c r="B179" s="177">
        <f>'Données projet'!D167</f>
        <v>18</v>
      </c>
      <c r="C179" s="189">
        <v>10</v>
      </c>
      <c r="D179" s="175">
        <f t="shared" ref="D179:D197" si="11">B179*C179</f>
        <v>180</v>
      </c>
      <c r="E179" s="189"/>
      <c r="F179" s="228"/>
      <c r="G179" s="201"/>
      <c r="H179" s="186"/>
      <c r="I179" s="187"/>
      <c r="J179" s="4"/>
      <c r="K179" s="169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6">
        <f>'Données projet'!A168</f>
        <v>25</v>
      </c>
      <c r="B180" s="177">
        <f>'Données projet'!D168</f>
        <v>42</v>
      </c>
      <c r="C180" s="189">
        <v>10</v>
      </c>
      <c r="D180" s="175">
        <f t="shared" si="11"/>
        <v>420</v>
      </c>
      <c r="E180" s="189"/>
      <c r="F180" s="228"/>
      <c r="G180" s="201"/>
      <c r="H180" s="186"/>
      <c r="I180" s="187"/>
      <c r="J180" s="4"/>
      <c r="K180" s="169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6">
        <f>'Données projet'!A169</f>
        <v>30</v>
      </c>
      <c r="B181" s="177">
        <f>'Données projet'!D169</f>
        <v>42</v>
      </c>
      <c r="C181" s="189">
        <v>10</v>
      </c>
      <c r="D181" s="175">
        <f>B181*C181</f>
        <v>420</v>
      </c>
      <c r="E181" s="189"/>
      <c r="F181" s="228"/>
      <c r="G181" s="201"/>
      <c r="H181" s="186"/>
      <c r="I181" s="187"/>
      <c r="J181" s="4"/>
      <c r="K181" s="169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6">
        <f>'Données projet'!A170</f>
        <v>35</v>
      </c>
      <c r="B182" s="177">
        <f>'Données projet'!D170</f>
        <v>42</v>
      </c>
      <c r="C182" s="189"/>
      <c r="D182" s="175">
        <f>B182*C182</f>
        <v>0</v>
      </c>
      <c r="E182" s="189"/>
      <c r="F182" s="228"/>
      <c r="G182" s="201"/>
      <c r="H182" s="186"/>
      <c r="I182" s="187"/>
      <c r="J182" s="4"/>
      <c r="K182" s="169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6">
        <f>'Données projet'!A171</f>
        <v>40</v>
      </c>
      <c r="B183" s="177">
        <f>'Données projet'!D171</f>
        <v>42</v>
      </c>
      <c r="C183" s="189"/>
      <c r="D183" s="175">
        <f t="shared" si="11"/>
        <v>0</v>
      </c>
      <c r="E183" s="189"/>
      <c r="F183" s="228"/>
      <c r="G183" s="201"/>
      <c r="H183" s="186"/>
      <c r="I183" s="187"/>
      <c r="J183" s="4"/>
      <c r="K183" s="169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6">
        <f>'Données projet'!A172</f>
        <v>45</v>
      </c>
      <c r="B184" s="177">
        <f>'Données projet'!D172</f>
        <v>42</v>
      </c>
      <c r="C184" s="189"/>
      <c r="D184" s="175">
        <f t="shared" si="11"/>
        <v>0</v>
      </c>
      <c r="E184" s="189"/>
      <c r="F184" s="228"/>
      <c r="G184" s="202"/>
      <c r="H184" s="186"/>
      <c r="I184" s="187"/>
      <c r="J184" s="4"/>
      <c r="K184" s="169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6">
        <f>'Données projet'!A173</f>
        <v>50</v>
      </c>
      <c r="B185" s="177">
        <f>'Données projet'!D173</f>
        <v>42</v>
      </c>
      <c r="C185" s="189"/>
      <c r="D185" s="175">
        <f t="shared" si="11"/>
        <v>0</v>
      </c>
      <c r="E185" s="189"/>
      <c r="F185" s="228"/>
      <c r="G185" s="202"/>
      <c r="H185" s="186"/>
      <c r="I185" s="187"/>
      <c r="J185" s="4"/>
      <c r="K185" s="169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6">
        <f>'Données projet'!A174</f>
        <v>55</v>
      </c>
      <c r="B186" s="177">
        <f>'Données projet'!D174</f>
        <v>42</v>
      </c>
      <c r="C186" s="189"/>
      <c r="D186" s="175">
        <f t="shared" si="11"/>
        <v>0</v>
      </c>
      <c r="E186" s="189"/>
      <c r="F186" s="228"/>
      <c r="G186" s="202"/>
      <c r="H186" s="186"/>
      <c r="I186" s="187"/>
      <c r="J186" s="4"/>
      <c r="K186" s="169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6">
        <f>'Données projet'!A175</f>
        <v>60</v>
      </c>
      <c r="B187" s="177">
        <f>'Données projet'!D175</f>
        <v>40</v>
      </c>
      <c r="C187" s="189"/>
      <c r="D187" s="175">
        <f t="shared" si="11"/>
        <v>0</v>
      </c>
      <c r="E187" s="189"/>
      <c r="F187" s="228"/>
      <c r="G187" s="202"/>
      <c r="H187" s="186"/>
      <c r="I187" s="187"/>
      <c r="J187" s="4"/>
      <c r="K187" s="169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6">
        <f>'Données projet'!A176</f>
        <v>65</v>
      </c>
      <c r="B188" s="177">
        <f>'Données projet'!D176</f>
        <v>37</v>
      </c>
      <c r="C188" s="189"/>
      <c r="D188" s="175">
        <f t="shared" si="11"/>
        <v>0</v>
      </c>
      <c r="E188" s="189"/>
      <c r="F188" s="228"/>
      <c r="G188" s="202"/>
      <c r="H188" s="186"/>
      <c r="I188" s="187"/>
      <c r="J188" s="4"/>
      <c r="K188" s="169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6">
        <f>'Données projet'!A177</f>
        <v>70</v>
      </c>
      <c r="B189" s="177">
        <f>'Données projet'!D177</f>
        <v>33</v>
      </c>
      <c r="C189" s="189"/>
      <c r="D189" s="175">
        <f t="shared" si="11"/>
        <v>0</v>
      </c>
      <c r="E189" s="189"/>
      <c r="F189" s="228"/>
      <c r="G189" s="202"/>
      <c r="H189" s="186"/>
      <c r="I189" s="187"/>
      <c r="J189" s="4"/>
      <c r="K189" s="169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6">
        <f>'Données projet'!A178</f>
        <v>75</v>
      </c>
      <c r="B190" s="177">
        <f>'Données projet'!D178</f>
        <v>30</v>
      </c>
      <c r="C190" s="189"/>
      <c r="D190" s="175">
        <f t="shared" si="11"/>
        <v>0</v>
      </c>
      <c r="E190" s="189"/>
      <c r="F190" s="228"/>
      <c r="G190" s="202"/>
      <c r="H190" s="186"/>
      <c r="I190" s="187"/>
      <c r="J190" s="4"/>
      <c r="K190" s="169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6">
        <f>'Données projet'!A179</f>
        <v>80</v>
      </c>
      <c r="B191" s="177">
        <f>'Données projet'!D179</f>
        <v>26</v>
      </c>
      <c r="C191" s="189"/>
      <c r="D191" s="175">
        <f t="shared" si="11"/>
        <v>0</v>
      </c>
      <c r="E191" s="189"/>
      <c r="F191" s="228"/>
      <c r="G191" s="202"/>
      <c r="H191" s="186"/>
      <c r="I191" s="187"/>
      <c r="J191" s="4"/>
      <c r="K191" s="169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6">
        <f>'Données projet'!A180</f>
        <v>85</v>
      </c>
      <c r="B192" s="177">
        <f>'Données projet'!D180</f>
        <v>23</v>
      </c>
      <c r="C192" s="189"/>
      <c r="D192" s="175">
        <f t="shared" si="11"/>
        <v>0</v>
      </c>
      <c r="E192" s="189"/>
      <c r="F192" s="228"/>
      <c r="G192" s="202"/>
      <c r="H192" s="186"/>
      <c r="I192" s="187"/>
      <c r="J192" s="4"/>
      <c r="K192" s="169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6">
        <f>'Données projet'!A181</f>
        <v>90</v>
      </c>
      <c r="B193" s="177">
        <f>'Données projet'!D181</f>
        <v>20</v>
      </c>
      <c r="C193" s="189"/>
      <c r="D193" s="175">
        <f t="shared" si="11"/>
        <v>0</v>
      </c>
      <c r="E193" s="189"/>
      <c r="F193" s="228"/>
      <c r="G193" s="202"/>
      <c r="H193" s="186"/>
      <c r="I193" s="187"/>
      <c r="J193" s="4"/>
      <c r="K193" s="169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6">
        <f>'Données projet'!A182</f>
        <v>95</v>
      </c>
      <c r="B194" s="177">
        <f>'Données projet'!D182</f>
        <v>17</v>
      </c>
      <c r="C194" s="189"/>
      <c r="D194" s="175">
        <f t="shared" si="11"/>
        <v>0</v>
      </c>
      <c r="E194" s="189"/>
      <c r="F194" s="228"/>
      <c r="G194" s="202"/>
      <c r="H194" s="186"/>
      <c r="I194" s="187"/>
      <c r="J194" s="4"/>
      <c r="K194" s="169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6">
        <f>'Données projet'!A183</f>
        <v>100</v>
      </c>
      <c r="B195" s="177">
        <f>'Données projet'!D183</f>
        <v>15</v>
      </c>
      <c r="C195" s="189"/>
      <c r="D195" s="175">
        <f t="shared" si="11"/>
        <v>0</v>
      </c>
      <c r="E195" s="189"/>
      <c r="F195" s="228"/>
      <c r="G195" s="202"/>
      <c r="H195" s="186"/>
      <c r="I195" s="187"/>
      <c r="J195" s="4"/>
      <c r="K195" s="169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6">
        <f>'Données projet'!A184</f>
        <v>0</v>
      </c>
      <c r="B196" s="177">
        <f>'Données projet'!D184</f>
        <v>0</v>
      </c>
      <c r="C196" s="189"/>
      <c r="D196" s="175">
        <f t="shared" si="11"/>
        <v>0</v>
      </c>
      <c r="E196" s="189"/>
      <c r="F196" s="228"/>
      <c r="G196" s="202"/>
      <c r="H196" s="186"/>
      <c r="I196" s="187"/>
      <c r="J196" s="4"/>
      <c r="K196" s="169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6">
        <f>'Données projet'!A185</f>
        <v>0</v>
      </c>
      <c r="B197" s="177">
        <f>'Données projet'!D185</f>
        <v>0</v>
      </c>
      <c r="C197" s="189"/>
      <c r="D197" s="175">
        <f t="shared" si="11"/>
        <v>0</v>
      </c>
      <c r="E197" s="189"/>
      <c r="F197" s="228"/>
      <c r="G197" s="202"/>
      <c r="H197" s="186"/>
      <c r="I197" s="187"/>
      <c r="J197" s="4"/>
      <c r="K197" s="169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6"/>
      <c r="G198" s="202"/>
      <c r="H198" s="186"/>
      <c r="I198" s="187"/>
      <c r="J198" s="4"/>
      <c r="K198" s="169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6"/>
      <c r="G199" s="202"/>
      <c r="H199" s="186"/>
      <c r="I199" s="187"/>
      <c r="J199" s="4"/>
      <c r="K199" s="169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0" t="str">
        <f>IF('Données projet'!$B$15="","",'Données projet'!$B$15)</f>
        <v>Mélèze d'Europe</v>
      </c>
      <c r="C200" s="4"/>
      <c r="D200" s="4"/>
      <c r="E200" s="4"/>
      <c r="F200" s="226"/>
      <c r="G200" s="202"/>
      <c r="H200" s="186"/>
      <c r="I200" s="187"/>
      <c r="J200" s="4"/>
      <c r="K200" s="169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6"/>
      <c r="G201" s="202"/>
      <c r="H201" s="186"/>
      <c r="I201" s="187"/>
      <c r="J201" s="4"/>
      <c r="K201" s="169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7"/>
      <c r="G202" s="202"/>
      <c r="H202" s="186"/>
      <c r="I202" s="187"/>
      <c r="J202" s="4"/>
      <c r="K202" s="169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5" t="s">
        <v>132</v>
      </c>
      <c r="C203" s="194" t="s">
        <v>132</v>
      </c>
      <c r="D203" s="193" t="s">
        <v>132</v>
      </c>
      <c r="E203" s="189">
        <v>3002.59</v>
      </c>
      <c r="F203" s="227"/>
      <c r="G203" s="202"/>
      <c r="H203" s="186"/>
      <c r="I203" s="187"/>
      <c r="J203" s="4"/>
      <c r="K203" s="169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5" t="s">
        <v>132</v>
      </c>
      <c r="C204" s="194" t="s">
        <v>132</v>
      </c>
      <c r="D204" s="193" t="s">
        <v>132</v>
      </c>
      <c r="E204" s="189"/>
      <c r="F204" s="227"/>
      <c r="G204" s="23"/>
      <c r="H204" s="186"/>
      <c r="I204" s="187"/>
      <c r="J204" s="4"/>
      <c r="K204" s="169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5" t="s">
        <v>132</v>
      </c>
      <c r="C205" s="194" t="s">
        <v>132</v>
      </c>
      <c r="D205" s="193" t="s">
        <v>132</v>
      </c>
      <c r="E205" s="189"/>
      <c r="F205" s="227"/>
      <c r="G205" s="23"/>
      <c r="H205" s="186"/>
      <c r="I205" s="187"/>
      <c r="J205" s="4"/>
      <c r="K205" s="169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5" t="s">
        <v>132</v>
      </c>
      <c r="C206" s="194" t="s">
        <v>132</v>
      </c>
      <c r="D206" s="193" t="s">
        <v>132</v>
      </c>
      <c r="E206" s="189"/>
      <c r="F206" s="227"/>
      <c r="G206" s="23"/>
      <c r="H206" s="186"/>
      <c r="I206" s="187"/>
      <c r="J206" s="4"/>
      <c r="K206" s="169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5" t="s">
        <v>132</v>
      </c>
      <c r="C207" s="194" t="s">
        <v>132</v>
      </c>
      <c r="D207" s="193" t="s">
        <v>132</v>
      </c>
      <c r="E207" s="189"/>
      <c r="F207" s="227"/>
      <c r="G207" s="23"/>
      <c r="H207" s="186"/>
      <c r="I207" s="187"/>
      <c r="J207" s="4"/>
      <c r="K207" s="169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5" t="s">
        <v>132</v>
      </c>
      <c r="C208" s="194" t="s">
        <v>132</v>
      </c>
      <c r="D208" s="193" t="s">
        <v>132</v>
      </c>
      <c r="E208" s="189"/>
      <c r="F208" s="227"/>
      <c r="G208" s="201"/>
      <c r="H208" s="186"/>
      <c r="I208" s="187"/>
      <c r="J208" s="4"/>
      <c r="K208" s="169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6">
        <f>'Données projet'!A192</f>
        <v>12</v>
      </c>
      <c r="B209" s="177">
        <f>'Données projet'!D192</f>
        <v>18</v>
      </c>
      <c r="C209" s="189">
        <v>10</v>
      </c>
      <c r="D209" s="175">
        <f>B209*C209</f>
        <v>180</v>
      </c>
      <c r="E209" s="189"/>
      <c r="F209" s="228"/>
      <c r="G209" s="201"/>
      <c r="H209" s="186"/>
      <c r="I209" s="187"/>
      <c r="J209" s="4"/>
      <c r="K209" s="169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6">
        <f>'Données projet'!A193</f>
        <v>18</v>
      </c>
      <c r="B210" s="177">
        <f>'Données projet'!D193</f>
        <v>84.3</v>
      </c>
      <c r="C210" s="189">
        <v>10</v>
      </c>
      <c r="D210" s="175">
        <f t="shared" ref="D210:D228" si="12">B210*C210</f>
        <v>843</v>
      </c>
      <c r="E210" s="189"/>
      <c r="F210" s="228"/>
      <c r="G210" s="201"/>
      <c r="H210" s="186"/>
      <c r="I210" s="187"/>
      <c r="J210" s="4"/>
      <c r="K210" s="169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6">
        <f>'Données projet'!A194</f>
        <v>24</v>
      </c>
      <c r="B211" s="177">
        <f>'Données projet'!D194</f>
        <v>73.7</v>
      </c>
      <c r="C211" s="189">
        <v>10</v>
      </c>
      <c r="D211" s="175">
        <f t="shared" si="12"/>
        <v>737</v>
      </c>
      <c r="E211" s="189"/>
      <c r="F211" s="228"/>
      <c r="G211" s="201"/>
      <c r="H211" s="186"/>
      <c r="I211" s="187"/>
      <c r="J211" s="4"/>
      <c r="K211" s="169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6">
        <f>'Données projet'!A195</f>
        <v>30</v>
      </c>
      <c r="B212" s="177">
        <f>'Données projet'!D195</f>
        <v>62.6</v>
      </c>
      <c r="C212" s="189">
        <v>10</v>
      </c>
      <c r="D212" s="175">
        <f t="shared" si="12"/>
        <v>626</v>
      </c>
      <c r="E212" s="189"/>
      <c r="F212" s="228"/>
      <c r="G212" s="201"/>
      <c r="H212" s="186"/>
      <c r="I212" s="187"/>
      <c r="J212" s="4"/>
      <c r="K212" s="169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6">
        <f>'Données projet'!A196</f>
        <v>36</v>
      </c>
      <c r="B213" s="177">
        <f>'Données projet'!D196</f>
        <v>58.4</v>
      </c>
      <c r="C213" s="189"/>
      <c r="D213" s="175">
        <f t="shared" si="12"/>
        <v>0</v>
      </c>
      <c r="E213" s="189"/>
      <c r="F213" s="228"/>
      <c r="G213" s="201"/>
      <c r="H213" s="186"/>
      <c r="I213" s="187"/>
      <c r="J213" s="4"/>
      <c r="K213" s="169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6">
        <f>'Données projet'!A197</f>
        <v>42</v>
      </c>
      <c r="B214" s="177">
        <f>'Données projet'!D197</f>
        <v>54.6</v>
      </c>
      <c r="C214" s="189"/>
      <c r="D214" s="175">
        <f t="shared" si="12"/>
        <v>0</v>
      </c>
      <c r="E214" s="189"/>
      <c r="F214" s="228"/>
      <c r="G214" s="201"/>
      <c r="H214" s="186"/>
      <c r="I214" s="187"/>
      <c r="J214" s="4"/>
      <c r="K214" s="169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6">
        <f>'Données projet'!A198</f>
        <v>48</v>
      </c>
      <c r="B215" s="177">
        <f>'Données projet'!D198</f>
        <v>48.2</v>
      </c>
      <c r="C215" s="189"/>
      <c r="D215" s="175">
        <f t="shared" si="12"/>
        <v>0</v>
      </c>
      <c r="E215" s="189"/>
      <c r="F215" s="228"/>
      <c r="G215" s="202"/>
      <c r="H215" s="186"/>
      <c r="I215" s="187"/>
      <c r="J215" s="4"/>
      <c r="K215" s="169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6">
        <f>'Données projet'!A199</f>
        <v>54</v>
      </c>
      <c r="B216" s="177">
        <f>'Données projet'!D199</f>
        <v>46.9</v>
      </c>
      <c r="C216" s="189"/>
      <c r="D216" s="175">
        <f t="shared" si="12"/>
        <v>0</v>
      </c>
      <c r="E216" s="189"/>
      <c r="F216" s="228"/>
      <c r="G216" s="202"/>
      <c r="H216" s="186"/>
      <c r="I216" s="187"/>
      <c r="J216" s="4"/>
      <c r="K216" s="169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6">
        <f>'Données projet'!A200</f>
        <v>60</v>
      </c>
      <c r="B217" s="177">
        <f>'Données projet'!D200</f>
        <v>0</v>
      </c>
      <c r="C217" s="189"/>
      <c r="D217" s="175">
        <f t="shared" si="12"/>
        <v>0</v>
      </c>
      <c r="E217" s="189"/>
      <c r="F217" s="228"/>
      <c r="G217" s="202"/>
      <c r="H217" s="186"/>
      <c r="I217" s="187"/>
      <c r="J217" s="4"/>
      <c r="K217" s="169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6">
        <f>'Données projet'!A201</f>
        <v>0</v>
      </c>
      <c r="B218" s="177">
        <f>'Données projet'!D201</f>
        <v>0</v>
      </c>
      <c r="C218" s="189"/>
      <c r="D218" s="175">
        <f t="shared" si="12"/>
        <v>0</v>
      </c>
      <c r="E218" s="189"/>
      <c r="F218" s="228"/>
      <c r="G218" s="202"/>
      <c r="H218" s="186"/>
      <c r="I218" s="187"/>
      <c r="J218" s="4"/>
      <c r="K218" s="169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6">
        <f>'Données projet'!A202</f>
        <v>0</v>
      </c>
      <c r="B219" s="177">
        <f>'Données projet'!D202</f>
        <v>0</v>
      </c>
      <c r="C219" s="189"/>
      <c r="D219" s="175">
        <f t="shared" si="12"/>
        <v>0</v>
      </c>
      <c r="E219" s="189"/>
      <c r="F219" s="228"/>
      <c r="G219" s="202"/>
      <c r="H219" s="186"/>
      <c r="I219" s="187"/>
      <c r="J219" s="4"/>
      <c r="K219" s="169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6">
        <f>'Données projet'!A203</f>
        <v>0</v>
      </c>
      <c r="B220" s="177">
        <f>'Données projet'!D203</f>
        <v>0</v>
      </c>
      <c r="C220" s="189"/>
      <c r="D220" s="175">
        <f t="shared" si="12"/>
        <v>0</v>
      </c>
      <c r="E220" s="189"/>
      <c r="F220" s="228"/>
      <c r="G220" s="202"/>
      <c r="H220" s="4"/>
      <c r="I220" s="4"/>
      <c r="J220" s="4"/>
      <c r="K220" s="169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6">
        <f>'Données projet'!A204</f>
        <v>0</v>
      </c>
      <c r="B221" s="177">
        <f>'Données projet'!D204</f>
        <v>0</v>
      </c>
      <c r="C221" s="189"/>
      <c r="D221" s="175">
        <f t="shared" si="12"/>
        <v>0</v>
      </c>
      <c r="E221" s="189"/>
      <c r="F221" s="228"/>
      <c r="G221" s="202"/>
      <c r="H221" s="4"/>
      <c r="I221" s="4"/>
      <c r="J221" s="4"/>
      <c r="K221" s="169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6">
        <f>'Données projet'!A205</f>
        <v>0</v>
      </c>
      <c r="B222" s="177">
        <f>'Données projet'!D205</f>
        <v>0</v>
      </c>
      <c r="C222" s="189"/>
      <c r="D222" s="175">
        <f t="shared" si="12"/>
        <v>0</v>
      </c>
      <c r="E222" s="189"/>
      <c r="F222" s="228"/>
      <c r="G222" s="202"/>
      <c r="H222" s="4"/>
      <c r="I222" s="4"/>
      <c r="J222" s="4"/>
      <c r="K222" s="169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6">
        <f>'Données projet'!A206</f>
        <v>0</v>
      </c>
      <c r="B223" s="177">
        <f>'Données projet'!D206</f>
        <v>0</v>
      </c>
      <c r="C223" s="189"/>
      <c r="D223" s="175">
        <f t="shared" si="12"/>
        <v>0</v>
      </c>
      <c r="E223" s="189"/>
      <c r="F223" s="228"/>
      <c r="G223" s="202"/>
      <c r="H223" s="4"/>
      <c r="I223" s="4"/>
      <c r="J223" s="4"/>
      <c r="K223" s="169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6">
        <f>'Données projet'!A207</f>
        <v>0</v>
      </c>
      <c r="B224" s="177">
        <f>'Données projet'!D207</f>
        <v>0</v>
      </c>
      <c r="C224" s="189"/>
      <c r="D224" s="175">
        <f t="shared" si="12"/>
        <v>0</v>
      </c>
      <c r="E224" s="189"/>
      <c r="F224" s="228"/>
      <c r="G224" s="202"/>
      <c r="H224" s="4"/>
      <c r="I224" s="4"/>
      <c r="J224" s="4"/>
      <c r="K224" s="169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6">
        <f>'Données projet'!A208</f>
        <v>0</v>
      </c>
      <c r="B225" s="177">
        <f>'Données projet'!D208</f>
        <v>0</v>
      </c>
      <c r="C225" s="189"/>
      <c r="D225" s="175">
        <f t="shared" si="12"/>
        <v>0</v>
      </c>
      <c r="E225" s="189"/>
      <c r="F225" s="228"/>
      <c r="G225" s="202"/>
      <c r="H225" s="4"/>
      <c r="I225" s="4"/>
      <c r="J225" s="4"/>
      <c r="K225" s="169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6">
        <f>'Données projet'!A209</f>
        <v>0</v>
      </c>
      <c r="B226" s="177">
        <f>'Données projet'!D209</f>
        <v>0</v>
      </c>
      <c r="C226" s="189"/>
      <c r="D226" s="175">
        <f t="shared" si="12"/>
        <v>0</v>
      </c>
      <c r="E226" s="189"/>
      <c r="F226" s="228"/>
      <c r="G226" s="202"/>
      <c r="H226" s="4"/>
      <c r="I226" s="4"/>
      <c r="J226" s="4"/>
      <c r="K226" s="169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6">
        <f>'Données projet'!A210</f>
        <v>0</v>
      </c>
      <c r="B227" s="177">
        <f>'Données projet'!D210</f>
        <v>0</v>
      </c>
      <c r="C227" s="189"/>
      <c r="D227" s="175">
        <f t="shared" si="12"/>
        <v>0</v>
      </c>
      <c r="E227" s="189"/>
      <c r="F227" s="228"/>
      <c r="G227" s="202"/>
      <c r="H227" s="4"/>
      <c r="I227" s="4"/>
      <c r="J227" s="4"/>
      <c r="K227" s="169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6">
        <f>'Données projet'!A211</f>
        <v>0</v>
      </c>
      <c r="B228" s="177">
        <f>'Données projet'!D211</f>
        <v>0</v>
      </c>
      <c r="C228" s="189"/>
      <c r="D228" s="175">
        <f t="shared" si="12"/>
        <v>0</v>
      </c>
      <c r="E228" s="189"/>
      <c r="F228" s="228"/>
      <c r="G228" s="202"/>
      <c r="H228" s="4"/>
      <c r="I228" s="4"/>
      <c r="J228" s="4"/>
      <c r="K228" s="169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6"/>
      <c r="G229" s="202"/>
      <c r="H229" s="4"/>
      <c r="I229" s="4"/>
      <c r="J229" s="4"/>
      <c r="K229" s="169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6"/>
      <c r="G230" s="202"/>
      <c r="H230" s="4"/>
      <c r="I230" s="4"/>
      <c r="J230" s="4"/>
      <c r="K230" s="169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0" t="str">
        <f>IF('Données projet'!$B$16="","",'Données projet'!$B$16)</f>
        <v>Erable sycomore</v>
      </c>
      <c r="C231" s="4"/>
      <c r="D231" s="4"/>
      <c r="E231" s="4"/>
      <c r="F231" s="226"/>
      <c r="G231" s="202"/>
      <c r="H231" s="4"/>
      <c r="I231" s="4"/>
      <c r="J231" s="4"/>
      <c r="K231" s="169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6"/>
      <c r="G232" s="202"/>
      <c r="H232" s="4"/>
      <c r="I232" s="4"/>
      <c r="J232" s="4"/>
      <c r="K232" s="169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7"/>
      <c r="G233" s="202"/>
      <c r="H233" s="4"/>
      <c r="I233" s="4"/>
      <c r="J233" s="4"/>
      <c r="K233" s="169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5" t="s">
        <v>132</v>
      </c>
      <c r="C234" s="194" t="s">
        <v>132</v>
      </c>
      <c r="D234" s="193" t="s">
        <v>132</v>
      </c>
      <c r="E234" s="189">
        <v>3909.13</v>
      </c>
      <c r="F234" s="227"/>
      <c r="G234" s="202"/>
      <c r="H234" s="4"/>
      <c r="I234" s="4"/>
      <c r="J234" s="4"/>
      <c r="K234" s="169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5" t="s">
        <v>132</v>
      </c>
      <c r="C235" s="194" t="s">
        <v>132</v>
      </c>
      <c r="D235" s="193" t="s">
        <v>132</v>
      </c>
      <c r="E235" s="189"/>
      <c r="F235" s="227"/>
      <c r="G235" s="23"/>
      <c r="H235" s="4"/>
      <c r="I235" s="4"/>
      <c r="J235" s="4"/>
      <c r="K235" s="169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5" t="s">
        <v>132</v>
      </c>
      <c r="C236" s="194" t="s">
        <v>132</v>
      </c>
      <c r="D236" s="193" t="s">
        <v>132</v>
      </c>
      <c r="E236" s="189"/>
      <c r="F236" s="227"/>
      <c r="G236" s="23"/>
      <c r="H236" s="4"/>
      <c r="I236" s="4"/>
      <c r="J236" s="4"/>
      <c r="K236" s="169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5" t="s">
        <v>132</v>
      </c>
      <c r="C237" s="194" t="s">
        <v>132</v>
      </c>
      <c r="D237" s="193" t="s">
        <v>132</v>
      </c>
      <c r="E237" s="189"/>
      <c r="F237" s="227"/>
      <c r="G237" s="23"/>
      <c r="H237" s="4"/>
      <c r="I237" s="4"/>
      <c r="J237" s="4"/>
      <c r="K237" s="169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5" t="s">
        <v>132</v>
      </c>
      <c r="C238" s="194" t="s">
        <v>132</v>
      </c>
      <c r="D238" s="193" t="s">
        <v>132</v>
      </c>
      <c r="E238" s="189"/>
      <c r="F238" s="227"/>
      <c r="G238" s="23"/>
      <c r="H238" s="4"/>
      <c r="I238" s="4"/>
      <c r="J238" s="4"/>
      <c r="K238" s="169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5" t="s">
        <v>132</v>
      </c>
      <c r="C239" s="194" t="s">
        <v>132</v>
      </c>
      <c r="D239" s="193" t="s">
        <v>132</v>
      </c>
      <c r="E239" s="189"/>
      <c r="F239" s="227"/>
      <c r="G239" s="201"/>
      <c r="H239" s="4"/>
      <c r="I239" s="4"/>
      <c r="J239" s="4"/>
      <c r="K239" s="169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6">
        <f>'Données projet'!A218</f>
        <v>10</v>
      </c>
      <c r="B240" s="177">
        <f>'Données projet'!D218</f>
        <v>7</v>
      </c>
      <c r="C240" s="189">
        <v>15</v>
      </c>
      <c r="D240" s="175">
        <f>B240*C240</f>
        <v>105</v>
      </c>
      <c r="E240" s="189"/>
      <c r="F240" s="228"/>
      <c r="G240" s="201"/>
      <c r="H240" s="4"/>
      <c r="I240" s="4"/>
      <c r="J240" s="4"/>
      <c r="K240" s="169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6">
        <f>'Données projet'!A219</f>
        <v>15</v>
      </c>
      <c r="B241" s="177">
        <f>'Données projet'!D219</f>
        <v>42</v>
      </c>
      <c r="C241" s="189">
        <v>15</v>
      </c>
      <c r="D241" s="175">
        <f t="shared" ref="D241:D259" si="13">B241*C241</f>
        <v>630</v>
      </c>
      <c r="E241" s="189"/>
      <c r="F241" s="228"/>
      <c r="G241" s="201"/>
      <c r="H241" s="4"/>
      <c r="I241" s="4"/>
      <c r="J241" s="4"/>
      <c r="K241" s="169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6">
        <f>'Données projet'!A220</f>
        <v>20</v>
      </c>
      <c r="B242" s="177">
        <f>'Données projet'!D220</f>
        <v>42</v>
      </c>
      <c r="C242" s="189">
        <v>15</v>
      </c>
      <c r="D242" s="175">
        <f t="shared" si="13"/>
        <v>630</v>
      </c>
      <c r="E242" s="189"/>
      <c r="F242" s="228"/>
      <c r="G242" s="201"/>
      <c r="H242" s="4"/>
      <c r="I242" s="4"/>
      <c r="J242" s="4"/>
      <c r="K242" s="169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6">
        <f>'Données projet'!A221</f>
        <v>25</v>
      </c>
      <c r="B243" s="177">
        <f>'Données projet'!D221</f>
        <v>42</v>
      </c>
      <c r="C243" s="189">
        <v>15</v>
      </c>
      <c r="D243" s="175">
        <f t="shared" si="13"/>
        <v>630</v>
      </c>
      <c r="E243" s="189"/>
      <c r="F243" s="228"/>
      <c r="G243" s="201"/>
      <c r="H243" s="4"/>
      <c r="I243" s="4"/>
      <c r="J243" s="4"/>
      <c r="K243" s="169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6">
        <f>'Données projet'!A222</f>
        <v>30</v>
      </c>
      <c r="B244" s="177">
        <f>'Données projet'!D222</f>
        <v>42</v>
      </c>
      <c r="C244" s="189">
        <v>15</v>
      </c>
      <c r="D244" s="175">
        <f t="shared" si="13"/>
        <v>630</v>
      </c>
      <c r="E244" s="189"/>
      <c r="F244" s="228"/>
      <c r="G244" s="201"/>
      <c r="H244" s="4"/>
      <c r="I244" s="4"/>
      <c r="J244" s="4"/>
      <c r="K244" s="169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6">
        <f>'Données projet'!A223</f>
        <v>35</v>
      </c>
      <c r="B245" s="177">
        <f>'Données projet'!D223</f>
        <v>42</v>
      </c>
      <c r="C245" s="189"/>
      <c r="D245" s="175">
        <f t="shared" si="13"/>
        <v>0</v>
      </c>
      <c r="E245" s="189"/>
      <c r="F245" s="228"/>
      <c r="G245" s="201"/>
      <c r="H245" s="4"/>
      <c r="I245" s="4"/>
      <c r="J245" s="4"/>
      <c r="K245" s="169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6">
        <f>'Données projet'!A224</f>
        <v>40</v>
      </c>
      <c r="B246" s="177">
        <f>'Données projet'!D224</f>
        <v>40</v>
      </c>
      <c r="C246" s="189"/>
      <c r="D246" s="175">
        <f t="shared" si="13"/>
        <v>0</v>
      </c>
      <c r="E246" s="189"/>
      <c r="F246" s="228"/>
      <c r="G246" s="202"/>
      <c r="H246" s="4"/>
      <c r="I246" s="4"/>
      <c r="J246" s="4"/>
      <c r="K246" s="169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6">
        <f>'Données projet'!A225</f>
        <v>45</v>
      </c>
      <c r="B247" s="177">
        <f>'Données projet'!D225</f>
        <v>26</v>
      </c>
      <c r="C247" s="189"/>
      <c r="D247" s="175">
        <f t="shared" si="13"/>
        <v>0</v>
      </c>
      <c r="E247" s="189"/>
      <c r="F247" s="228"/>
      <c r="G247" s="202"/>
      <c r="H247" s="4"/>
      <c r="I247" s="4"/>
      <c r="J247" s="4"/>
      <c r="K247" s="169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6">
        <f>'Données projet'!A226</f>
        <v>50</v>
      </c>
      <c r="B248" s="177">
        <f>'Données projet'!D226</f>
        <v>21</v>
      </c>
      <c r="C248" s="189"/>
      <c r="D248" s="175">
        <f t="shared" si="13"/>
        <v>0</v>
      </c>
      <c r="E248" s="189"/>
      <c r="F248" s="228"/>
      <c r="G248" s="202"/>
      <c r="H248" s="4"/>
      <c r="I248" s="4"/>
      <c r="J248" s="4"/>
      <c r="K248" s="169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6">
        <f>'Données projet'!A227</f>
        <v>55</v>
      </c>
      <c r="B249" s="177">
        <f>'Données projet'!D227</f>
        <v>18</v>
      </c>
      <c r="C249" s="189"/>
      <c r="D249" s="175">
        <f t="shared" si="13"/>
        <v>0</v>
      </c>
      <c r="E249" s="189"/>
      <c r="F249" s="228"/>
      <c r="G249" s="202"/>
      <c r="H249" s="4"/>
      <c r="I249" s="4"/>
      <c r="J249" s="4"/>
      <c r="K249" s="169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6">
        <f>'Données projet'!A228</f>
        <v>60</v>
      </c>
      <c r="B250" s="177">
        <f>'Données projet'!D228</f>
        <v>17</v>
      </c>
      <c r="C250" s="189"/>
      <c r="D250" s="175">
        <f t="shared" si="13"/>
        <v>0</v>
      </c>
      <c r="E250" s="189"/>
      <c r="F250" s="228"/>
      <c r="G250" s="202"/>
      <c r="H250" s="4"/>
      <c r="I250" s="4"/>
      <c r="J250" s="4"/>
      <c r="K250" s="169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6">
        <f>'Données projet'!A229</f>
        <v>65</v>
      </c>
      <c r="B251" s="177">
        <f>'Données projet'!D229</f>
        <v>16</v>
      </c>
      <c r="C251" s="189"/>
      <c r="D251" s="175">
        <f t="shared" si="13"/>
        <v>0</v>
      </c>
      <c r="E251" s="189"/>
      <c r="F251" s="228"/>
      <c r="G251" s="202"/>
      <c r="H251" s="4"/>
      <c r="I251" s="4"/>
      <c r="J251" s="4"/>
      <c r="K251" s="169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6">
        <f>'Données projet'!A230</f>
        <v>70</v>
      </c>
      <c r="B252" s="177">
        <f>'Données projet'!D230</f>
        <v>15</v>
      </c>
      <c r="C252" s="189"/>
      <c r="D252" s="175">
        <f t="shared" si="13"/>
        <v>0</v>
      </c>
      <c r="E252" s="189"/>
      <c r="F252" s="228"/>
      <c r="G252" s="202"/>
      <c r="H252" s="4"/>
      <c r="I252" s="4"/>
      <c r="J252" s="4"/>
      <c r="K252" s="169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6">
        <f>'Données projet'!A231</f>
        <v>75</v>
      </c>
      <c r="B253" s="177">
        <f>'Données projet'!D231</f>
        <v>14</v>
      </c>
      <c r="C253" s="189"/>
      <c r="D253" s="175">
        <f t="shared" si="13"/>
        <v>0</v>
      </c>
      <c r="E253" s="189"/>
      <c r="F253" s="228"/>
      <c r="G253" s="202"/>
      <c r="H253" s="4"/>
      <c r="I253" s="4"/>
      <c r="J253" s="4"/>
      <c r="K253" s="169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6">
        <f>'Données projet'!A232</f>
        <v>80</v>
      </c>
      <c r="B254" s="177">
        <f>'Données projet'!D232</f>
        <v>13</v>
      </c>
      <c r="C254" s="189"/>
      <c r="D254" s="175">
        <f t="shared" si="13"/>
        <v>0</v>
      </c>
      <c r="E254" s="189"/>
      <c r="F254" s="228"/>
      <c r="G254" s="202"/>
      <c r="H254" s="4"/>
      <c r="I254" s="4"/>
      <c r="J254" s="4"/>
      <c r="K254" s="169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6">
        <f>'Données projet'!A233</f>
        <v>0</v>
      </c>
      <c r="B255" s="177">
        <f>'Données projet'!D233</f>
        <v>0</v>
      </c>
      <c r="C255" s="189"/>
      <c r="D255" s="175">
        <f t="shared" si="13"/>
        <v>0</v>
      </c>
      <c r="E255" s="189"/>
      <c r="F255" s="228"/>
      <c r="G255" s="202"/>
      <c r="H255" s="4"/>
      <c r="I255" s="4"/>
      <c r="J255" s="4"/>
      <c r="K255" s="169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6">
        <f>'Données projet'!A234</f>
        <v>0</v>
      </c>
      <c r="B256" s="177">
        <f>'Données projet'!D234</f>
        <v>0</v>
      </c>
      <c r="C256" s="189"/>
      <c r="D256" s="175">
        <f t="shared" si="13"/>
        <v>0</v>
      </c>
      <c r="E256" s="189"/>
      <c r="F256" s="228"/>
      <c r="G256" s="202"/>
      <c r="H256" s="4"/>
      <c r="I256" s="4"/>
      <c r="J256" s="4"/>
      <c r="K256" s="169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6">
        <f>'Données projet'!A235</f>
        <v>0</v>
      </c>
      <c r="B257" s="177">
        <f>'Données projet'!D235</f>
        <v>0</v>
      </c>
      <c r="C257" s="189"/>
      <c r="D257" s="175">
        <f t="shared" si="13"/>
        <v>0</v>
      </c>
      <c r="E257" s="189"/>
      <c r="F257" s="228"/>
      <c r="G257" s="202"/>
      <c r="H257" s="4"/>
      <c r="I257" s="4"/>
      <c r="J257" s="4"/>
      <c r="K257" s="169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6">
        <f>'Données projet'!A236</f>
        <v>0</v>
      </c>
      <c r="B258" s="177">
        <f>'Données projet'!D236</f>
        <v>0</v>
      </c>
      <c r="C258" s="189"/>
      <c r="D258" s="175">
        <f t="shared" si="13"/>
        <v>0</v>
      </c>
      <c r="E258" s="189"/>
      <c r="F258" s="228"/>
      <c r="G258" s="202"/>
      <c r="H258" s="4"/>
      <c r="I258" s="4"/>
      <c r="J258" s="4"/>
      <c r="K258" s="169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6">
        <f>'Données projet'!A237</f>
        <v>0</v>
      </c>
      <c r="B259" s="177">
        <f>'Données projet'!D237</f>
        <v>0</v>
      </c>
      <c r="C259" s="189"/>
      <c r="D259" s="175">
        <f t="shared" si="13"/>
        <v>0</v>
      </c>
      <c r="E259" s="189"/>
      <c r="F259" s="228"/>
      <c r="G259" s="202"/>
      <c r="H259" s="4"/>
      <c r="I259" s="4"/>
      <c r="J259" s="4"/>
      <c r="K259" s="169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6"/>
      <c r="G260" s="202"/>
      <c r="H260" s="4"/>
      <c r="I260" s="4"/>
      <c r="J260" s="4"/>
      <c r="K260" s="169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6"/>
      <c r="G261" s="202"/>
      <c r="H261" s="4"/>
      <c r="I261" s="4"/>
      <c r="J261" s="4"/>
      <c r="K261" s="169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0" t="str">
        <f>IF('Données projet'!$B$17="","",'Données projet'!$B$17)</f>
        <v>Sapin pectiné</v>
      </c>
      <c r="C262" s="4"/>
      <c r="D262" s="4"/>
      <c r="E262" s="4"/>
      <c r="F262" s="226"/>
      <c r="G262" s="202"/>
      <c r="H262" s="4"/>
      <c r="I262" s="4"/>
      <c r="J262" s="4"/>
      <c r="K262" s="169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6"/>
      <c r="G263" s="202"/>
      <c r="H263" s="4"/>
      <c r="I263" s="4"/>
      <c r="J263" s="4"/>
      <c r="K263" s="169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7"/>
      <c r="G264" s="202"/>
      <c r="H264" s="4"/>
      <c r="I264" s="4"/>
      <c r="J264" s="4"/>
      <c r="K264" s="169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5" t="s">
        <v>132</v>
      </c>
      <c r="C265" s="194" t="s">
        <v>132</v>
      </c>
      <c r="D265" s="193" t="s">
        <v>132</v>
      </c>
      <c r="E265" s="189">
        <v>3053.44</v>
      </c>
      <c r="F265" s="227"/>
      <c r="G265" s="202"/>
      <c r="H265" s="4"/>
      <c r="I265" s="4"/>
      <c r="J265" s="4"/>
      <c r="K265" s="169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5" t="s">
        <v>132</v>
      </c>
      <c r="C266" s="194" t="s">
        <v>132</v>
      </c>
      <c r="D266" s="193" t="s">
        <v>132</v>
      </c>
      <c r="E266" s="189"/>
      <c r="F266" s="227"/>
      <c r="G266" s="23"/>
      <c r="H266" s="4"/>
      <c r="I266" s="4"/>
      <c r="J266" s="4"/>
      <c r="K266" s="169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5" t="s">
        <v>132</v>
      </c>
      <c r="C267" s="194" t="s">
        <v>132</v>
      </c>
      <c r="D267" s="193" t="s">
        <v>132</v>
      </c>
      <c r="E267" s="189"/>
      <c r="F267" s="227"/>
      <c r="G267" s="23"/>
      <c r="H267" s="4"/>
      <c r="I267" s="4"/>
      <c r="J267" s="4"/>
      <c r="K267" s="169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5" t="s">
        <v>132</v>
      </c>
      <c r="C268" s="194" t="s">
        <v>132</v>
      </c>
      <c r="D268" s="193" t="s">
        <v>132</v>
      </c>
      <c r="E268" s="189"/>
      <c r="F268" s="227"/>
      <c r="G268" s="23"/>
      <c r="H268" s="4"/>
      <c r="I268" s="4"/>
      <c r="J268" s="4"/>
      <c r="K268" s="169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5" t="s">
        <v>132</v>
      </c>
      <c r="C269" s="194" t="s">
        <v>132</v>
      </c>
      <c r="D269" s="193" t="s">
        <v>132</v>
      </c>
      <c r="E269" s="189"/>
      <c r="F269" s="227"/>
      <c r="G269" s="23"/>
      <c r="H269" s="4"/>
      <c r="I269" s="4"/>
      <c r="J269" s="4"/>
      <c r="K269" s="169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5" t="s">
        <v>132</v>
      </c>
      <c r="C270" s="194" t="s">
        <v>132</v>
      </c>
      <c r="D270" s="193" t="s">
        <v>132</v>
      </c>
      <c r="E270" s="189"/>
      <c r="F270" s="227"/>
      <c r="G270" s="201"/>
      <c r="H270" s="4"/>
      <c r="I270" s="4"/>
      <c r="J270" s="4"/>
      <c r="K270" s="169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6">
        <f>'Données projet'!A244</f>
        <v>15</v>
      </c>
      <c r="B271" s="177">
        <f>'Données projet'!D244</f>
        <v>0</v>
      </c>
      <c r="C271" s="189"/>
      <c r="D271" s="175">
        <f>B271*C271</f>
        <v>0</v>
      </c>
      <c r="E271" s="189"/>
      <c r="F271" s="228"/>
      <c r="G271" s="201"/>
      <c r="H271" s="4"/>
      <c r="I271" s="4"/>
      <c r="J271" s="4"/>
      <c r="K271" s="169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6">
        <f>'Données projet'!A245</f>
        <v>20</v>
      </c>
      <c r="B272" s="177">
        <f>'Données projet'!D245</f>
        <v>43</v>
      </c>
      <c r="C272" s="189">
        <v>10</v>
      </c>
      <c r="D272" s="175">
        <f t="shared" ref="D272:D290" si="14">B272*C272</f>
        <v>430</v>
      </c>
      <c r="E272" s="189"/>
      <c r="F272" s="228"/>
      <c r="G272" s="201"/>
      <c r="H272" s="4"/>
      <c r="I272" s="4"/>
      <c r="J272" s="4"/>
      <c r="K272" s="169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6">
        <f>'Données projet'!A246</f>
        <v>25</v>
      </c>
      <c r="B273" s="177">
        <f>'Données projet'!D246</f>
        <v>77</v>
      </c>
      <c r="C273" s="189">
        <v>10</v>
      </c>
      <c r="D273" s="175">
        <f t="shared" si="14"/>
        <v>770</v>
      </c>
      <c r="E273" s="189"/>
      <c r="F273" s="228"/>
      <c r="G273" s="201"/>
      <c r="H273" s="4"/>
      <c r="I273" s="4"/>
      <c r="J273" s="4"/>
      <c r="K273" s="169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6">
        <f>'Données projet'!A247</f>
        <v>30</v>
      </c>
      <c r="B274" s="177">
        <f>'Données projet'!D247</f>
        <v>77</v>
      </c>
      <c r="C274" s="189">
        <v>10</v>
      </c>
      <c r="D274" s="175">
        <f t="shared" si="14"/>
        <v>770</v>
      </c>
      <c r="E274" s="189"/>
      <c r="F274" s="228"/>
      <c r="G274" s="201"/>
      <c r="H274" s="4"/>
      <c r="I274" s="4"/>
      <c r="J274" s="4"/>
      <c r="K274" s="169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6">
        <f>'Données projet'!A248</f>
        <v>35</v>
      </c>
      <c r="B275" s="177">
        <f>'Données projet'!D248</f>
        <v>77</v>
      </c>
      <c r="C275" s="189"/>
      <c r="D275" s="175">
        <f t="shared" si="14"/>
        <v>0</v>
      </c>
      <c r="E275" s="189"/>
      <c r="F275" s="228"/>
      <c r="G275" s="201"/>
      <c r="H275" s="4"/>
      <c r="I275" s="4"/>
      <c r="J275" s="4"/>
      <c r="K275" s="169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6">
        <f>'Données projet'!A249</f>
        <v>40</v>
      </c>
      <c r="B276" s="177">
        <f>'Données projet'!D249</f>
        <v>77</v>
      </c>
      <c r="C276" s="189"/>
      <c r="D276" s="175">
        <f t="shared" si="14"/>
        <v>0</v>
      </c>
      <c r="E276" s="189"/>
      <c r="F276" s="228"/>
      <c r="G276" s="201"/>
      <c r="H276" s="4"/>
      <c r="I276" s="4"/>
      <c r="J276" s="4"/>
      <c r="K276" s="169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6">
        <f>'Données projet'!A250</f>
        <v>45</v>
      </c>
      <c r="B277" s="177">
        <f>'Données projet'!D250</f>
        <v>77</v>
      </c>
      <c r="C277" s="189"/>
      <c r="D277" s="175">
        <f t="shared" si="14"/>
        <v>0</v>
      </c>
      <c r="E277" s="189"/>
      <c r="F277" s="228"/>
      <c r="G277" s="202"/>
      <c r="H277" s="4"/>
      <c r="I277" s="4"/>
      <c r="J277" s="4"/>
      <c r="K277" s="169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6">
        <f>'Données projet'!A251</f>
        <v>50</v>
      </c>
      <c r="B278" s="177">
        <f>'Données projet'!D251</f>
        <v>77</v>
      </c>
      <c r="C278" s="189"/>
      <c r="D278" s="175">
        <f t="shared" si="14"/>
        <v>0</v>
      </c>
      <c r="E278" s="189"/>
      <c r="F278" s="228"/>
      <c r="G278" s="202"/>
      <c r="H278" s="4"/>
      <c r="I278" s="4"/>
      <c r="J278" s="4"/>
      <c r="K278" s="169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6">
        <f>'Données projet'!A252</f>
        <v>55</v>
      </c>
      <c r="B279" s="177">
        <f>'Données projet'!D252</f>
        <v>73</v>
      </c>
      <c r="C279" s="189"/>
      <c r="D279" s="175">
        <f t="shared" si="14"/>
        <v>0</v>
      </c>
      <c r="E279" s="189"/>
      <c r="F279" s="228"/>
      <c r="G279" s="202"/>
      <c r="H279" s="4"/>
      <c r="I279" s="4"/>
      <c r="J279" s="4"/>
      <c r="K279" s="169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6">
        <f>'Données projet'!A253</f>
        <v>60</v>
      </c>
      <c r="B280" s="177">
        <f>'Données projet'!D253</f>
        <v>66</v>
      </c>
      <c r="C280" s="189"/>
      <c r="D280" s="175">
        <f t="shared" si="14"/>
        <v>0</v>
      </c>
      <c r="E280" s="189"/>
      <c r="F280" s="228"/>
      <c r="G280" s="202"/>
      <c r="H280" s="4"/>
      <c r="I280" s="4"/>
      <c r="J280" s="4"/>
      <c r="K280" s="169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6">
        <f>'Données projet'!A254</f>
        <v>65</v>
      </c>
      <c r="B281" s="177">
        <f>'Données projet'!D254</f>
        <v>62</v>
      </c>
      <c r="C281" s="189"/>
      <c r="D281" s="175">
        <f t="shared" si="14"/>
        <v>0</v>
      </c>
      <c r="E281" s="189"/>
      <c r="F281" s="228"/>
      <c r="G281" s="202"/>
      <c r="H281" s="4"/>
      <c r="I281" s="4"/>
      <c r="J281" s="4"/>
      <c r="K281" s="169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6">
        <f>'Données projet'!A255</f>
        <v>70</v>
      </c>
      <c r="B282" s="177">
        <f>'Données projet'!D255</f>
        <v>60</v>
      </c>
      <c r="C282" s="189"/>
      <c r="D282" s="175">
        <f t="shared" si="14"/>
        <v>0</v>
      </c>
      <c r="E282" s="189"/>
      <c r="F282" s="228"/>
      <c r="G282" s="202"/>
      <c r="H282" s="4"/>
      <c r="I282" s="4"/>
      <c r="J282" s="4"/>
      <c r="K282" s="169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6">
        <f>'Données projet'!A256</f>
        <v>75</v>
      </c>
      <c r="B283" s="177">
        <f>'Données projet'!D256</f>
        <v>58</v>
      </c>
      <c r="C283" s="189"/>
      <c r="D283" s="175">
        <f t="shared" si="14"/>
        <v>0</v>
      </c>
      <c r="E283" s="189"/>
      <c r="F283" s="228"/>
      <c r="G283" s="202"/>
      <c r="H283" s="4"/>
      <c r="I283" s="4"/>
      <c r="J283" s="4"/>
      <c r="K283" s="169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6">
        <f>'Données projet'!A257</f>
        <v>80</v>
      </c>
      <c r="B284" s="177">
        <f>'Données projet'!D257</f>
        <v>57</v>
      </c>
      <c r="C284" s="189"/>
      <c r="D284" s="175">
        <f t="shared" si="14"/>
        <v>0</v>
      </c>
      <c r="E284" s="189"/>
      <c r="F284" s="228"/>
      <c r="G284" s="202"/>
      <c r="H284" s="4"/>
      <c r="I284" s="4"/>
      <c r="J284" s="4"/>
      <c r="K284" s="169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6">
        <f>'Données projet'!A258</f>
        <v>0</v>
      </c>
      <c r="B285" s="177">
        <f>'Données projet'!D258</f>
        <v>0</v>
      </c>
      <c r="C285" s="189"/>
      <c r="D285" s="175">
        <f t="shared" si="14"/>
        <v>0</v>
      </c>
      <c r="E285" s="189"/>
      <c r="F285" s="228"/>
      <c r="G285" s="202"/>
      <c r="H285" s="4"/>
      <c r="I285" s="4"/>
      <c r="J285" s="4"/>
      <c r="K285" s="169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6">
        <f>'Données projet'!A259</f>
        <v>0</v>
      </c>
      <c r="B286" s="177">
        <f>'Données projet'!D259</f>
        <v>0</v>
      </c>
      <c r="C286" s="189"/>
      <c r="D286" s="175">
        <f t="shared" si="14"/>
        <v>0</v>
      </c>
      <c r="E286" s="189"/>
      <c r="F286" s="228"/>
      <c r="G286" s="202"/>
      <c r="H286" s="4"/>
      <c r="I286" s="4"/>
      <c r="J286" s="4"/>
      <c r="K286" s="169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6">
        <f>'Données projet'!A260</f>
        <v>0</v>
      </c>
      <c r="B287" s="177">
        <f>'Données projet'!D260</f>
        <v>0</v>
      </c>
      <c r="C287" s="189"/>
      <c r="D287" s="175">
        <f t="shared" si="14"/>
        <v>0</v>
      </c>
      <c r="E287" s="189"/>
      <c r="F287" s="228"/>
      <c r="G287" s="202"/>
      <c r="H287" s="4"/>
      <c r="I287" s="4"/>
      <c r="J287" s="4"/>
      <c r="K287" s="169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6">
        <f>'Données projet'!A261</f>
        <v>0</v>
      </c>
      <c r="B288" s="177">
        <f>'Données projet'!D261</f>
        <v>0</v>
      </c>
      <c r="C288" s="189"/>
      <c r="D288" s="175">
        <f t="shared" si="14"/>
        <v>0</v>
      </c>
      <c r="E288" s="189"/>
      <c r="F288" s="228"/>
      <c r="G288" s="202"/>
      <c r="H288" s="4"/>
      <c r="I288" s="4"/>
      <c r="J288" s="4"/>
      <c r="K288" s="169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6">
        <f>'Données projet'!A262</f>
        <v>0</v>
      </c>
      <c r="B289" s="177">
        <f>'Données projet'!D262</f>
        <v>0</v>
      </c>
      <c r="C289" s="189"/>
      <c r="D289" s="175">
        <f t="shared" si="14"/>
        <v>0</v>
      </c>
      <c r="E289" s="189"/>
      <c r="F289" s="228"/>
      <c r="G289" s="202"/>
      <c r="H289" s="4"/>
      <c r="I289" s="4"/>
      <c r="J289" s="4"/>
      <c r="K289" s="169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6">
        <f>'Données projet'!A263</f>
        <v>0</v>
      </c>
      <c r="B290" s="177">
        <f>'Données projet'!D263</f>
        <v>0</v>
      </c>
      <c r="C290" s="189"/>
      <c r="D290" s="175">
        <f t="shared" si="14"/>
        <v>0</v>
      </c>
      <c r="E290" s="189"/>
      <c r="F290" s="228"/>
      <c r="G290" s="202"/>
      <c r="H290" s="4"/>
      <c r="I290" s="4"/>
      <c r="J290" s="4"/>
      <c r="K290" s="169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6"/>
      <c r="G291" s="202"/>
      <c r="H291" s="4"/>
      <c r="I291" s="4"/>
      <c r="J291" s="4"/>
      <c r="K291" s="169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6"/>
      <c r="G292" s="202"/>
      <c r="H292" s="4"/>
      <c r="I292" s="4"/>
      <c r="J292" s="4"/>
      <c r="K292" s="169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0" t="str">
        <f>IF('Données projet'!$B$18="","",'Données projet'!$B$18)</f>
        <v>Pin sylvestre</v>
      </c>
      <c r="C293" s="4"/>
      <c r="D293" s="4"/>
      <c r="E293" s="4"/>
      <c r="F293" s="226"/>
      <c r="G293" s="202"/>
      <c r="H293" s="4"/>
      <c r="I293" s="4"/>
      <c r="J293" s="4"/>
      <c r="K293" s="169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6"/>
      <c r="G294" s="202"/>
      <c r="H294" s="4"/>
      <c r="I294" s="4"/>
      <c r="J294" s="4"/>
      <c r="K294" s="169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7"/>
      <c r="G295" s="202"/>
      <c r="H295" s="4"/>
      <c r="I295" s="4"/>
      <c r="J295" s="4"/>
      <c r="K295" s="169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5" t="s">
        <v>132</v>
      </c>
      <c r="C296" s="194" t="s">
        <v>132</v>
      </c>
      <c r="D296" s="193" t="s">
        <v>132</v>
      </c>
      <c r="E296" s="189">
        <v>3646.87</v>
      </c>
      <c r="F296" s="227"/>
      <c r="G296" s="202"/>
      <c r="H296" s="4"/>
      <c r="I296" s="4"/>
      <c r="J296" s="4"/>
      <c r="K296" s="169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5" t="s">
        <v>132</v>
      </c>
      <c r="C297" s="194" t="s">
        <v>132</v>
      </c>
      <c r="D297" s="193" t="s">
        <v>132</v>
      </c>
      <c r="E297" s="189"/>
      <c r="F297" s="227"/>
      <c r="G297" s="23"/>
      <c r="H297" s="4"/>
      <c r="I297" s="4"/>
      <c r="J297" s="4"/>
      <c r="K297" s="169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5" t="s">
        <v>132</v>
      </c>
      <c r="C298" s="194" t="s">
        <v>132</v>
      </c>
      <c r="D298" s="193" t="s">
        <v>132</v>
      </c>
      <c r="E298" s="189"/>
      <c r="F298" s="227"/>
      <c r="G298" s="23"/>
      <c r="H298" s="4"/>
      <c r="I298" s="4"/>
      <c r="J298" s="4"/>
      <c r="K298" s="169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5" t="s">
        <v>132</v>
      </c>
      <c r="C299" s="194" t="s">
        <v>132</v>
      </c>
      <c r="D299" s="193" t="s">
        <v>132</v>
      </c>
      <c r="E299" s="189"/>
      <c r="F299" s="227"/>
      <c r="G299" s="23"/>
      <c r="H299" s="4"/>
      <c r="I299" s="4"/>
      <c r="J299" s="4"/>
      <c r="K299" s="169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5" t="s">
        <v>132</v>
      </c>
      <c r="C300" s="194" t="s">
        <v>132</v>
      </c>
      <c r="D300" s="193" t="s">
        <v>132</v>
      </c>
      <c r="E300" s="189"/>
      <c r="F300" s="227"/>
      <c r="G300" s="23"/>
      <c r="H300" s="4"/>
      <c r="I300" s="4"/>
      <c r="J300" s="4"/>
      <c r="K300" s="169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5" t="s">
        <v>132</v>
      </c>
      <c r="C301" s="194" t="s">
        <v>132</v>
      </c>
      <c r="D301" s="193" t="s">
        <v>132</v>
      </c>
      <c r="E301" s="189"/>
      <c r="F301" s="227"/>
      <c r="G301" s="201"/>
      <c r="H301" s="4"/>
      <c r="I301" s="4"/>
      <c r="J301" s="4"/>
      <c r="K301" s="169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6">
        <f>'Données projet'!A270</f>
        <v>15</v>
      </c>
      <c r="B302" s="177">
        <f>'Données projet'!D270</f>
        <v>0</v>
      </c>
      <c r="C302" s="187"/>
      <c r="D302" s="178">
        <f>B302*C302</f>
        <v>0</v>
      </c>
      <c r="E302" s="189"/>
      <c r="F302" s="229"/>
      <c r="G302" s="201"/>
      <c r="H302" s="4"/>
      <c r="I302" s="4"/>
      <c r="J302" s="4"/>
      <c r="K302" s="169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6">
        <f>'Données projet'!A271</f>
        <v>20</v>
      </c>
      <c r="B303" s="177">
        <f>'Données projet'!D271</f>
        <v>37</v>
      </c>
      <c r="C303" s="187">
        <v>10</v>
      </c>
      <c r="D303" s="178">
        <f t="shared" ref="D303:D321" si="15">B303*C303</f>
        <v>370</v>
      </c>
      <c r="E303" s="189"/>
      <c r="F303" s="229"/>
      <c r="G303" s="201"/>
      <c r="H303" s="4"/>
      <c r="I303" s="4"/>
      <c r="J303" s="4"/>
      <c r="K303" s="169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6">
        <f>'Données projet'!A272</f>
        <v>25</v>
      </c>
      <c r="B304" s="177">
        <f>'Données projet'!D272</f>
        <v>49</v>
      </c>
      <c r="C304" s="187">
        <v>10</v>
      </c>
      <c r="D304" s="178">
        <f t="shared" si="15"/>
        <v>490</v>
      </c>
      <c r="E304" s="189"/>
      <c r="F304" s="229"/>
      <c r="G304" s="201"/>
      <c r="H304" s="4"/>
      <c r="I304" s="4"/>
      <c r="J304" s="4"/>
      <c r="K304" s="169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6">
        <f>'Données projet'!A273</f>
        <v>30</v>
      </c>
      <c r="B305" s="177">
        <f>'Données projet'!D273</f>
        <v>49</v>
      </c>
      <c r="C305" s="187">
        <v>10</v>
      </c>
      <c r="D305" s="178">
        <f t="shared" si="15"/>
        <v>490</v>
      </c>
      <c r="E305" s="189"/>
      <c r="F305" s="229"/>
      <c r="G305" s="201"/>
      <c r="H305" s="4"/>
      <c r="I305" s="4"/>
      <c r="J305" s="4"/>
      <c r="K305" s="169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6">
        <f>'Données projet'!A274</f>
        <v>35</v>
      </c>
      <c r="B306" s="177">
        <f>'Données projet'!D274</f>
        <v>49</v>
      </c>
      <c r="C306" s="187"/>
      <c r="D306" s="178">
        <f t="shared" si="15"/>
        <v>0</v>
      </c>
      <c r="E306" s="189"/>
      <c r="F306" s="229"/>
      <c r="G306" s="201"/>
      <c r="H306" s="4"/>
      <c r="I306" s="4"/>
      <c r="J306" s="4"/>
      <c r="K306" s="169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6">
        <f>'Données projet'!A275</f>
        <v>40</v>
      </c>
      <c r="B307" s="177">
        <f>'Données projet'!D275</f>
        <v>49</v>
      </c>
      <c r="C307" s="187"/>
      <c r="D307" s="178">
        <f t="shared" si="15"/>
        <v>0</v>
      </c>
      <c r="E307" s="189"/>
      <c r="F307" s="229"/>
      <c r="G307" s="201"/>
      <c r="H307" s="4"/>
      <c r="I307" s="4"/>
      <c r="J307" s="4"/>
      <c r="K307" s="169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6">
        <f>'Données projet'!A276</f>
        <v>45</v>
      </c>
      <c r="B308" s="177">
        <f>'Données projet'!D276</f>
        <v>49</v>
      </c>
      <c r="C308" s="187"/>
      <c r="D308" s="178">
        <f t="shared" si="15"/>
        <v>0</v>
      </c>
      <c r="E308" s="189"/>
      <c r="F308" s="229"/>
      <c r="G308" s="199"/>
      <c r="H308" s="4"/>
      <c r="I308" s="4"/>
      <c r="J308" s="4"/>
      <c r="K308" s="169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6">
        <f>'Données projet'!A277</f>
        <v>50</v>
      </c>
      <c r="B309" s="177">
        <f>'Données projet'!D277</f>
        <v>49</v>
      </c>
      <c r="C309" s="187"/>
      <c r="D309" s="178">
        <f t="shared" si="15"/>
        <v>0</v>
      </c>
      <c r="E309" s="189"/>
      <c r="F309" s="229"/>
      <c r="G309" s="199"/>
      <c r="H309" s="4"/>
      <c r="I309" s="4"/>
      <c r="J309" s="4"/>
      <c r="K309" s="169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6">
        <f>'Données projet'!A278</f>
        <v>55</v>
      </c>
      <c r="B310" s="177">
        <f>'Données projet'!D278</f>
        <v>47</v>
      </c>
      <c r="C310" s="187"/>
      <c r="D310" s="178">
        <f t="shared" si="15"/>
        <v>0</v>
      </c>
      <c r="E310" s="189"/>
      <c r="F310" s="229"/>
      <c r="G310" s="199"/>
      <c r="H310" s="4"/>
      <c r="I310" s="4"/>
      <c r="J310" s="4"/>
      <c r="K310" s="169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6">
        <f>'Données projet'!A279</f>
        <v>60</v>
      </c>
      <c r="B311" s="177">
        <f>'Données projet'!D279</f>
        <v>43</v>
      </c>
      <c r="C311" s="187"/>
      <c r="D311" s="178">
        <f t="shared" si="15"/>
        <v>0</v>
      </c>
      <c r="E311" s="189"/>
      <c r="F311" s="229"/>
      <c r="G311" s="199"/>
      <c r="H311" s="4"/>
      <c r="I311" s="4"/>
      <c r="J311" s="4"/>
      <c r="K311" s="169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6">
        <f>'Données projet'!A280</f>
        <v>65</v>
      </c>
      <c r="B312" s="177">
        <f>'Données projet'!D280</f>
        <v>40</v>
      </c>
      <c r="C312" s="187"/>
      <c r="D312" s="178">
        <f t="shared" si="15"/>
        <v>0</v>
      </c>
      <c r="E312" s="189"/>
      <c r="F312" s="229"/>
      <c r="G312" s="199"/>
      <c r="H312" s="4"/>
      <c r="I312" s="4"/>
      <c r="J312" s="4"/>
      <c r="K312" s="169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6">
        <f>'Données projet'!A281</f>
        <v>70</v>
      </c>
      <c r="B313" s="177">
        <f>'Données projet'!D281</f>
        <v>36</v>
      </c>
      <c r="C313" s="187"/>
      <c r="D313" s="178">
        <f t="shared" si="15"/>
        <v>0</v>
      </c>
      <c r="E313" s="189"/>
      <c r="F313" s="229"/>
      <c r="G313" s="199"/>
      <c r="H313" s="4"/>
      <c r="I313" s="4"/>
      <c r="J313" s="4"/>
      <c r="K313" s="169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6">
        <f>'Données projet'!A282</f>
        <v>75</v>
      </c>
      <c r="B314" s="177">
        <f>'Données projet'!D282</f>
        <v>33</v>
      </c>
      <c r="C314" s="187"/>
      <c r="D314" s="178">
        <f t="shared" si="15"/>
        <v>0</v>
      </c>
      <c r="E314" s="189"/>
      <c r="F314" s="229"/>
      <c r="G314" s="199"/>
      <c r="H314" s="4"/>
      <c r="I314" s="4"/>
      <c r="J314" s="4"/>
      <c r="K314" s="169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6">
        <f>'Données projet'!A283</f>
        <v>80</v>
      </c>
      <c r="B315" s="177">
        <f>'Données projet'!D283</f>
        <v>29</v>
      </c>
      <c r="C315" s="187"/>
      <c r="D315" s="178">
        <f t="shared" si="15"/>
        <v>0</v>
      </c>
      <c r="E315" s="189"/>
      <c r="F315" s="229"/>
      <c r="G315" s="199"/>
      <c r="H315" s="4"/>
      <c r="I315" s="4"/>
      <c r="J315" s="4"/>
      <c r="K315" s="169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6">
        <f>'Données projet'!A284</f>
        <v>85</v>
      </c>
      <c r="B316" s="177">
        <f>'Données projet'!D284</f>
        <v>26</v>
      </c>
      <c r="C316" s="187"/>
      <c r="D316" s="178">
        <f t="shared" si="15"/>
        <v>0</v>
      </c>
      <c r="E316" s="189"/>
      <c r="F316" s="229"/>
      <c r="G316" s="199"/>
      <c r="H316" s="4"/>
      <c r="I316" s="4"/>
      <c r="J316" s="4"/>
      <c r="K316" s="169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6">
        <f>'Données projet'!A285</f>
        <v>90</v>
      </c>
      <c r="B317" s="177">
        <f>'Données projet'!D285</f>
        <v>23</v>
      </c>
      <c r="C317" s="187"/>
      <c r="D317" s="178">
        <f t="shared" si="15"/>
        <v>0</v>
      </c>
      <c r="E317" s="189"/>
      <c r="F317" s="229"/>
      <c r="G317" s="199"/>
      <c r="H317" s="4"/>
      <c r="I317" s="4"/>
      <c r="J317" s="4"/>
      <c r="K317" s="169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6">
        <f>'Données projet'!A286</f>
        <v>95</v>
      </c>
      <c r="B318" s="177">
        <f>'Données projet'!D286</f>
        <v>20</v>
      </c>
      <c r="C318" s="187"/>
      <c r="D318" s="178">
        <f t="shared" si="15"/>
        <v>0</v>
      </c>
      <c r="E318" s="189"/>
      <c r="F318" s="229"/>
      <c r="G318" s="199"/>
      <c r="H318" s="4"/>
      <c r="I318" s="4"/>
      <c r="J318" s="4"/>
      <c r="K318" s="169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6">
        <f>'Données projet'!A287</f>
        <v>100</v>
      </c>
      <c r="B319" s="177">
        <f>'Données projet'!D287</f>
        <v>17</v>
      </c>
      <c r="C319" s="187"/>
      <c r="D319" s="178">
        <f t="shared" si="15"/>
        <v>0</v>
      </c>
      <c r="E319" s="189"/>
      <c r="F319" s="229"/>
      <c r="G319" s="199"/>
      <c r="H319" s="4"/>
      <c r="I319" s="4"/>
      <c r="J319" s="4"/>
      <c r="K319" s="169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6">
        <f>'Données projet'!A288</f>
        <v>0</v>
      </c>
      <c r="B320" s="177">
        <f>'Données projet'!D288</f>
        <v>0</v>
      </c>
      <c r="C320" s="187"/>
      <c r="D320" s="178">
        <f t="shared" si="15"/>
        <v>0</v>
      </c>
      <c r="E320" s="189"/>
      <c r="F320" s="229"/>
      <c r="G320" s="199"/>
      <c r="H320" s="4"/>
      <c r="I320" s="4"/>
      <c r="J320" s="4"/>
      <c r="K320" s="169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6">
        <f>'Données projet'!A289</f>
        <v>0</v>
      </c>
      <c r="B321" s="177">
        <f>'Données projet'!D289</f>
        <v>0</v>
      </c>
      <c r="C321" s="192"/>
      <c r="D321" s="178">
        <f t="shared" si="15"/>
        <v>0</v>
      </c>
      <c r="E321" s="189"/>
      <c r="F321" s="229"/>
      <c r="G321" s="199"/>
      <c r="H321" s="4"/>
      <c r="I321" s="4"/>
      <c r="J321" s="4"/>
      <c r="K321" s="169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199"/>
      <c r="H322" s="4"/>
      <c r="I322" s="4"/>
      <c r="J322" s="4"/>
      <c r="K322" s="169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199"/>
      <c r="H323" s="4"/>
      <c r="I323" s="4"/>
      <c r="J323" s="4"/>
      <c r="K323" s="169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199"/>
      <c r="H324" s="4"/>
      <c r="I324" s="4"/>
      <c r="J324" s="4"/>
      <c r="K324" s="169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199"/>
      <c r="H325" s="4"/>
      <c r="I325" s="4"/>
      <c r="J325" s="4"/>
      <c r="K325" s="169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199"/>
      <c r="H326" s="4"/>
      <c r="I326" s="4"/>
      <c r="J326" s="4"/>
      <c r="K326" s="169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199"/>
      <c r="H327" s="4"/>
      <c r="I327" s="4"/>
      <c r="J327" s="4"/>
      <c r="K327" s="169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2023-10-13T15:50:41Z</dcterms:modified>
</cp:coreProperties>
</file>